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ΤΜΗΜΑ ΕΠΙΚΟΙΝΩΝΙΑΣ, ΔΗΜΟΣΙΩΝ ΚΑΙ ΔΙΕΘΝΩΝ ΣΧΕΣΕΩΝ\ΔΕΛΤΙΑ ΤΥΠΟΥ\"/>
    </mc:Choice>
  </mc:AlternateContent>
  <bookViews>
    <workbookView xWindow="0" yWindow="0" windowWidth="28800" windowHeight="12300"/>
  </bookViews>
  <sheets>
    <sheet name="Φύλλο1" sheetId="2" r:id="rId1"/>
  </sheets>
  <definedNames>
    <definedName name="_xlnm._FilterDatabase" localSheetId="0" hidden="1">Φύλλο1!$A$5:$B$280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924" i="2" l="1"/>
  <c r="B32625" i="2"/>
  <c r="B23812" i="2"/>
  <c r="B24874" i="2"/>
  <c r="B7321" i="2"/>
  <c r="B24664" i="2"/>
  <c r="B1778" i="2"/>
  <c r="B21633" i="2"/>
  <c r="B23630" i="2"/>
  <c r="B27601" i="2"/>
  <c r="B15737" i="2"/>
  <c r="B22149" i="2"/>
  <c r="B20027" i="2"/>
  <c r="B19185" i="2"/>
  <c r="B34717" i="2"/>
  <c r="B19990" i="2"/>
  <c r="B17107" i="2"/>
  <c r="B28729" i="2"/>
  <c r="B10447" i="2"/>
  <c r="B26636" i="2"/>
  <c r="B254" i="2"/>
  <c r="B31254" i="2"/>
  <c r="B16040" i="2"/>
  <c r="B1501" i="2"/>
  <c r="B26356" i="2"/>
  <c r="B2188" i="2"/>
  <c r="B3271" i="2"/>
  <c r="B7330" i="2"/>
  <c r="B20403" i="2"/>
  <c r="B25406" i="2"/>
  <c r="B17705" i="2"/>
  <c r="B19128" i="2"/>
  <c r="B21601" i="2"/>
  <c r="B33858" i="2"/>
  <c r="B16930" i="2"/>
  <c r="B23525" i="2"/>
  <c r="B7928" i="2"/>
  <c r="B11802" i="2"/>
  <c r="B16807" i="2"/>
  <c r="B11408" i="2"/>
  <c r="B13817" i="2"/>
  <c r="B28256" i="2"/>
  <c r="B14584" i="2"/>
  <c r="B5469" i="2"/>
  <c r="B20700" i="2"/>
  <c r="B25378" i="2"/>
  <c r="B18287" i="2"/>
  <c r="B13009" i="2"/>
  <c r="B10658" i="2"/>
  <c r="B31570" i="2"/>
  <c r="B21824" i="2"/>
  <c r="B13166" i="2"/>
  <c r="B4424" i="2"/>
  <c r="B26465" i="2"/>
  <c r="B22856" i="2"/>
  <c r="B4494" i="2"/>
  <c r="B1948" i="2"/>
  <c r="B8543" i="2"/>
  <c r="B15631" i="2"/>
  <c r="B5153" i="2"/>
  <c r="B22298" i="2"/>
  <c r="B33967" i="2"/>
  <c r="B8424" i="2"/>
  <c r="B4114" i="2"/>
  <c r="B29893" i="2"/>
  <c r="B24740" i="2"/>
  <c r="B23745" i="2"/>
  <c r="B19876" i="2"/>
  <c r="B11377" i="2"/>
  <c r="B22713" i="2"/>
  <c r="B29798" i="2"/>
  <c r="B459" i="2"/>
  <c r="B16546" i="2"/>
  <c r="B26875" i="2"/>
  <c r="B20526" i="2"/>
  <c r="B23070" i="2"/>
  <c r="B18895" i="2"/>
  <c r="B15919" i="2"/>
  <c r="B21634" i="2"/>
  <c r="B34430" i="2"/>
  <c r="B3502" i="2"/>
  <c r="B19598" i="2"/>
  <c r="B27356" i="2"/>
  <c r="B19539" i="2"/>
  <c r="B17394" i="2"/>
  <c r="B23940" i="2"/>
  <c r="B24782" i="2"/>
  <c r="B26565" i="2"/>
  <c r="B22596" i="2"/>
  <c r="B27147" i="2"/>
  <c r="B21398" i="2"/>
  <c r="B21540" i="2"/>
  <c r="B24157" i="2"/>
  <c r="B26112" i="2"/>
  <c r="B24353" i="2"/>
  <c r="B24455" i="2"/>
  <c r="B23138" i="2"/>
  <c r="B16844" i="2"/>
  <c r="B15794" i="2"/>
  <c r="B20395" i="2"/>
  <c r="B21052" i="2"/>
  <c r="B25759" i="2"/>
  <c r="B27635" i="2"/>
  <c r="B27612" i="2"/>
  <c r="B24997" i="2"/>
  <c r="B24558" i="2"/>
  <c r="B21802" i="2"/>
  <c r="B27001" i="2"/>
  <c r="B20070" i="2"/>
  <c r="B27313" i="2"/>
  <c r="B26379" i="2"/>
  <c r="B25873" i="2"/>
  <c r="B19719" i="2"/>
  <c r="B23749" i="2"/>
  <c r="B24406" i="2"/>
  <c r="B26782" i="2"/>
  <c r="B16536" i="2"/>
  <c r="B21411" i="2"/>
  <c r="B24260" i="2"/>
  <c r="B25659" i="2"/>
  <c r="B23806" i="2"/>
  <c r="B25697" i="2"/>
  <c r="B25823" i="2"/>
  <c r="B25754" i="2"/>
  <c r="B20651" i="2"/>
  <c r="B22368" i="2"/>
  <c r="B20885" i="2"/>
  <c r="B24616" i="2"/>
  <c r="B21348" i="2"/>
  <c r="B21947" i="2"/>
  <c r="B26159" i="2"/>
  <c r="B27308" i="2"/>
  <c r="B27442" i="2"/>
  <c r="B27012" i="2"/>
  <c r="B25995" i="2"/>
  <c r="B24409" i="2"/>
  <c r="B19999" i="2"/>
  <c r="B25490" i="2"/>
  <c r="B25607" i="2"/>
  <c r="B20014" i="2"/>
  <c r="B21858" i="2"/>
  <c r="B21080" i="2"/>
  <c r="B24690" i="2"/>
  <c r="B23791" i="2"/>
  <c r="B23600" i="2"/>
  <c r="B26746" i="2"/>
  <c r="B18283" i="2"/>
  <c r="B20092" i="2"/>
  <c r="B18721" i="2"/>
  <c r="B16164" i="2"/>
  <c r="B12510" i="2"/>
  <c r="B27812" i="2"/>
  <c r="B22210" i="2"/>
  <c r="B19106" i="2"/>
  <c r="B35257" i="2"/>
  <c r="B26876" i="2"/>
  <c r="B11821" i="2"/>
  <c r="B32856" i="2"/>
  <c r="B29765" i="2"/>
  <c r="B19900" i="2"/>
  <c r="B2205" i="2"/>
  <c r="B9562" i="2"/>
  <c r="B11660" i="2"/>
  <c r="B8139" i="2"/>
  <c r="B9020" i="2"/>
  <c r="B9136" i="2"/>
  <c r="B27168" i="2"/>
  <c r="B13079" i="2"/>
  <c r="B10174" i="2"/>
  <c r="B25046" i="2"/>
  <c r="B20963" i="2"/>
  <c r="B13324" i="2"/>
  <c r="B32420" i="2"/>
  <c r="B8927" i="2"/>
  <c r="B16199" i="2"/>
  <c r="B8885" i="2"/>
  <c r="B20993" i="2"/>
  <c r="B32133" i="2"/>
  <c r="B26982" i="2"/>
  <c r="B13518" i="2"/>
  <c r="B22763" i="2"/>
  <c r="B19833" i="2"/>
  <c r="B18172" i="2"/>
  <c r="B16365" i="2"/>
  <c r="B20802" i="2"/>
  <c r="B27598" i="2"/>
  <c r="B367" i="2"/>
  <c r="B575" i="2"/>
  <c r="B19501" i="2"/>
  <c r="B18559" i="2"/>
  <c r="B27134" i="2"/>
  <c r="B19000" i="2"/>
  <c r="B17012" i="2"/>
  <c r="B25939" i="2"/>
  <c r="B23927" i="2"/>
  <c r="B26058" i="2"/>
  <c r="B32345" i="2"/>
  <c r="B12331" i="2"/>
  <c r="B27031" i="2"/>
  <c r="B14927" i="2"/>
  <c r="B23035" i="2"/>
  <c r="B19135" i="2"/>
  <c r="B24372" i="2"/>
  <c r="B36063" i="2"/>
  <c r="B16433" i="2"/>
  <c r="B6847" i="2"/>
  <c r="B24728" i="2"/>
  <c r="B2255" i="2"/>
  <c r="B8668" i="2"/>
  <c r="B25025" i="2"/>
  <c r="B26817" i="2"/>
  <c r="B26983" i="2"/>
  <c r="B26701" i="2"/>
  <c r="B10847" i="2"/>
  <c r="B22063" i="2"/>
  <c r="B25651" i="2"/>
  <c r="B19673" i="2"/>
  <c r="B31728" i="2"/>
  <c r="B8162" i="2"/>
  <c r="B28850" i="2"/>
  <c r="B16085" i="2"/>
  <c r="B31630" i="2"/>
  <c r="B35639" i="2"/>
  <c r="B23790" i="2"/>
  <c r="B15001" i="2"/>
  <c r="B19188" i="2"/>
  <c r="B19687" i="2"/>
  <c r="B21427" i="2"/>
  <c r="B868" i="2"/>
  <c r="B19419" i="2"/>
  <c r="B17943" i="2"/>
  <c r="B28346" i="2"/>
  <c r="B31579" i="2"/>
  <c r="B19454" i="2"/>
  <c r="B3130" i="2"/>
  <c r="B32565" i="2"/>
  <c r="B20232" i="2"/>
  <c r="B16052" i="2"/>
  <c r="B8243" i="2"/>
  <c r="B27048" i="2"/>
  <c r="B16991" i="2"/>
  <c r="B14819" i="2"/>
  <c r="B30717" i="2"/>
  <c r="B9972" i="2"/>
  <c r="B10608" i="2"/>
  <c r="B12867" i="2"/>
  <c r="B2290" i="2"/>
  <c r="B21216" i="2"/>
  <c r="B16526" i="2"/>
  <c r="B13385" i="2"/>
  <c r="B15729" i="2"/>
  <c r="B962" i="2"/>
  <c r="B25352" i="2"/>
  <c r="B8967" i="2"/>
  <c r="B26094" i="2"/>
  <c r="B15472" i="2"/>
  <c r="B26225" i="2"/>
  <c r="B7182" i="2"/>
  <c r="B26164" i="2"/>
  <c r="B22722" i="2"/>
  <c r="B35078" i="2"/>
  <c r="B22175" i="2"/>
  <c r="B7875" i="2"/>
  <c r="B27595" i="2"/>
  <c r="B225" i="2"/>
  <c r="B34400" i="2"/>
  <c r="B14571" i="2"/>
  <c r="B863" i="2"/>
  <c r="B34274" i="2"/>
  <c r="B33618" i="2"/>
  <c r="B35531" i="2"/>
  <c r="B14643" i="2"/>
  <c r="B8373" i="2"/>
  <c r="B8929" i="2"/>
  <c r="B21976" i="2"/>
  <c r="B15680" i="2"/>
  <c r="B22607" i="2"/>
  <c r="B20682" i="2"/>
  <c r="B1549" i="2"/>
  <c r="B15129" i="2"/>
  <c r="B4429" i="2"/>
  <c r="B9699" i="2"/>
  <c r="B26571" i="2"/>
  <c r="B24356" i="2"/>
  <c r="B24726" i="2"/>
  <c r="B32233" i="2"/>
  <c r="B35472" i="2"/>
  <c r="B8507" i="2"/>
  <c r="B19546" i="2"/>
  <c r="B36078" i="2"/>
  <c r="B17007" i="2"/>
  <c r="B58" i="2"/>
  <c r="B916" i="2"/>
  <c r="B34765" i="2"/>
  <c r="B34983" i="2"/>
  <c r="B23570" i="2"/>
  <c r="B14238" i="2"/>
  <c r="B33938" i="2"/>
  <c r="B10278" i="2"/>
  <c r="B22809" i="2"/>
  <c r="B27619" i="2"/>
  <c r="B22205" i="2"/>
  <c r="B8012" i="2"/>
  <c r="B14120" i="2"/>
  <c r="B9118" i="2"/>
  <c r="B34080" i="2"/>
  <c r="B14516" i="2"/>
  <c r="B25498" i="2"/>
  <c r="B18544" i="2"/>
  <c r="B10508" i="2"/>
  <c r="B20192" i="2"/>
  <c r="B9218" i="2"/>
  <c r="B17090" i="2"/>
  <c r="B769" i="2"/>
  <c r="B34539" i="2"/>
  <c r="B30113" i="2"/>
  <c r="B11264" i="2"/>
  <c r="B500" i="2"/>
  <c r="B1197" i="2"/>
  <c r="B29429" i="2"/>
  <c r="B13704" i="2"/>
  <c r="B15221" i="2"/>
  <c r="B20555" i="2"/>
  <c r="B21964" i="2"/>
  <c r="B12557" i="2"/>
  <c r="B10063" i="2"/>
  <c r="B17206" i="2"/>
  <c r="B6076" i="2"/>
  <c r="B20669" i="2"/>
  <c r="B13962" i="2"/>
  <c r="B18297" i="2"/>
  <c r="B14196" i="2"/>
  <c r="B17511" i="2"/>
  <c r="B22234" i="2"/>
  <c r="B19803" i="2"/>
  <c r="B17794" i="2"/>
  <c r="B20793" i="2"/>
  <c r="B33755" i="2"/>
  <c r="B29618" i="2"/>
  <c r="B33992" i="2"/>
  <c r="B1614" i="2"/>
  <c r="B18329" i="2"/>
  <c r="B10930" i="2"/>
  <c r="B35131" i="2"/>
  <c r="B29022" i="2"/>
  <c r="B18071" i="2"/>
  <c r="B9357" i="2"/>
  <c r="B20382" i="2"/>
  <c r="B8959" i="2"/>
  <c r="B16158" i="2"/>
  <c r="B26409" i="2"/>
  <c r="B14177" i="2"/>
  <c r="B4580" i="2"/>
  <c r="B24868" i="2"/>
  <c r="B6308" i="2"/>
  <c r="B15142" i="2"/>
  <c r="B4126" i="2"/>
  <c r="B21399" i="2"/>
  <c r="B26220" i="2"/>
  <c r="B14192" i="2"/>
  <c r="B25221" i="2"/>
  <c r="B23345" i="2"/>
  <c r="B22206" i="2"/>
  <c r="B14826" i="2"/>
  <c r="B11521" i="2"/>
  <c r="B9758" i="2"/>
  <c r="B6898" i="2"/>
  <c r="B24025" i="2"/>
  <c r="B12329" i="2"/>
  <c r="B13273" i="2"/>
  <c r="B25171" i="2"/>
  <c r="B25763" i="2"/>
  <c r="B14642" i="2"/>
  <c r="B8993" i="2"/>
  <c r="B12199" i="2"/>
  <c r="B15987" i="2"/>
  <c r="B14742" i="2"/>
  <c r="B15483" i="2"/>
  <c r="B20580" i="2"/>
  <c r="B22177" i="2"/>
  <c r="B21718" i="2"/>
  <c r="B10649" i="2"/>
  <c r="B14883" i="2"/>
  <c r="B29390" i="2"/>
  <c r="B17539" i="2"/>
  <c r="B20489" i="2"/>
  <c r="B24319" i="2"/>
  <c r="B6726" i="2"/>
  <c r="B27037" i="2"/>
  <c r="B34630" i="2"/>
  <c r="B23141" i="2"/>
  <c r="B11416" i="2"/>
  <c r="B23678" i="2"/>
  <c r="B25993" i="2"/>
  <c r="B12250" i="2"/>
  <c r="B14252" i="2"/>
  <c r="B27096" i="2"/>
  <c r="B68" i="2"/>
  <c r="B26224" i="2"/>
  <c r="B26531" i="2"/>
  <c r="B26044" i="2"/>
  <c r="B33483" i="2"/>
  <c r="B478" i="2"/>
  <c r="B9096" i="2"/>
  <c r="B20562" i="2"/>
  <c r="B21645" i="2"/>
  <c r="B21806" i="2"/>
  <c r="B14016" i="2"/>
  <c r="B15131" i="2"/>
  <c r="B795" i="2"/>
  <c r="B11135" i="2"/>
  <c r="B22300" i="2"/>
  <c r="B3924" i="2"/>
  <c r="B259" i="2"/>
  <c r="B34193" i="2"/>
  <c r="B26241" i="2"/>
  <c r="B23783" i="2"/>
  <c r="B1643" i="2"/>
  <c r="B30675" i="2"/>
  <c r="B23718" i="2"/>
  <c r="B24841" i="2"/>
  <c r="B29701" i="2"/>
  <c r="B28138" i="2"/>
  <c r="B23782" i="2"/>
  <c r="B7168" i="2"/>
  <c r="B4005" i="2"/>
  <c r="B19787" i="2"/>
  <c r="B34907" i="2"/>
  <c r="B23710" i="2"/>
  <c r="B6514" i="2"/>
  <c r="B18047" i="2"/>
  <c r="B18576" i="2"/>
  <c r="B10958" i="2"/>
  <c r="B678" i="2"/>
  <c r="B25565" i="2"/>
  <c r="B9205" i="2"/>
  <c r="B7999" i="2"/>
  <c r="B24646" i="2"/>
  <c r="B22764" i="2"/>
  <c r="B9088" i="2"/>
  <c r="B34178" i="2"/>
  <c r="B15600" i="2"/>
  <c r="B35728" i="2"/>
  <c r="B34667" i="2"/>
  <c r="B8846" i="2"/>
  <c r="B15663" i="2"/>
  <c r="B8837" i="2"/>
  <c r="B18663" i="2"/>
  <c r="B438" i="2"/>
  <c r="B21010" i="2"/>
  <c r="B676" i="2"/>
  <c r="B34645" i="2"/>
  <c r="B35759" i="2"/>
  <c r="B9831" i="2"/>
  <c r="B35558" i="2"/>
  <c r="B34414" i="2"/>
  <c r="B24098" i="2"/>
  <c r="B25789" i="2"/>
  <c r="B26017" i="2"/>
  <c r="B9004" i="2"/>
  <c r="B31212" i="2"/>
  <c r="B18892" i="2"/>
  <c r="B14703" i="2"/>
  <c r="B3414" i="2"/>
  <c r="B8311" i="2"/>
  <c r="B33830" i="2"/>
  <c r="B11102" i="2"/>
  <c r="B17881" i="2"/>
  <c r="B25108" i="2"/>
  <c r="B8968" i="2"/>
  <c r="B34146" i="2"/>
  <c r="B1772" i="2"/>
  <c r="B6263" i="2"/>
  <c r="B35555" i="2"/>
  <c r="B31779" i="2"/>
  <c r="B10535" i="2"/>
  <c r="B14769" i="2"/>
  <c r="B14963" i="2"/>
  <c r="B11845" i="2"/>
  <c r="B23073" i="2"/>
  <c r="B25919" i="2"/>
  <c r="B28197" i="2"/>
  <c r="B13277" i="2"/>
  <c r="B18868" i="2"/>
  <c r="B19685" i="2"/>
  <c r="B16048" i="2"/>
  <c r="B22054" i="2"/>
  <c r="B32811" i="2"/>
  <c r="B5670" i="2"/>
  <c r="B13114" i="2"/>
  <c r="B17636" i="2"/>
  <c r="B14064" i="2"/>
  <c r="B18909" i="2"/>
  <c r="B33492" i="2"/>
  <c r="B5633" i="2"/>
  <c r="B16792" i="2"/>
  <c r="B10201" i="2"/>
  <c r="B25419" i="2"/>
  <c r="B19008" i="2"/>
  <c r="B31716" i="2"/>
  <c r="B11780" i="2"/>
  <c r="B15776" i="2"/>
  <c r="B1532" i="2"/>
  <c r="B13561" i="2"/>
  <c r="B25999" i="2"/>
  <c r="B24199" i="2"/>
  <c r="B29244" i="2"/>
  <c r="B26232" i="2"/>
  <c r="B10668" i="2"/>
  <c r="B2250" i="2"/>
  <c r="B24348" i="2"/>
  <c r="B30618" i="2"/>
  <c r="B20409" i="2"/>
  <c r="B35574" i="2"/>
  <c r="B34291" i="2"/>
  <c r="B36045" i="2"/>
  <c r="B35646" i="2"/>
  <c r="B34964" i="2"/>
  <c r="B35013" i="2"/>
  <c r="B16109" i="2"/>
  <c r="B17837" i="2"/>
  <c r="B10933" i="2"/>
  <c r="B29082" i="2"/>
  <c r="B2483" i="2"/>
  <c r="B21459" i="2"/>
  <c r="B10360" i="2"/>
  <c r="B35244" i="2"/>
  <c r="B12998" i="2"/>
  <c r="B3492" i="2"/>
  <c r="B28566" i="2"/>
  <c r="B4566" i="2"/>
  <c r="B29489" i="2"/>
  <c r="B35909" i="2"/>
  <c r="B22239" i="2"/>
  <c r="B16690" i="2"/>
  <c r="B35026" i="2"/>
  <c r="B18754" i="2"/>
  <c r="B24968" i="2"/>
  <c r="B30689" i="2"/>
  <c r="B9469" i="2"/>
  <c r="B1804" i="2"/>
  <c r="B9636" i="2"/>
  <c r="B12924" i="2"/>
  <c r="B12696" i="2"/>
  <c r="B36243" i="2"/>
  <c r="B23012" i="2"/>
  <c r="B18185" i="2"/>
  <c r="B3549" i="2"/>
  <c r="B12156" i="2"/>
  <c r="B21586" i="2"/>
  <c r="B26828" i="2"/>
  <c r="B35969" i="2"/>
  <c r="B11761" i="2"/>
  <c r="B3734" i="2"/>
  <c r="B17341" i="2"/>
  <c r="B30229" i="2"/>
  <c r="B3999" i="2"/>
  <c r="B23528" i="2"/>
  <c r="B17986" i="2"/>
  <c r="B33970" i="2"/>
  <c r="B19998" i="2"/>
  <c r="B28709" i="2"/>
  <c r="B28728" i="2"/>
  <c r="B25293" i="2"/>
  <c r="B4999" i="2"/>
  <c r="B11493" i="2"/>
  <c r="B4970" i="2"/>
  <c r="B18309" i="2"/>
  <c r="B36105" i="2"/>
  <c r="B15983" i="2"/>
  <c r="B29622" i="2"/>
  <c r="B12054" i="2"/>
  <c r="B8561" i="2"/>
  <c r="B16242" i="2"/>
  <c r="B34793" i="2"/>
  <c r="B9860" i="2"/>
  <c r="B3616" i="2"/>
  <c r="B6437" i="2"/>
  <c r="B17742" i="2"/>
  <c r="B22374" i="2"/>
  <c r="B6347" i="2"/>
  <c r="B1191" i="2"/>
  <c r="B30865" i="2"/>
  <c r="B36049" i="2"/>
  <c r="B22481" i="2"/>
  <c r="B1289" i="2"/>
  <c r="B1957" i="2"/>
  <c r="B29052" i="2"/>
  <c r="B20995" i="2"/>
  <c r="B22410" i="2"/>
  <c r="B4959" i="2"/>
  <c r="B14671" i="2"/>
  <c r="B10943" i="2"/>
  <c r="B12722" i="2"/>
  <c r="B3175" i="2"/>
  <c r="B30201" i="2"/>
  <c r="B18446" i="2"/>
  <c r="B2148" i="2"/>
  <c r="B31339" i="2"/>
  <c r="B10130" i="2"/>
  <c r="B19533" i="2"/>
  <c r="B18579" i="2"/>
  <c r="B24949" i="2"/>
  <c r="B31196" i="2"/>
  <c r="B12703" i="2"/>
  <c r="B849" i="2"/>
  <c r="B4533" i="2"/>
  <c r="B34026" i="2"/>
  <c r="B35284" i="2"/>
  <c r="B277" i="2"/>
  <c r="B17820" i="2"/>
  <c r="B24707" i="2"/>
  <c r="B24482" i="2"/>
  <c r="B29988" i="2"/>
  <c r="B27689" i="2"/>
  <c r="B34862" i="2"/>
  <c r="B14910" i="2"/>
  <c r="B24724" i="2"/>
  <c r="B14216" i="2"/>
  <c r="B24101" i="2"/>
  <c r="B30677" i="2"/>
  <c r="B22909" i="2"/>
  <c r="B25013" i="2"/>
  <c r="B8024" i="2"/>
  <c r="B24799" i="2"/>
  <c r="B28940" i="2"/>
  <c r="B17421" i="2"/>
  <c r="B693" i="2"/>
  <c r="B17609" i="2"/>
  <c r="B7804" i="2"/>
  <c r="B31024" i="2"/>
  <c r="B12517" i="2"/>
  <c r="B8696" i="2"/>
  <c r="B23413" i="2"/>
  <c r="B4975" i="2"/>
  <c r="B8405" i="2"/>
  <c r="B17391" i="2"/>
  <c r="B12313" i="2"/>
  <c r="B28456" i="2"/>
  <c r="B36259" i="2"/>
  <c r="B17436" i="2"/>
  <c r="B377" i="2"/>
  <c r="B27880" i="2"/>
  <c r="B32267" i="2"/>
  <c r="B16797" i="2"/>
  <c r="B17313" i="2"/>
  <c r="B20180" i="2"/>
  <c r="B3489" i="2"/>
  <c r="B32381" i="2"/>
  <c r="B16762" i="2"/>
  <c r="B2649" i="2"/>
  <c r="B24534" i="2"/>
  <c r="B10334" i="2"/>
  <c r="B28202" i="2"/>
  <c r="B12609" i="2"/>
  <c r="B30028" i="2"/>
  <c r="B18215" i="2"/>
  <c r="B9664" i="2"/>
  <c r="B3210" i="2"/>
  <c r="B11527" i="2"/>
  <c r="B29347" i="2"/>
  <c r="B27007" i="2"/>
  <c r="B28430" i="2"/>
  <c r="B2328" i="2"/>
  <c r="B14813" i="2"/>
  <c r="B17213" i="2"/>
  <c r="B6159" i="2"/>
  <c r="B28343" i="2"/>
  <c r="B7047" i="2"/>
  <c r="B11829" i="2"/>
  <c r="B10294" i="2"/>
  <c r="B19400" i="2"/>
  <c r="B17939" i="2"/>
  <c r="B12895" i="2"/>
  <c r="B35014" i="2"/>
  <c r="B28984" i="2"/>
  <c r="B18864" i="2"/>
  <c r="B3718" i="2"/>
  <c r="B242" i="2"/>
  <c r="B20405" i="2"/>
  <c r="B1918" i="2"/>
  <c r="B34053" i="2"/>
  <c r="B28783" i="2"/>
  <c r="B29573" i="2"/>
  <c r="B21745" i="2"/>
  <c r="B32172" i="2"/>
  <c r="B20532" i="2"/>
  <c r="B35016" i="2"/>
  <c r="B23203" i="2"/>
  <c r="B35436" i="2"/>
  <c r="B29841" i="2"/>
  <c r="B17041" i="2"/>
  <c r="B17855" i="2"/>
  <c r="B32656" i="2"/>
  <c r="B35234" i="2"/>
  <c r="B3062" i="2"/>
  <c r="B2132" i="2"/>
  <c r="B12672" i="2"/>
  <c r="B20242" i="2"/>
  <c r="B27309" i="2"/>
  <c r="B30578" i="2"/>
  <c r="B19088" i="2"/>
  <c r="B13221" i="2"/>
  <c r="B11245" i="2"/>
  <c r="B11499" i="2"/>
  <c r="B34513" i="2"/>
  <c r="B6234" i="2"/>
  <c r="B35238" i="2"/>
  <c r="B32489" i="2"/>
  <c r="B15627" i="2"/>
  <c r="B19955" i="2"/>
  <c r="B379" i="2"/>
  <c r="B34525" i="2"/>
  <c r="B714" i="2"/>
  <c r="B26699" i="2"/>
  <c r="B1453" i="2"/>
  <c r="B14644" i="2"/>
  <c r="B29122" i="2"/>
  <c r="B30609" i="2"/>
  <c r="B28676" i="2"/>
  <c r="B7050" i="2"/>
  <c r="B3531" i="2"/>
  <c r="B21432" i="2"/>
  <c r="B9555" i="2"/>
  <c r="B36080" i="2"/>
  <c r="B23705" i="2"/>
  <c r="B32095" i="2"/>
  <c r="B16157" i="2"/>
  <c r="B28419" i="2"/>
  <c r="B10401" i="2"/>
  <c r="B32244" i="2"/>
  <c r="B14825" i="2"/>
  <c r="B14775" i="2"/>
  <c r="B26566" i="2"/>
  <c r="B293" i="2"/>
  <c r="B9016" i="2"/>
  <c r="B11376" i="2"/>
  <c r="B18425" i="2"/>
  <c r="B26206" i="2"/>
  <c r="B31884" i="2"/>
  <c r="B21145" i="2"/>
  <c r="B7701" i="2"/>
  <c r="B16973" i="2"/>
  <c r="B10587" i="2"/>
  <c r="B18264" i="2"/>
  <c r="B32151" i="2"/>
  <c r="B11427" i="2"/>
  <c r="B12975" i="2"/>
  <c r="B3699" i="2"/>
  <c r="B35019" i="2"/>
  <c r="B30509" i="2"/>
  <c r="B10927" i="2"/>
  <c r="B571" i="2"/>
  <c r="B1198" i="2"/>
  <c r="B13940" i="2"/>
  <c r="B10264" i="2"/>
  <c r="B10307" i="2"/>
  <c r="B29294" i="2"/>
  <c r="B12185" i="2"/>
  <c r="B29531" i="2"/>
  <c r="B12108" i="2"/>
  <c r="B24810" i="2"/>
  <c r="B5653" i="2"/>
  <c r="B15823" i="2"/>
  <c r="B30249" i="2"/>
  <c r="B29484" i="2"/>
  <c r="B28289" i="2"/>
  <c r="B10792" i="2"/>
  <c r="B3802" i="2"/>
  <c r="B28368" i="2"/>
  <c r="B30635" i="2"/>
  <c r="B29086" i="2"/>
  <c r="B21119" i="2"/>
  <c r="B17796" i="2"/>
  <c r="B16794" i="2"/>
  <c r="B32314" i="2"/>
  <c r="B13228" i="2"/>
  <c r="B3160" i="2"/>
  <c r="B35141" i="2"/>
  <c r="B4937" i="2"/>
  <c r="B21603" i="2"/>
  <c r="B2998" i="2"/>
  <c r="B16660" i="2"/>
  <c r="B5630" i="2"/>
  <c r="B29522" i="2"/>
  <c r="B26209" i="2"/>
  <c r="B1123" i="2"/>
  <c r="B12537" i="2"/>
  <c r="B22" i="2"/>
  <c r="B3016" i="2"/>
  <c r="B22370" i="2"/>
  <c r="B3420" i="2"/>
  <c r="B30119" i="2"/>
  <c r="B8937" i="2"/>
  <c r="B28125" i="2"/>
  <c r="B33210" i="2"/>
  <c r="B18377" i="2"/>
  <c r="B35221" i="2"/>
  <c r="B11268" i="2"/>
  <c r="B18479" i="2"/>
  <c r="B3071" i="2"/>
  <c r="B4520" i="2"/>
  <c r="B11876" i="2"/>
  <c r="B22951" i="2"/>
  <c r="B10233" i="2"/>
  <c r="B5231" i="2"/>
  <c r="B18601" i="2"/>
  <c r="B28894" i="2"/>
  <c r="B7974" i="2"/>
  <c r="B1595" i="2"/>
  <c r="B17517" i="2"/>
  <c r="B14923" i="2"/>
  <c r="B21531" i="2"/>
  <c r="B6525" i="2"/>
  <c r="B11049" i="2"/>
  <c r="B36110" i="2"/>
  <c r="B626" i="2"/>
  <c r="B11021" i="2"/>
  <c r="B33507" i="2"/>
  <c r="B2676" i="2"/>
  <c r="B28476" i="2"/>
  <c r="B28942" i="2"/>
  <c r="B4995" i="2"/>
  <c r="B29258" i="2"/>
  <c r="B14097" i="2"/>
  <c r="B17588" i="2"/>
  <c r="B25389" i="2"/>
  <c r="B10522" i="2"/>
  <c r="B2992" i="2"/>
  <c r="B9412" i="2"/>
  <c r="B4963" i="2"/>
  <c r="B2349" i="2"/>
  <c r="B17413" i="2"/>
  <c r="B27132" i="2"/>
  <c r="B27451" i="2"/>
  <c r="B4916" i="2"/>
  <c r="B26474" i="2"/>
  <c r="B17786" i="2"/>
  <c r="B34516" i="2"/>
  <c r="B6547" i="2"/>
  <c r="B30987" i="2"/>
  <c r="B1803" i="2"/>
  <c r="B4441" i="2"/>
  <c r="B5011" i="2"/>
  <c r="B15239" i="2"/>
  <c r="B31426" i="2"/>
  <c r="B32796" i="2"/>
  <c r="B16450" i="2"/>
  <c r="B31874" i="2"/>
  <c r="B24389" i="2"/>
  <c r="B26888" i="2"/>
  <c r="B15730" i="2"/>
  <c r="B25349" i="2"/>
  <c r="B28071" i="2"/>
  <c r="B13394" i="2"/>
  <c r="B9634" i="2"/>
  <c r="B34429" i="2"/>
  <c r="B15144" i="2"/>
  <c r="B32035" i="2"/>
  <c r="B33593" i="2"/>
  <c r="B27480" i="2"/>
  <c r="B8920" i="2"/>
  <c r="B1085" i="2"/>
  <c r="B12943" i="2"/>
  <c r="B34876" i="2"/>
  <c r="B26618" i="2"/>
  <c r="B18921" i="2"/>
  <c r="B10756" i="2"/>
  <c r="B4739" i="2"/>
  <c r="B99" i="2"/>
  <c r="B10557" i="2"/>
  <c r="B19418" i="2"/>
  <c r="B12833" i="2"/>
  <c r="B32412" i="2"/>
  <c r="B12984" i="2"/>
  <c r="B15189" i="2"/>
  <c r="B24200" i="2"/>
  <c r="B25249" i="2"/>
  <c r="B22700" i="2"/>
  <c r="B19610" i="2"/>
  <c r="B23276" i="2"/>
  <c r="B19197" i="2"/>
  <c r="B29" i="2"/>
  <c r="B33534" i="2"/>
  <c r="B3869" i="2"/>
  <c r="B27738" i="2"/>
  <c r="B3477" i="2"/>
  <c r="B21780" i="2"/>
  <c r="B29367" i="2"/>
  <c r="B16061" i="2"/>
  <c r="B5678" i="2"/>
  <c r="B17582" i="2"/>
  <c r="B27391" i="2"/>
  <c r="B30797" i="2"/>
  <c r="B34479" i="2"/>
  <c r="B360" i="2"/>
  <c r="B28085" i="2"/>
  <c r="B34064" i="2"/>
  <c r="B33650" i="2"/>
  <c r="B1490" i="2"/>
  <c r="B28307" i="2"/>
  <c r="B9162" i="2"/>
  <c r="B9000" i="2"/>
  <c r="B29134" i="2"/>
  <c r="B10654" i="2"/>
  <c r="B16993" i="2"/>
  <c r="B15389" i="2"/>
  <c r="B2362" i="2"/>
  <c r="B27622" i="2"/>
  <c r="B30070" i="2"/>
  <c r="B12853" i="2"/>
  <c r="B23450" i="2"/>
  <c r="B16531" i="2"/>
  <c r="B10472" i="2"/>
  <c r="B1213" i="2"/>
  <c r="B30688" i="2"/>
  <c r="B29561" i="2"/>
  <c r="B30485" i="2"/>
  <c r="B29087" i="2"/>
  <c r="B6345" i="2"/>
  <c r="B16803" i="2"/>
  <c r="B2168" i="2"/>
  <c r="B5923" i="2"/>
  <c r="B27045" i="2"/>
  <c r="B29039" i="2"/>
  <c r="B12655" i="2"/>
  <c r="B24843" i="2"/>
  <c r="B32556" i="2"/>
  <c r="B25709" i="2"/>
  <c r="B18966" i="2"/>
  <c r="B12179" i="2"/>
  <c r="B11013" i="2"/>
  <c r="B5672" i="2"/>
  <c r="B17790" i="2"/>
  <c r="B4577" i="2"/>
  <c r="B24828" i="2"/>
  <c r="B2287" i="2"/>
  <c r="B32441" i="2"/>
  <c r="B33697" i="2"/>
  <c r="B29337" i="2"/>
  <c r="B32666" i="2"/>
  <c r="B34926" i="2"/>
  <c r="B35627" i="2"/>
  <c r="B35606" i="2"/>
  <c r="B398" i="2"/>
  <c r="B34233" i="2"/>
  <c r="B10497" i="2"/>
  <c r="B11937" i="2"/>
  <c r="B9641" i="2"/>
  <c r="B2921" i="2"/>
  <c r="B3755" i="2"/>
  <c r="B22795" i="2"/>
  <c r="B13095" i="2"/>
  <c r="B3434" i="2"/>
  <c r="B3222" i="2"/>
  <c r="B11704" i="2"/>
  <c r="B28240" i="2"/>
  <c r="B10577" i="2"/>
  <c r="B36092" i="2"/>
  <c r="B19811" i="2"/>
  <c r="B1487" i="2"/>
  <c r="B7127" i="2"/>
  <c r="B12075" i="2"/>
  <c r="B32865" i="2"/>
  <c r="B16482" i="2"/>
  <c r="B1860" i="2"/>
  <c r="B14056" i="2"/>
  <c r="B26440" i="2"/>
  <c r="B18849" i="2"/>
  <c r="B31806" i="2"/>
  <c r="B12893" i="2"/>
  <c r="B15547" i="2"/>
  <c r="B407" i="2"/>
  <c r="B3791" i="2"/>
  <c r="B18225" i="2"/>
  <c r="B10160" i="2"/>
  <c r="B31139" i="2"/>
  <c r="B8969" i="2"/>
  <c r="B21190" i="2"/>
  <c r="B3738" i="2"/>
  <c r="B36010" i="2"/>
  <c r="B11044" i="2"/>
  <c r="B12823" i="2"/>
  <c r="B341" i="2"/>
  <c r="B8722" i="2"/>
  <c r="B29327" i="2"/>
  <c r="B13164" i="2"/>
  <c r="B4294" i="2"/>
  <c r="B35358" i="2"/>
  <c r="B3272" i="2"/>
  <c r="B12393" i="2"/>
  <c r="B34068" i="2"/>
  <c r="B35813" i="2"/>
  <c r="B29502" i="2"/>
  <c r="B18067" i="2"/>
  <c r="B34820" i="2"/>
  <c r="B3376" i="2"/>
  <c r="B22815" i="2"/>
  <c r="B6700" i="2"/>
  <c r="B28462" i="2"/>
  <c r="B18906" i="2"/>
  <c r="B7575" i="2"/>
  <c r="B27941" i="2"/>
  <c r="B679" i="2"/>
  <c r="B23996" i="2"/>
  <c r="B23326" i="2"/>
  <c r="B27086" i="2"/>
  <c r="B13606" i="2"/>
  <c r="B18376" i="2"/>
  <c r="B11122" i="2"/>
  <c r="B3162" i="2"/>
  <c r="B33816" i="2"/>
  <c r="B33800" i="2"/>
  <c r="B33619" i="2"/>
  <c r="B33584" i="2"/>
  <c r="B35419" i="2"/>
  <c r="B32209" i="2"/>
  <c r="B21210" i="2"/>
  <c r="B16441" i="2"/>
  <c r="B23827" i="2"/>
  <c r="B35491" i="2"/>
  <c r="B13441" i="2"/>
  <c r="B35931" i="2"/>
  <c r="B1579" i="2"/>
  <c r="B20429" i="2"/>
  <c r="B19738" i="2"/>
  <c r="B22418" i="2"/>
  <c r="B18994" i="2"/>
  <c r="B32960" i="2"/>
  <c r="B27927" i="2"/>
  <c r="B20221" i="2"/>
  <c r="B18668" i="2"/>
  <c r="B34217" i="2"/>
  <c r="B28595" i="2"/>
  <c r="B1430" i="2"/>
  <c r="B14071" i="2"/>
  <c r="B19335" i="2"/>
  <c r="B2271" i="2"/>
  <c r="B28187" i="2"/>
  <c r="B11505" i="2"/>
  <c r="B4636" i="2"/>
  <c r="B11071" i="2"/>
  <c r="B35062" i="2"/>
  <c r="B2180" i="2"/>
  <c r="B26600" i="2"/>
  <c r="B15995" i="2"/>
  <c r="B14969" i="2"/>
  <c r="B14040" i="2"/>
  <c r="B18209" i="2"/>
  <c r="B18036" i="2"/>
  <c r="B10485" i="2"/>
  <c r="B30431" i="2"/>
  <c r="B2118" i="2"/>
  <c r="B23420" i="2"/>
  <c r="B31899" i="2"/>
  <c r="B7075" i="2"/>
  <c r="B18946" i="2"/>
  <c r="B4309" i="2"/>
  <c r="B648" i="2"/>
  <c r="B16820" i="2"/>
  <c r="B3847" i="2"/>
  <c r="B33638" i="2"/>
  <c r="B11203" i="2"/>
  <c r="B30684" i="2"/>
  <c r="B34256" i="2"/>
  <c r="B3328" i="2"/>
  <c r="B159" i="2"/>
  <c r="B31047" i="2"/>
  <c r="B8884" i="2"/>
  <c r="B3124" i="2"/>
  <c r="B29585" i="2"/>
  <c r="B279" i="2"/>
  <c r="B34901" i="2"/>
  <c r="B12242" i="2"/>
  <c r="B21339" i="2"/>
  <c r="B21128" i="2"/>
  <c r="B22697" i="2"/>
  <c r="B22989" i="2"/>
  <c r="B12907" i="2"/>
  <c r="B30353" i="2"/>
  <c r="B10989" i="2"/>
  <c r="B31076" i="2"/>
  <c r="B18034" i="2"/>
  <c r="B4272" i="2"/>
  <c r="B21995" i="2"/>
  <c r="B34889" i="2"/>
  <c r="B34924" i="2"/>
  <c r="B21069" i="2"/>
  <c r="B33682" i="2"/>
  <c r="B33524" i="2"/>
  <c r="B11744" i="2"/>
  <c r="B29312" i="2"/>
  <c r="B12535" i="2"/>
  <c r="B35945" i="2"/>
  <c r="B19585" i="2"/>
  <c r="B9193" i="2"/>
  <c r="B2364" i="2"/>
  <c r="B27462" i="2"/>
  <c r="B5666" i="2"/>
  <c r="B2506" i="2"/>
  <c r="B29440" i="2"/>
  <c r="B20626" i="2"/>
  <c r="B10942" i="2"/>
  <c r="B17151" i="2"/>
  <c r="B20687" i="2"/>
  <c r="B2318" i="2"/>
  <c r="B3176" i="2"/>
  <c r="B29433" i="2"/>
  <c r="B20521" i="2"/>
  <c r="B7578" i="2"/>
  <c r="B14025" i="2"/>
  <c r="B2798" i="2"/>
  <c r="B18985" i="2"/>
  <c r="B23120" i="2"/>
  <c r="B10422" i="2"/>
  <c r="B17433" i="2"/>
  <c r="B26173" i="2"/>
  <c r="B12735" i="2"/>
  <c r="B21414" i="2"/>
  <c r="B32089" i="2"/>
  <c r="B31946" i="2"/>
  <c r="B175" i="2"/>
  <c r="B5690" i="2"/>
  <c r="B3064" i="2"/>
  <c r="B30365" i="2"/>
  <c r="B31550" i="2"/>
  <c r="B4315" i="2"/>
  <c r="B31569" i="2"/>
  <c r="B10022" i="2"/>
  <c r="B27606" i="2"/>
  <c r="B17049" i="2"/>
  <c r="B26959" i="2"/>
  <c r="B21404" i="2"/>
  <c r="B31425" i="2"/>
  <c r="B32222" i="2"/>
  <c r="B25603" i="2"/>
  <c r="B21502" i="2"/>
  <c r="B13944" i="2"/>
  <c r="B15407" i="2"/>
  <c r="B2225" i="2"/>
  <c r="B18169" i="2"/>
  <c r="B30994" i="2"/>
  <c r="B17896" i="2"/>
  <c r="B32982" i="2"/>
  <c r="B33655" i="2"/>
  <c r="B13788" i="2"/>
  <c r="B13294" i="2"/>
  <c r="B7525" i="2"/>
  <c r="B32379" i="2"/>
  <c r="B28150" i="2"/>
  <c r="B30284" i="2"/>
  <c r="B33895" i="2"/>
  <c r="B35032" i="2"/>
  <c r="B14568" i="2"/>
  <c r="B10715" i="2"/>
  <c r="B11001" i="2"/>
  <c r="B20276" i="2"/>
  <c r="B13088" i="2"/>
  <c r="B10451" i="2"/>
  <c r="B10897" i="2"/>
  <c r="B1334" i="2"/>
  <c r="B4608" i="2"/>
  <c r="B9390" i="2"/>
  <c r="B10588" i="2"/>
  <c r="B3042" i="2"/>
  <c r="B18936" i="2"/>
  <c r="B16790" i="2"/>
  <c r="B9539" i="2"/>
  <c r="B35039" i="2"/>
  <c r="B7345" i="2"/>
  <c r="B12222" i="2"/>
  <c r="B8224" i="2"/>
  <c r="B30628" i="2"/>
  <c r="B28656" i="2"/>
  <c r="B31007" i="2"/>
  <c r="B4001" i="2"/>
  <c r="B15559" i="2"/>
  <c r="B5659" i="2"/>
  <c r="B8136" i="2"/>
  <c r="B14636" i="2"/>
  <c r="B23079" i="2"/>
  <c r="B1429" i="2"/>
  <c r="B14964" i="2"/>
  <c r="B12824" i="2"/>
  <c r="B32189" i="2"/>
  <c r="B17928" i="2"/>
  <c r="B31816" i="2"/>
  <c r="B13992" i="2"/>
  <c r="B5443" i="2"/>
  <c r="B15749" i="2"/>
  <c r="B32658" i="2"/>
  <c r="B19187" i="2"/>
  <c r="B19669" i="2"/>
  <c r="B21394" i="2"/>
  <c r="B22786" i="2"/>
  <c r="B14181" i="2"/>
  <c r="B27766" i="2"/>
  <c r="B34406" i="2"/>
  <c r="B11620" i="2"/>
  <c r="B10600" i="2"/>
  <c r="B25821" i="2"/>
  <c r="B5031" i="2"/>
  <c r="B7062" i="2"/>
  <c r="B4492" i="2"/>
  <c r="B1023" i="2"/>
  <c r="B26820" i="2"/>
  <c r="B19422" i="2"/>
  <c r="B25797" i="2"/>
  <c r="B18204" i="2"/>
  <c r="B19169" i="2"/>
  <c r="B10252" i="2"/>
  <c r="B26388" i="2"/>
  <c r="B12608" i="2"/>
  <c r="B3334" i="2"/>
  <c r="B33843" i="2"/>
  <c r="B2571" i="2"/>
  <c r="B22348" i="2"/>
  <c r="B20912" i="2"/>
  <c r="B26070" i="2"/>
  <c r="B27737" i="2"/>
  <c r="B27571" i="2"/>
  <c r="B994" i="2"/>
  <c r="B17204" i="2"/>
  <c r="B16573" i="2"/>
  <c r="B35970" i="2"/>
  <c r="B21251" i="2"/>
  <c r="B25259" i="2"/>
  <c r="B31116" i="2"/>
  <c r="B21832" i="2"/>
  <c r="B21440" i="2"/>
  <c r="B30559" i="2"/>
  <c r="B33378" i="2"/>
  <c r="B1147" i="2"/>
  <c r="B12279" i="2"/>
  <c r="B9650" i="2"/>
  <c r="B5395" i="2"/>
  <c r="B26061" i="2"/>
  <c r="B15160" i="2"/>
  <c r="B34552" i="2"/>
  <c r="B8730" i="2"/>
  <c r="B36364" i="2"/>
  <c r="B34930" i="2"/>
  <c r="B32184" i="2"/>
  <c r="B15620" i="2"/>
  <c r="B9242" i="2"/>
  <c r="B6948" i="2"/>
  <c r="B29754" i="2"/>
  <c r="B17638" i="2"/>
  <c r="B24219" i="2"/>
  <c r="B8392" i="2"/>
  <c r="B26608" i="2"/>
  <c r="B26747" i="2"/>
  <c r="B14228" i="2"/>
  <c r="B16479" i="2"/>
  <c r="B14539" i="2"/>
  <c r="B20721" i="2"/>
  <c r="B13624" i="2"/>
  <c r="B6828" i="2"/>
  <c r="B10265" i="2"/>
  <c r="B30367" i="2"/>
  <c r="B20078" i="2"/>
  <c r="B30393" i="2"/>
  <c r="B16269" i="2"/>
  <c r="B8236" i="2"/>
  <c r="B18626" i="2"/>
  <c r="B6620" i="2"/>
  <c r="B3279" i="2"/>
  <c r="B36128" i="2"/>
  <c r="B32047" i="2"/>
  <c r="B2405" i="2"/>
  <c r="B1981" i="2"/>
  <c r="B19410" i="2"/>
  <c r="B32241" i="2"/>
  <c r="B9726" i="2"/>
  <c r="B26145" i="2"/>
  <c r="B18647" i="2"/>
  <c r="B14934" i="2"/>
  <c r="B32341" i="2"/>
  <c r="B2462" i="2"/>
  <c r="B27021" i="2"/>
  <c r="B18567" i="2"/>
  <c r="B10081" i="2"/>
  <c r="B21595" i="2"/>
  <c r="B21068" i="2"/>
  <c r="B17536" i="2"/>
  <c r="B7481" i="2"/>
  <c r="B32057" i="2"/>
  <c r="B30041" i="2"/>
  <c r="B20931" i="2"/>
  <c r="B24" i="2"/>
  <c r="B22560" i="2"/>
  <c r="B2972" i="2"/>
  <c r="B16485" i="2"/>
  <c r="B28386" i="2"/>
  <c r="B29412" i="2"/>
  <c r="B10054" i="2"/>
  <c r="B19391" i="2"/>
  <c r="B17755" i="2"/>
  <c r="B32731" i="2"/>
  <c r="B27617" i="2"/>
  <c r="B22829" i="2"/>
  <c r="B21466" i="2"/>
  <c r="B644" i="2"/>
  <c r="B25748" i="2"/>
  <c r="B3459" i="2"/>
  <c r="B10614" i="2"/>
  <c r="B35137" i="2"/>
  <c r="B21571" i="2"/>
  <c r="B23415" i="2"/>
  <c r="B29053" i="2"/>
  <c r="B12018" i="2"/>
  <c r="B872" i="2"/>
  <c r="B11611" i="2"/>
  <c r="B444" i="2"/>
  <c r="B23067" i="2"/>
  <c r="B1159" i="2"/>
  <c r="B26868" i="2"/>
  <c r="B18342" i="2"/>
  <c r="B22548" i="2"/>
  <c r="B10575" i="2"/>
  <c r="B28473" i="2"/>
  <c r="B31034" i="2"/>
  <c r="B10025" i="2"/>
  <c r="B28990" i="2"/>
  <c r="B20299" i="2"/>
  <c r="B21431" i="2"/>
  <c r="B10099" i="2"/>
  <c r="B18954" i="2"/>
  <c r="B22448" i="2"/>
  <c r="B9401" i="2"/>
  <c r="B2136" i="2"/>
  <c r="B10044" i="2"/>
  <c r="B10014" i="2"/>
  <c r="B10042" i="2"/>
  <c r="B29691" i="2"/>
  <c r="B20996" i="2"/>
  <c r="B1042" i="2"/>
  <c r="B20113" i="2"/>
  <c r="B33908" i="2"/>
  <c r="B14752" i="2"/>
  <c r="B21525" i="2"/>
  <c r="B16072" i="2"/>
  <c r="B32833" i="2"/>
  <c r="B19052" i="2"/>
  <c r="B21383" i="2"/>
  <c r="B19379" i="2"/>
  <c r="B7712" i="2"/>
  <c r="B34246" i="2"/>
  <c r="B25882" i="2"/>
  <c r="B622" i="2"/>
  <c r="B2162" i="2"/>
  <c r="B31194" i="2"/>
  <c r="B16437" i="2"/>
  <c r="B32724" i="2"/>
  <c r="B10352" i="2"/>
  <c r="B20287" i="2"/>
  <c r="B17387" i="2"/>
  <c r="B29582" i="2"/>
  <c r="B6646" i="2"/>
  <c r="B27514" i="2"/>
  <c r="B28002" i="2"/>
  <c r="B30944" i="2"/>
  <c r="B32393" i="2"/>
  <c r="B1836" i="2"/>
  <c r="B3202" i="2"/>
  <c r="B32782" i="2"/>
  <c r="B14162" i="2"/>
  <c r="B11208" i="2"/>
  <c r="B15924" i="2"/>
  <c r="B4394" i="2"/>
  <c r="B12987" i="2"/>
  <c r="B15689" i="2"/>
  <c r="B22262" i="2"/>
  <c r="B14616" i="2"/>
  <c r="B20323" i="2"/>
  <c r="B6693" i="2"/>
  <c r="B14949" i="2"/>
  <c r="B4738" i="2"/>
  <c r="B15918" i="2"/>
  <c r="B24849" i="2"/>
  <c r="B25187" i="2"/>
  <c r="B27896" i="2"/>
  <c r="B18945" i="2"/>
  <c r="B25609" i="2"/>
  <c r="B6174" i="2"/>
  <c r="B12474" i="2"/>
  <c r="B31796" i="2"/>
  <c r="B34418" i="2"/>
  <c r="B4350" i="2"/>
  <c r="B20004" i="2"/>
  <c r="B4661" i="2"/>
  <c r="B28047" i="2"/>
  <c r="B35045" i="2"/>
  <c r="B34641" i="2"/>
  <c r="B26909" i="2"/>
  <c r="B26390" i="2"/>
  <c r="B5978" i="2"/>
  <c r="B20678" i="2"/>
  <c r="B28917" i="2"/>
  <c r="B35175" i="2"/>
  <c r="B3351" i="2"/>
  <c r="B15812" i="2"/>
  <c r="B25220" i="2"/>
  <c r="B17072" i="2"/>
  <c r="B10966" i="2"/>
  <c r="B28370" i="2"/>
  <c r="B18675" i="2"/>
  <c r="B27753" i="2"/>
  <c r="B10227" i="2"/>
  <c r="B28954" i="2"/>
  <c r="B10914" i="2"/>
  <c r="B5258" i="2"/>
  <c r="B16094" i="2"/>
  <c r="B8611" i="2"/>
  <c r="B3026" i="2"/>
  <c r="B23180" i="2"/>
  <c r="B9127" i="2"/>
  <c r="B22346" i="2"/>
  <c r="B35908" i="2"/>
  <c r="B2762" i="2"/>
  <c r="B12841" i="2"/>
  <c r="B13432" i="2"/>
  <c r="B22072" i="2"/>
  <c r="B23059" i="2"/>
  <c r="B21547" i="2"/>
  <c r="B16434" i="2"/>
  <c r="B17668" i="2"/>
  <c r="B11145" i="2"/>
  <c r="B2672" i="2"/>
  <c r="B28224" i="2"/>
  <c r="B2955" i="2"/>
  <c r="B7008" i="2"/>
  <c r="B32418" i="2"/>
  <c r="B30100" i="2"/>
  <c r="B28016" i="2"/>
  <c r="B17131" i="2"/>
  <c r="B15093" i="2"/>
  <c r="B1792" i="2"/>
  <c r="B4827" i="2"/>
  <c r="B5257" i="2"/>
  <c r="B30621" i="2"/>
  <c r="B13158" i="2"/>
  <c r="B22629" i="2"/>
  <c r="B23794" i="2"/>
  <c r="B22109" i="2"/>
  <c r="B4845" i="2"/>
  <c r="B13373" i="2"/>
  <c r="B32821" i="2"/>
  <c r="B28861" i="2"/>
  <c r="B1989" i="2"/>
  <c r="B18591" i="2"/>
  <c r="B11532" i="2"/>
  <c r="B36191" i="2"/>
  <c r="B5253" i="2"/>
  <c r="B13067" i="2"/>
  <c r="B10409" i="2"/>
  <c r="B12851" i="2"/>
  <c r="B30637" i="2"/>
  <c r="B18447" i="2"/>
  <c r="B20386" i="2"/>
  <c r="B1876" i="2"/>
  <c r="B3019" i="2"/>
  <c r="B15039" i="2"/>
  <c r="B4960" i="2"/>
  <c r="B30615" i="2"/>
  <c r="B30582" i="2"/>
  <c r="B32665" i="2"/>
  <c r="B677" i="2"/>
  <c r="B29256" i="2"/>
  <c r="B3497" i="2"/>
  <c r="B3697" i="2"/>
  <c r="B36316" i="2"/>
  <c r="B16627" i="2"/>
  <c r="B5276" i="2"/>
  <c r="B20751" i="2"/>
  <c r="B12571" i="2"/>
  <c r="B10370" i="2"/>
  <c r="B18640" i="2"/>
  <c r="B2060" i="2"/>
  <c r="B2089" i="2"/>
  <c r="B2133" i="2"/>
  <c r="B1681" i="2"/>
  <c r="B19229" i="2"/>
  <c r="B32858" i="2"/>
  <c r="B11158" i="2"/>
  <c r="B28282" i="2"/>
  <c r="B34617" i="2"/>
  <c r="B12412" i="2"/>
  <c r="B2009" i="2"/>
  <c r="B30709" i="2"/>
  <c r="B12746" i="2"/>
  <c r="B35828" i="2"/>
  <c r="B26129" i="2"/>
  <c r="B11785" i="2"/>
  <c r="B1135" i="2"/>
  <c r="B11099" i="2"/>
  <c r="B27069" i="2"/>
  <c r="B35168" i="2"/>
  <c r="B14251" i="2"/>
  <c r="B371" i="2"/>
  <c r="B1092" i="2"/>
  <c r="B12440" i="2"/>
  <c r="B28261" i="2"/>
  <c r="B9064" i="2"/>
  <c r="B11974" i="2"/>
  <c r="B10168" i="2"/>
  <c r="B601" i="2"/>
  <c r="B15972" i="2"/>
  <c r="B13782" i="2"/>
  <c r="B4402" i="2"/>
  <c r="B3898" i="2"/>
  <c r="B13289" i="2"/>
  <c r="B35802" i="2"/>
  <c r="B13293" i="2"/>
  <c r="B1968" i="2"/>
  <c r="B5511" i="2"/>
  <c r="B28881" i="2"/>
  <c r="B12687" i="2"/>
  <c r="B1873" i="2"/>
  <c r="B14631" i="2"/>
  <c r="B31189" i="2"/>
  <c r="B33064" i="2"/>
  <c r="B14481" i="2"/>
  <c r="B4833" i="2"/>
  <c r="B29922" i="2"/>
  <c r="B18607" i="2"/>
  <c r="B30928" i="2"/>
  <c r="B158" i="2"/>
  <c r="B16899" i="2"/>
  <c r="B18606" i="2"/>
  <c r="B30594" i="2"/>
  <c r="B25520" i="2"/>
  <c r="B3371" i="2"/>
  <c r="B25290" i="2"/>
  <c r="B2995" i="2"/>
  <c r="B5890" i="2"/>
  <c r="B13586" i="2"/>
  <c r="B27948" i="2"/>
  <c r="B24829" i="2"/>
  <c r="B7714" i="2"/>
  <c r="B22034" i="2"/>
  <c r="B11871" i="2"/>
  <c r="B24755" i="2"/>
  <c r="B25436" i="2"/>
  <c r="B35674" i="2"/>
  <c r="B34463" i="2"/>
  <c r="B34748" i="2"/>
  <c r="B2345" i="2"/>
  <c r="B28034" i="2"/>
  <c r="B18575" i="2"/>
  <c r="B31280" i="2"/>
  <c r="B8976" i="2"/>
  <c r="B29535" i="2"/>
  <c r="B183" i="2"/>
  <c r="B28022" i="2"/>
  <c r="B11841" i="2"/>
  <c r="B5483" i="2"/>
  <c r="B27999" i="2"/>
  <c r="B18570" i="2"/>
  <c r="B25118" i="2"/>
  <c r="B21864" i="2"/>
  <c r="B10729" i="2"/>
  <c r="B11855" i="2"/>
  <c r="B20896" i="2"/>
  <c r="B21439" i="2"/>
  <c r="B27712" i="2"/>
  <c r="B30093" i="2"/>
  <c r="B32645" i="2"/>
  <c r="B28799" i="2"/>
  <c r="B27594" i="2"/>
  <c r="B18571" i="2"/>
  <c r="B35487" i="2"/>
  <c r="B30763" i="2"/>
  <c r="B10324" i="2"/>
  <c r="B1657" i="2"/>
  <c r="B15815" i="2"/>
  <c r="B6211" i="2"/>
  <c r="B11860" i="2"/>
  <c r="B32781" i="2"/>
  <c r="B10221" i="2"/>
  <c r="B8807" i="2"/>
  <c r="B22963" i="2"/>
  <c r="B9429" i="2"/>
  <c r="B21772" i="2"/>
  <c r="B21201" i="2"/>
  <c r="B18270" i="2"/>
  <c r="B18577" i="2"/>
  <c r="B3310" i="2"/>
  <c r="B15721" i="2"/>
  <c r="B35435" i="2"/>
  <c r="B29040" i="2"/>
  <c r="B34542" i="2"/>
  <c r="B21882" i="2"/>
  <c r="B14999" i="2"/>
  <c r="B17770" i="2"/>
  <c r="B28267" i="2"/>
  <c r="B20741" i="2"/>
  <c r="B5237" i="2"/>
  <c r="B20613" i="2"/>
  <c r="B23469" i="2"/>
  <c r="B10871" i="2"/>
  <c r="B31031" i="2"/>
  <c r="B21064" i="2"/>
  <c r="B30964" i="2"/>
  <c r="B16461" i="2"/>
  <c r="B33572" i="2"/>
  <c r="B15744" i="2"/>
  <c r="B735" i="2"/>
  <c r="B34988" i="2"/>
  <c r="B24211" i="2"/>
  <c r="B15140" i="2"/>
  <c r="B35743" i="2"/>
  <c r="B2747" i="2"/>
  <c r="B16403" i="2"/>
  <c r="B30122" i="2"/>
  <c r="B18934" i="2"/>
  <c r="B29996" i="2"/>
  <c r="B3224" i="2"/>
  <c r="B32716" i="2"/>
  <c r="B18291" i="2"/>
  <c r="B32910" i="2"/>
  <c r="B16748" i="2"/>
  <c r="B31226" i="2"/>
  <c r="B16784" i="2"/>
  <c r="B27509" i="2"/>
  <c r="B14112" i="2"/>
  <c r="B23680" i="2"/>
  <c r="B27044" i="2"/>
  <c r="B21015" i="2"/>
  <c r="B29638" i="2"/>
  <c r="B35140" i="2"/>
  <c r="B33602" i="2"/>
  <c r="B570" i="2"/>
  <c r="B522" i="2"/>
  <c r="B20737" i="2"/>
  <c r="B73" i="2"/>
  <c r="B29488" i="2"/>
  <c r="B3749" i="2"/>
  <c r="B3353" i="2"/>
  <c r="B3654" i="2"/>
  <c r="B14859" i="2"/>
  <c r="B21574" i="2"/>
  <c r="B1150" i="2"/>
  <c r="B7997" i="2"/>
  <c r="B26420" i="2"/>
  <c r="B18791" i="2"/>
  <c r="B8787" i="2"/>
  <c r="B28486" i="2"/>
  <c r="B19545" i="2"/>
  <c r="B5787" i="2"/>
  <c r="B35392" i="2"/>
  <c r="B13178" i="2"/>
  <c r="B6309" i="2"/>
  <c r="B12548" i="2"/>
  <c r="B10911" i="2"/>
  <c r="B31095" i="2"/>
  <c r="B14312" i="2"/>
  <c r="B35356" i="2"/>
  <c r="B8844" i="2"/>
  <c r="B31343" i="2"/>
  <c r="B301" i="2"/>
  <c r="B1357" i="2"/>
  <c r="B17815" i="2"/>
  <c r="B2872" i="2"/>
  <c r="B32103" i="2"/>
  <c r="B12882" i="2"/>
  <c r="B25363" i="2"/>
  <c r="B23053" i="2"/>
  <c r="B34344" i="2"/>
  <c r="B13301" i="2"/>
  <c r="B10293" i="2"/>
  <c r="B30421" i="2"/>
  <c r="B24103" i="2"/>
  <c r="B33608" i="2"/>
  <c r="B33749" i="2"/>
  <c r="B606" i="2"/>
  <c r="B10197" i="2"/>
  <c r="B30814" i="2"/>
  <c r="B2320" i="2"/>
  <c r="B30913" i="2"/>
  <c r="B31418" i="2"/>
  <c r="B32083" i="2"/>
  <c r="B23277" i="2"/>
  <c r="B11994" i="2"/>
  <c r="B7466" i="2"/>
  <c r="B35410" i="2"/>
  <c r="B4888" i="2"/>
  <c r="B18843" i="2"/>
  <c r="B28591" i="2"/>
  <c r="B28392" i="2"/>
  <c r="B34431" i="2"/>
  <c r="B16566" i="2"/>
  <c r="B1296" i="2"/>
  <c r="B21142" i="2"/>
  <c r="B19890" i="2"/>
  <c r="B24530" i="2"/>
  <c r="B26330" i="2"/>
  <c r="B7155" i="2"/>
  <c r="B394" i="2"/>
  <c r="B15149" i="2"/>
  <c r="B29372" i="2"/>
  <c r="B15137" i="2"/>
  <c r="B31081" i="2"/>
  <c r="B11866" i="2"/>
  <c r="B21673" i="2"/>
  <c r="B34454" i="2"/>
  <c r="B11434" i="2"/>
  <c r="B19023" i="2"/>
  <c r="B30825" i="2"/>
  <c r="B30813" i="2"/>
  <c r="B28513" i="2"/>
  <c r="B35528" i="2"/>
  <c r="B27725" i="2"/>
  <c r="B34716" i="2"/>
  <c r="B33487" i="2"/>
  <c r="B29351" i="2"/>
  <c r="B118" i="2"/>
  <c r="B13653" i="2"/>
  <c r="B8897" i="2"/>
  <c r="B8240" i="2"/>
  <c r="B15523" i="2"/>
  <c r="B31103" i="2"/>
  <c r="B6492" i="2"/>
  <c r="B4385" i="2"/>
  <c r="B13137" i="2"/>
  <c r="B1445" i="2"/>
  <c r="B16915" i="2"/>
  <c r="B1900" i="2"/>
  <c r="B31245" i="2"/>
  <c r="B32754" i="2"/>
  <c r="B24859" i="2"/>
  <c r="B4079" i="2"/>
  <c r="B17612" i="2"/>
  <c r="B11287" i="2"/>
  <c r="B34762" i="2"/>
  <c r="B10848" i="2"/>
  <c r="B31995" i="2"/>
  <c r="B33519" i="2"/>
  <c r="B1132" i="2"/>
  <c r="B32081" i="2"/>
  <c r="B18138" i="2"/>
  <c r="B28937" i="2"/>
  <c r="B16576" i="2"/>
  <c r="B29592" i="2"/>
  <c r="B20733" i="2"/>
  <c r="B21345" i="2"/>
  <c r="B17824" i="2"/>
  <c r="B17662" i="2"/>
  <c r="B18091" i="2"/>
  <c r="B11629" i="2"/>
  <c r="B19778" i="2"/>
  <c r="B17322" i="2"/>
  <c r="B17711" i="2"/>
  <c r="B8502" i="2"/>
  <c r="B17130" i="2"/>
  <c r="B11659" i="2"/>
  <c r="B18233" i="2"/>
  <c r="B32535" i="2"/>
  <c r="B3319" i="2"/>
  <c r="B13956" i="2"/>
  <c r="B32482" i="2"/>
  <c r="B637" i="2"/>
  <c r="B35817" i="2"/>
  <c r="B7568" i="2"/>
  <c r="B5387" i="2"/>
  <c r="B16895" i="2"/>
  <c r="B11195" i="2"/>
  <c r="B23986" i="2"/>
  <c r="B25320" i="2"/>
  <c r="B33783" i="2"/>
  <c r="B15698" i="2"/>
  <c r="B21539" i="2"/>
  <c r="B30066" i="2"/>
  <c r="B18010" i="2"/>
  <c r="B34359" i="2"/>
  <c r="B19302" i="2"/>
  <c r="B25992" i="2"/>
  <c r="B16739" i="2"/>
  <c r="B27540" i="2"/>
  <c r="B12297" i="2"/>
  <c r="B15532" i="2"/>
  <c r="B20527" i="2"/>
  <c r="B19162" i="2"/>
  <c r="B1686" i="2"/>
  <c r="B33828" i="2"/>
  <c r="B1951" i="2"/>
  <c r="B21933" i="2"/>
  <c r="B577" i="2"/>
  <c r="B19203" i="2"/>
  <c r="B2077" i="2"/>
  <c r="B5679" i="2"/>
  <c r="B9283" i="2"/>
  <c r="B10288" i="2"/>
  <c r="B29018" i="2"/>
  <c r="B14304" i="2"/>
  <c r="B14474" i="2"/>
  <c r="B14260" i="2"/>
  <c r="B35516" i="2"/>
  <c r="B1228" i="2"/>
  <c r="B6875" i="2"/>
  <c r="B22378" i="2"/>
  <c r="B20646" i="2"/>
  <c r="B27730" i="2"/>
  <c r="B11594" i="2"/>
  <c r="B34471" i="2"/>
  <c r="B3918" i="2"/>
  <c r="B13130" i="2"/>
  <c r="B15476" i="2"/>
  <c r="B3601" i="2"/>
  <c r="B17483" i="2"/>
  <c r="B29205" i="2"/>
  <c r="B16021" i="2"/>
  <c r="B17061" i="2"/>
  <c r="B23147" i="2"/>
  <c r="B27215" i="2"/>
  <c r="B35274" i="2"/>
  <c r="B31110" i="2"/>
  <c r="B505" i="2"/>
  <c r="B15915" i="2"/>
  <c r="B17214" i="2"/>
  <c r="B29677" i="2"/>
  <c r="B17987" i="2"/>
  <c r="B10744" i="2"/>
  <c r="B16871" i="2"/>
  <c r="B2755" i="2"/>
  <c r="B11069" i="2"/>
  <c r="B466" i="2"/>
  <c r="B34000" i="2"/>
  <c r="B15163" i="2"/>
  <c r="B16769" i="2"/>
  <c r="B18767" i="2"/>
  <c r="B7114" i="2"/>
  <c r="B23979" i="2"/>
  <c r="B22582" i="2"/>
  <c r="B10430" i="2"/>
  <c r="B14951" i="2"/>
  <c r="B2210" i="2"/>
  <c r="B29392" i="2"/>
  <c r="B23935" i="2"/>
  <c r="B32053" i="2"/>
  <c r="B28220" i="2"/>
  <c r="B21917" i="2"/>
  <c r="B32444" i="2"/>
  <c r="B21104" i="2"/>
  <c r="B27173" i="2"/>
  <c r="B8143" i="2"/>
  <c r="B32325" i="2"/>
  <c r="B27849" i="2"/>
  <c r="B21353" i="2"/>
  <c r="B17263" i="2"/>
  <c r="B27983" i="2"/>
  <c r="B12049" i="2"/>
  <c r="B16070" i="2"/>
  <c r="B14223" i="2"/>
  <c r="B31240" i="2"/>
  <c r="B3939" i="2"/>
  <c r="B8711" i="2"/>
  <c r="B2419" i="2"/>
  <c r="B5347" i="2"/>
  <c r="B11090" i="2"/>
  <c r="B33792" i="2"/>
  <c r="B1000" i="2"/>
  <c r="B22678" i="2"/>
  <c r="B2014" i="2"/>
  <c r="B12480" i="2"/>
  <c r="B31052" i="2"/>
  <c r="B12466" i="2"/>
  <c r="B7778" i="2"/>
  <c r="B34415" i="2"/>
  <c r="B11914" i="2"/>
  <c r="B32677" i="2"/>
  <c r="B19906" i="2"/>
  <c r="B4893" i="2"/>
  <c r="B4653" i="2"/>
  <c r="B245" i="2"/>
  <c r="B1883" i="2"/>
  <c r="B35910" i="2"/>
  <c r="B21541" i="2"/>
  <c r="B19477" i="2"/>
  <c r="B19221" i="2"/>
  <c r="B8233" i="2"/>
  <c r="B13129" i="2"/>
  <c r="B14723" i="2"/>
  <c r="B33764" i="2"/>
  <c r="B34037" i="2"/>
  <c r="B17512" i="2"/>
  <c r="B15373" i="2"/>
  <c r="B28739" i="2"/>
  <c r="B18509" i="2"/>
  <c r="B35541" i="2"/>
  <c r="B30467" i="2"/>
  <c r="B28272" i="2"/>
  <c r="B33559" i="2"/>
  <c r="B33679" i="2"/>
  <c r="B33918" i="2"/>
  <c r="B35163" i="2"/>
  <c r="B35792" i="2"/>
  <c r="B35867" i="2"/>
  <c r="B17235" i="2"/>
  <c r="B30771" i="2"/>
  <c r="B13011" i="2"/>
  <c r="B9416" i="2"/>
  <c r="B22720" i="2"/>
  <c r="B6814" i="2"/>
  <c r="B21755" i="2"/>
  <c r="B24600" i="2"/>
  <c r="B21188" i="2"/>
  <c r="B4688" i="2"/>
  <c r="B14876" i="2"/>
  <c r="B17640" i="2"/>
  <c r="B30977" i="2"/>
  <c r="B10397" i="2"/>
  <c r="B11184" i="2"/>
  <c r="B18" i="2"/>
  <c r="B2382" i="2"/>
  <c r="B16297" i="2"/>
  <c r="B736" i="2"/>
  <c r="B2436" i="2"/>
  <c r="B1576" i="2"/>
  <c r="B12506" i="2"/>
  <c r="B20316" i="2"/>
  <c r="B12158" i="2"/>
  <c r="B30348" i="2"/>
  <c r="B10320" i="2"/>
  <c r="B32449" i="2"/>
  <c r="B19309" i="2"/>
  <c r="B14009" i="2"/>
  <c r="B28897" i="2"/>
  <c r="B31959" i="2"/>
  <c r="B35242" i="2"/>
  <c r="B9382" i="2"/>
  <c r="B5164" i="2"/>
  <c r="B31002" i="2"/>
  <c r="B30109" i="2"/>
  <c r="B4468" i="2"/>
  <c r="B10171" i="2"/>
  <c r="B21193" i="2"/>
  <c r="B13198" i="2"/>
  <c r="B24591" i="2"/>
  <c r="B986" i="2"/>
  <c r="B19300" i="2"/>
  <c r="B30286" i="2"/>
  <c r="B1645" i="2"/>
  <c r="B30664" i="2"/>
  <c r="B289" i="2"/>
  <c r="B10453" i="2"/>
  <c r="B23597" i="2"/>
  <c r="B21456" i="2"/>
  <c r="B29967" i="2"/>
  <c r="B1234" i="2"/>
  <c r="B28066" i="2"/>
  <c r="B22058" i="2"/>
  <c r="B32142" i="2"/>
  <c r="B30329" i="2"/>
  <c r="B28313" i="2"/>
  <c r="B13452" i="2"/>
  <c r="B14762" i="2"/>
  <c r="B34363" i="2"/>
  <c r="B30115" i="2"/>
  <c r="B3774" i="2"/>
  <c r="B23007" i="2"/>
  <c r="B35453" i="2"/>
  <c r="B996" i="2"/>
  <c r="B18938" i="2"/>
  <c r="B2890" i="2"/>
  <c r="B30572" i="2"/>
  <c r="B31255" i="2"/>
  <c r="B5352" i="2"/>
  <c r="B30155" i="2"/>
  <c r="B28390" i="2"/>
  <c r="B57" i="2"/>
  <c r="B35706" i="2"/>
  <c r="B17247" i="2"/>
  <c r="B24452" i="2"/>
  <c r="B22161" i="2"/>
  <c r="B35891" i="2"/>
  <c r="B15387" i="2"/>
  <c r="B30951" i="2"/>
  <c r="B9456" i="2"/>
  <c r="B25727" i="2"/>
  <c r="B19728" i="2"/>
  <c r="B8577" i="2"/>
  <c r="B12953" i="2"/>
  <c r="B25633" i="2"/>
  <c r="B22955" i="2"/>
  <c r="B7161" i="2"/>
  <c r="B1313" i="2"/>
  <c r="B19490" i="2"/>
  <c r="B34329" i="2"/>
  <c r="B27607" i="2"/>
  <c r="B10286" i="2"/>
  <c r="B6607" i="2"/>
  <c r="B35892" i="2"/>
  <c r="B18727" i="2"/>
  <c r="B35217" i="2"/>
  <c r="B6539" i="2"/>
  <c r="B24688" i="2"/>
  <c r="B29570" i="2"/>
  <c r="B15400" i="2"/>
  <c r="B7628" i="2"/>
  <c r="B24713" i="2"/>
  <c r="B33239" i="2"/>
  <c r="B8349" i="2"/>
  <c r="B9600" i="2"/>
  <c r="B8692" i="2"/>
  <c r="B33434" i="2"/>
  <c r="B31383" i="2"/>
  <c r="B29733" i="2"/>
  <c r="B10237" i="2"/>
  <c r="B11229" i="2"/>
  <c r="B563" i="2"/>
  <c r="B25544" i="2"/>
  <c r="B21055" i="2"/>
  <c r="B195" i="2"/>
  <c r="B27593" i="2"/>
  <c r="B27943" i="2"/>
  <c r="B35051" i="2"/>
  <c r="B26606" i="2"/>
  <c r="B9261" i="2"/>
  <c r="B16042" i="2"/>
  <c r="B13492" i="2"/>
  <c r="B21426" i="2"/>
  <c r="B11806" i="2"/>
  <c r="B17126" i="2"/>
  <c r="B27116" i="2"/>
  <c r="B25837" i="2"/>
  <c r="B13593" i="2"/>
  <c r="B9741" i="2"/>
  <c r="B9895" i="2"/>
  <c r="B28884" i="2"/>
  <c r="B14301" i="2"/>
  <c r="B8400" i="2"/>
  <c r="B13151" i="2"/>
  <c r="B25326" i="2"/>
  <c r="B14443" i="2"/>
  <c r="B11111" i="2"/>
  <c r="B33921" i="2"/>
  <c r="B25802" i="2"/>
  <c r="B20152" i="2"/>
  <c r="B21452" i="2"/>
  <c r="B26193" i="2"/>
  <c r="B17015" i="2"/>
  <c r="B17598" i="2"/>
  <c r="B24017" i="2"/>
  <c r="B15309" i="2"/>
  <c r="B7214" i="2"/>
  <c r="B22480" i="2"/>
  <c r="B27563" i="2"/>
  <c r="B21846" i="2"/>
  <c r="B18176" i="2"/>
  <c r="B33119" i="2"/>
  <c r="B21092" i="2"/>
  <c r="B11373" i="2"/>
  <c r="B20510" i="2"/>
  <c r="B13685" i="2"/>
  <c r="B22557" i="2"/>
  <c r="B35149" i="2"/>
  <c r="B24416" i="2"/>
  <c r="B18456" i="2"/>
  <c r="B31336" i="2"/>
  <c r="B15106" i="2"/>
  <c r="B32296" i="2"/>
  <c r="B24905" i="2"/>
  <c r="B35517" i="2"/>
  <c r="B13507" i="2"/>
  <c r="B22217" i="2"/>
  <c r="B35697" i="2"/>
  <c r="B34999" i="2"/>
  <c r="B16047" i="2"/>
  <c r="B15695" i="2"/>
  <c r="B14605" i="2"/>
  <c r="B19689" i="2"/>
  <c r="B19584" i="2"/>
  <c r="B26755" i="2"/>
  <c r="B19691" i="2"/>
  <c r="B23347" i="2"/>
  <c r="B1460" i="2"/>
  <c r="B20743" i="2"/>
  <c r="B22496" i="2"/>
  <c r="B4184" i="2"/>
  <c r="B26511" i="2"/>
  <c r="B22849" i="2"/>
  <c r="B3106" i="2"/>
  <c r="B21860" i="2"/>
  <c r="B17889" i="2"/>
  <c r="B22585" i="2"/>
  <c r="B15388" i="2"/>
  <c r="B12192" i="2"/>
  <c r="B24020" i="2"/>
  <c r="B15378" i="2"/>
  <c r="B35370" i="2"/>
  <c r="B15265" i="2"/>
  <c r="B27998" i="2"/>
  <c r="B26003" i="2"/>
  <c r="B20426" i="2"/>
  <c r="B6453" i="2"/>
  <c r="B26398" i="2"/>
  <c r="B12957" i="2"/>
  <c r="B16683" i="2"/>
  <c r="B12549" i="2"/>
  <c r="B21888" i="2"/>
  <c r="B22240" i="2"/>
  <c r="B11745" i="2"/>
  <c r="B10403" i="2"/>
  <c r="B25455" i="2"/>
  <c r="B12245" i="2"/>
  <c r="B19534" i="2"/>
  <c r="B5947" i="2"/>
  <c r="B16424" i="2"/>
  <c r="B10952" i="2"/>
  <c r="B22623" i="2"/>
  <c r="B11648" i="2"/>
  <c r="B1414" i="2"/>
  <c r="B2691" i="2"/>
  <c r="B10469" i="2"/>
  <c r="B8439" i="2"/>
  <c r="B20781" i="2"/>
  <c r="B11701" i="2"/>
  <c r="B13212" i="2"/>
  <c r="B23257" i="2"/>
  <c r="B4605" i="2"/>
  <c r="B21932" i="2"/>
  <c r="B4587" i="2"/>
  <c r="B17832" i="2"/>
  <c r="B20124" i="2"/>
  <c r="B14990" i="2"/>
  <c r="B19434" i="2"/>
  <c r="B12507" i="2"/>
  <c r="B18123" i="2"/>
  <c r="B26371" i="2"/>
  <c r="B23316" i="2"/>
  <c r="B19096" i="2"/>
  <c r="B19504" i="2"/>
  <c r="B23264" i="2"/>
  <c r="B33968" i="2"/>
  <c r="B34599" i="2"/>
  <c r="B18691" i="2"/>
  <c r="B22563" i="2"/>
  <c r="B26289" i="2"/>
  <c r="B3413" i="2"/>
  <c r="B15181" i="2"/>
  <c r="B21200" i="2"/>
  <c r="B26794" i="2"/>
  <c r="B27219" i="2"/>
  <c r="B72" i="2"/>
  <c r="B23338" i="2"/>
  <c r="B20028" i="2"/>
  <c r="B26835" i="2"/>
  <c r="B14085" i="2"/>
  <c r="B21197" i="2"/>
  <c r="B34952" i="2"/>
  <c r="B5531" i="2"/>
  <c r="B25675" i="2"/>
  <c r="B14947" i="2"/>
  <c r="B19030" i="2"/>
  <c r="B21985" i="2"/>
  <c r="B26450" i="2"/>
  <c r="B25671" i="2"/>
  <c r="B22267" i="2"/>
  <c r="B23319" i="2"/>
  <c r="B9956" i="2"/>
  <c r="B25588" i="2"/>
  <c r="B36047" i="2"/>
  <c r="B22544" i="2"/>
  <c r="B20" i="2"/>
  <c r="B7386" i="2"/>
  <c r="B22880" i="2"/>
  <c r="B21047" i="2"/>
  <c r="B20881" i="2"/>
  <c r="B18490" i="2"/>
  <c r="B35636" i="2"/>
  <c r="B999" i="2"/>
  <c r="B697" i="2"/>
  <c r="B21252" i="2"/>
  <c r="B15178" i="2"/>
  <c r="B17113" i="2"/>
  <c r="B22358" i="2"/>
  <c r="B9424" i="2"/>
  <c r="B31233" i="2"/>
  <c r="B11445" i="2"/>
  <c r="B21814" i="2"/>
  <c r="B3795" i="2"/>
  <c r="B18749" i="2"/>
  <c r="B12449" i="2"/>
  <c r="B11850" i="2"/>
  <c r="B14839" i="2"/>
  <c r="B26750" i="2"/>
  <c r="B18025" i="2"/>
  <c r="B197" i="2"/>
  <c r="B789" i="2"/>
  <c r="B33646" i="2"/>
  <c r="B25625" i="2"/>
  <c r="B12261" i="2"/>
  <c r="B28344" i="2"/>
  <c r="B21536" i="2"/>
  <c r="B36206" i="2"/>
  <c r="B29843" i="2"/>
  <c r="B35155" i="2"/>
  <c r="B28789" i="2"/>
  <c r="B22520" i="2"/>
  <c r="B9965" i="2"/>
  <c r="B19500" i="2"/>
  <c r="B19033" i="2"/>
  <c r="B18178" i="2"/>
  <c r="B18784" i="2"/>
  <c r="B31598" i="2"/>
  <c r="B2042" i="2"/>
  <c r="B15997" i="2"/>
  <c r="B29098" i="2"/>
  <c r="B16343" i="2"/>
  <c r="B14666" i="2"/>
  <c r="B14079" i="2"/>
  <c r="B10166" i="2"/>
  <c r="B9103" i="2"/>
  <c r="B1451" i="2"/>
  <c r="B3673" i="2"/>
  <c r="B29534" i="2"/>
  <c r="B31688" i="2"/>
  <c r="B9845" i="2"/>
  <c r="B7910" i="2"/>
  <c r="B22223" i="2"/>
  <c r="B17191" i="2"/>
  <c r="B9896" i="2"/>
  <c r="B13928" i="2"/>
  <c r="B35332" i="2"/>
  <c r="B8857" i="2"/>
  <c r="B10643" i="2"/>
  <c r="B29763" i="2"/>
  <c r="B33311" i="2"/>
  <c r="B28554" i="2"/>
  <c r="B30741" i="2"/>
  <c r="B13577" i="2"/>
  <c r="B22124" i="2"/>
  <c r="B34058" i="2"/>
  <c r="B32808" i="2"/>
  <c r="B6958" i="2"/>
  <c r="B12098" i="2"/>
  <c r="B17076" i="2"/>
  <c r="B25506" i="2"/>
  <c r="B16642" i="2"/>
  <c r="B9811" i="2"/>
  <c r="B18265" i="2"/>
  <c r="B18089" i="2"/>
  <c r="B32125" i="2"/>
  <c r="B4442" i="2"/>
  <c r="B21732" i="2"/>
  <c r="B1892" i="2"/>
  <c r="B6947" i="2"/>
  <c r="B24351" i="2"/>
  <c r="B10712" i="2"/>
  <c r="B3317" i="2"/>
  <c r="B18598" i="2"/>
  <c r="B27235" i="2"/>
  <c r="B17882" i="2"/>
  <c r="B17890" i="2"/>
  <c r="B19328" i="2"/>
  <c r="B19615" i="2"/>
  <c r="B595" i="2"/>
  <c r="B12207" i="2"/>
  <c r="B34151" i="2"/>
  <c r="B2370" i="2"/>
  <c r="B36352" i="2"/>
  <c r="B10253" i="2"/>
  <c r="B19350" i="2"/>
  <c r="B23148" i="2"/>
  <c r="B32330" i="2"/>
  <c r="B18192" i="2"/>
  <c r="B26468" i="2"/>
  <c r="B23039" i="2"/>
  <c r="B27374" i="2"/>
  <c r="B20814" i="2"/>
  <c r="B8407" i="2"/>
  <c r="B8487" i="2"/>
  <c r="B1245" i="2"/>
  <c r="B17763" i="2"/>
  <c r="B756" i="2"/>
  <c r="B13597" i="2"/>
  <c r="B14391" i="2"/>
  <c r="B13658" i="2"/>
  <c r="B10250" i="2"/>
  <c r="B31246" i="2"/>
  <c r="B34207" i="2"/>
  <c r="B21725" i="2"/>
  <c r="B12967" i="2"/>
  <c r="B12569" i="2"/>
  <c r="B27956" i="2"/>
  <c r="B21759" i="2"/>
  <c r="B5644" i="2"/>
  <c r="B531" i="2"/>
  <c r="B24265" i="2"/>
  <c r="B23436" i="2"/>
  <c r="B26344" i="2"/>
  <c r="B77" i="2"/>
  <c r="B23324" i="2"/>
  <c r="B28436" i="2"/>
  <c r="B16053" i="2"/>
  <c r="B27551" i="2"/>
  <c r="B23612" i="2"/>
  <c r="B34685" i="2"/>
  <c r="B25613" i="2"/>
  <c r="B24941" i="2"/>
  <c r="B33904" i="2"/>
  <c r="B9813" i="2"/>
  <c r="B25946" i="2"/>
  <c r="B36185" i="2"/>
  <c r="B12961" i="2"/>
  <c r="B15606" i="2"/>
  <c r="B11911" i="2"/>
  <c r="B10766" i="2"/>
  <c r="B22243" i="2"/>
  <c r="B33588" i="2"/>
  <c r="B11645" i="2"/>
  <c r="B22038" i="2"/>
  <c r="B34005" i="2"/>
  <c r="B27470" i="2"/>
  <c r="B18420" i="2"/>
  <c r="B10828" i="2"/>
  <c r="B29417" i="2"/>
  <c r="B33958" i="2"/>
  <c r="B11604" i="2"/>
  <c r="B13893" i="2"/>
  <c r="B1678" i="2"/>
  <c r="B10984" i="2"/>
  <c r="B24952" i="2"/>
  <c r="B10076" i="2"/>
  <c r="B22045" i="2"/>
  <c r="B17085" i="2"/>
  <c r="B21016" i="2"/>
  <c r="B29116" i="2"/>
  <c r="B19926" i="2"/>
  <c r="B6342" i="2"/>
  <c r="B12719" i="2"/>
  <c r="B229" i="2"/>
  <c r="B4361" i="2"/>
  <c r="B5112" i="2"/>
  <c r="B2437" i="2"/>
  <c r="B35114" i="2"/>
  <c r="B32329" i="2"/>
  <c r="B20988" i="2"/>
  <c r="B20164" i="2"/>
  <c r="B29838" i="2"/>
  <c r="B16377" i="2"/>
  <c r="B17203" i="2"/>
  <c r="B5002" i="2"/>
  <c r="B27488" i="2"/>
  <c r="B9057" i="2"/>
  <c r="B26248" i="2"/>
  <c r="B34116" i="2"/>
  <c r="B33562" i="2"/>
  <c r="B6882" i="2"/>
  <c r="B20366" i="2"/>
  <c r="B2088" i="2"/>
  <c r="B16093" i="2"/>
  <c r="B9333" i="2"/>
  <c r="B30065" i="2"/>
  <c r="B22462" i="2"/>
  <c r="B5196" i="2"/>
  <c r="B3457" i="2"/>
  <c r="B27938" i="2"/>
  <c r="B4105" i="2"/>
  <c r="B11024" i="2"/>
  <c r="B17955" i="2"/>
  <c r="B10982" i="2"/>
  <c r="B16144" i="2"/>
  <c r="B25312" i="2"/>
  <c r="B14913" i="2"/>
  <c r="B2093" i="2"/>
  <c r="B21023" i="2"/>
  <c r="B20866" i="2"/>
  <c r="B31057" i="2"/>
  <c r="B20815" i="2"/>
  <c r="B21609" i="2"/>
  <c r="B3935" i="2"/>
  <c r="B32717" i="2"/>
  <c r="B19191" i="2"/>
  <c r="B19846" i="2"/>
  <c r="B2727" i="2"/>
  <c r="B15499" i="2"/>
  <c r="B4470" i="2"/>
  <c r="B16484" i="2"/>
  <c r="B4881" i="2"/>
  <c r="B32311" i="2"/>
  <c r="B11169" i="2"/>
  <c r="B16304" i="2"/>
  <c r="B28395" i="2"/>
  <c r="B21422" i="2"/>
  <c r="B18649" i="2"/>
  <c r="B1899" i="2"/>
  <c r="B13779" i="2"/>
  <c r="B25039" i="2"/>
  <c r="B7170" i="2"/>
  <c r="B26744" i="2"/>
  <c r="B9914" i="2"/>
  <c r="B15054" i="2"/>
  <c r="B20831" i="2"/>
  <c r="B16512" i="2"/>
  <c r="B16235" i="2"/>
  <c r="B20058" i="2"/>
  <c r="B17143" i="2"/>
  <c r="B35387" i="2"/>
  <c r="B1552" i="2"/>
  <c r="B3863" i="2"/>
  <c r="B9512" i="2"/>
  <c r="B11616" i="2"/>
  <c r="B12894" i="2"/>
  <c r="B11342" i="2"/>
  <c r="B33078" i="2"/>
  <c r="B20233" i="2"/>
  <c r="B24238" i="2"/>
  <c r="B24234" i="2"/>
  <c r="B33120" i="2"/>
  <c r="B892" i="2"/>
  <c r="B22847" i="2"/>
  <c r="B27280" i="2"/>
  <c r="B8635" i="2"/>
  <c r="B17022" i="2"/>
  <c r="B23572" i="2"/>
  <c r="B6039" i="2"/>
  <c r="B27071" i="2"/>
  <c r="B34608" i="2"/>
  <c r="B36285" i="2"/>
  <c r="B447" i="2"/>
  <c r="B28773" i="2"/>
  <c r="B21111" i="2"/>
  <c r="B21331" i="2"/>
  <c r="B24403" i="2"/>
  <c r="B14059" i="2"/>
  <c r="B13270" i="2"/>
  <c r="B1717" i="2"/>
  <c r="B4561" i="2"/>
  <c r="B23302" i="2"/>
  <c r="B23106" i="2"/>
  <c r="B20666" i="2"/>
  <c r="B15672" i="2"/>
  <c r="B22575" i="2"/>
  <c r="B25152" i="2"/>
  <c r="B27288" i="2"/>
  <c r="B7514" i="2"/>
  <c r="B29908" i="2"/>
  <c r="B35266" i="2"/>
  <c r="B20863" i="2"/>
  <c r="B1019" i="2"/>
  <c r="B24589" i="2"/>
  <c r="B20609" i="2"/>
  <c r="B25203" i="2"/>
  <c r="B9840" i="2"/>
  <c r="B22879" i="2"/>
  <c r="B22016" i="2"/>
  <c r="B13657" i="2"/>
  <c r="B30852" i="2"/>
  <c r="B33980" i="2"/>
  <c r="B23371" i="2"/>
  <c r="B8823" i="2"/>
  <c r="B23579" i="2"/>
  <c r="B13890" i="2"/>
  <c r="B17985" i="2"/>
  <c r="B22290" i="2"/>
  <c r="B7390" i="2"/>
  <c r="B1922" i="2"/>
  <c r="B25900" i="2"/>
  <c r="B9742" i="2"/>
  <c r="B15662" i="2"/>
  <c r="B13925" i="2"/>
  <c r="B26341" i="2"/>
  <c r="B818" i="2"/>
  <c r="B27378" i="2"/>
  <c r="B16986" i="2"/>
  <c r="B21412" i="2"/>
  <c r="B21026" i="2"/>
  <c r="B7377" i="2"/>
  <c r="B27907" i="2"/>
  <c r="B35207" i="2"/>
  <c r="B10987" i="2"/>
  <c r="B29272" i="2"/>
  <c r="B14502" i="2"/>
  <c r="B21156" i="2"/>
  <c r="B22236" i="2"/>
  <c r="B838" i="2"/>
  <c r="B22119" i="2"/>
  <c r="B14543" i="2"/>
  <c r="B22135" i="2"/>
  <c r="B15515" i="2"/>
  <c r="B23728" i="2"/>
  <c r="B17557" i="2"/>
  <c r="B26763" i="2"/>
  <c r="B25094" i="2"/>
  <c r="B19180" i="2"/>
  <c r="B27129" i="2"/>
  <c r="B23425" i="2"/>
  <c r="B10641" i="2"/>
  <c r="B9329" i="2"/>
  <c r="B4545" i="2"/>
  <c r="B24515" i="2"/>
  <c r="B26861" i="2"/>
  <c r="B6900" i="2"/>
  <c r="B5165" i="2"/>
  <c r="B26564" i="2"/>
  <c r="B30162" i="2"/>
  <c r="B19274" i="2"/>
  <c r="B27536" i="2"/>
  <c r="B4406" i="2"/>
  <c r="B21325" i="2"/>
  <c r="B27324" i="2"/>
  <c r="B6325" i="2"/>
  <c r="B6357" i="2"/>
  <c r="B13076" i="2"/>
  <c r="B28732" i="2"/>
  <c r="B12384" i="2"/>
  <c r="B24914" i="2"/>
  <c r="B3429" i="2"/>
  <c r="B597" i="2"/>
  <c r="B11568" i="2"/>
  <c r="B12352" i="2"/>
  <c r="B9887" i="2"/>
  <c r="B19373" i="2"/>
  <c r="B9061" i="2"/>
  <c r="B11572" i="2"/>
  <c r="B11405" i="2"/>
  <c r="B16160" i="2"/>
  <c r="B23262" i="2"/>
  <c r="B19604" i="2"/>
  <c r="B696" i="2"/>
  <c r="B26577" i="2"/>
  <c r="B10398" i="2"/>
  <c r="B19495" i="2"/>
  <c r="B10556" i="2"/>
  <c r="B14556" i="2"/>
  <c r="B28712" i="2"/>
  <c r="B26596" i="2"/>
  <c r="B18734" i="2"/>
  <c r="B6970" i="2"/>
  <c r="B27428" i="2"/>
  <c r="B8073" i="2"/>
  <c r="B14434" i="2"/>
  <c r="B11731" i="2"/>
  <c r="B29108" i="2"/>
  <c r="B27550" i="2"/>
  <c r="B22420" i="2"/>
  <c r="B25463" i="2"/>
  <c r="B15092" i="2"/>
  <c r="B34128" i="2"/>
  <c r="B12133" i="2"/>
  <c r="B17962" i="2"/>
  <c r="B24911" i="2"/>
  <c r="B12447" i="2"/>
  <c r="B16078" i="2"/>
  <c r="B12251" i="2"/>
  <c r="B14540" i="2"/>
  <c r="B26694" i="2"/>
  <c r="B12388" i="2"/>
  <c r="B22845" i="2"/>
  <c r="B33919" i="2"/>
  <c r="B17179" i="2"/>
  <c r="B14977" i="2"/>
  <c r="B19317" i="2"/>
  <c r="B1719" i="2"/>
  <c r="B24906" i="2"/>
  <c r="B34008" i="2"/>
  <c r="B20846" i="2"/>
  <c r="B27348" i="2"/>
  <c r="B26187" i="2"/>
  <c r="B23176" i="2"/>
  <c r="B25927" i="2"/>
  <c r="B22511" i="2"/>
  <c r="B22159" i="2"/>
  <c r="B15133" i="2"/>
  <c r="B23000" i="2"/>
  <c r="B18468" i="2"/>
  <c r="B11116" i="2"/>
  <c r="B26842" i="2"/>
  <c r="B13615" i="2"/>
  <c r="B10491" i="2"/>
  <c r="B27744" i="2"/>
  <c r="B14447" i="2"/>
  <c r="B22961" i="2"/>
  <c r="B4413" i="2"/>
  <c r="B9771" i="2"/>
  <c r="B6436" i="2"/>
  <c r="B15212" i="2"/>
  <c r="B23343" i="2"/>
  <c r="B9761" i="2"/>
  <c r="B21988" i="2"/>
  <c r="B18078" i="2"/>
  <c r="B15445" i="2"/>
  <c r="B21493" i="2"/>
  <c r="B29060" i="2"/>
  <c r="B19133" i="2"/>
  <c r="B35717" i="2"/>
  <c r="B9286" i="2"/>
  <c r="B19067" i="2"/>
  <c r="B18545" i="2"/>
  <c r="B20010" i="2"/>
  <c r="B35300" i="2"/>
  <c r="B18440" i="2"/>
  <c r="B21425" i="2"/>
  <c r="B2724" i="2"/>
  <c r="B212" i="2"/>
  <c r="B3857" i="2"/>
  <c r="B22333" i="2"/>
  <c r="B21666" i="2"/>
  <c r="B21195" i="2"/>
  <c r="B12818" i="2"/>
  <c r="B33457" i="2"/>
  <c r="B22490" i="2"/>
  <c r="B9931" i="2"/>
  <c r="B10245" i="2"/>
  <c r="B35986" i="2"/>
  <c r="B11431" i="2"/>
  <c r="B6440" i="2"/>
  <c r="B30600" i="2"/>
  <c r="B34248" i="2"/>
  <c r="B587" i="2"/>
  <c r="B12733" i="2"/>
  <c r="B33099" i="2"/>
  <c r="B6006" i="2"/>
  <c r="B22197" i="2"/>
  <c r="B23186" i="2"/>
  <c r="B23228" i="2"/>
  <c r="B514" i="2"/>
  <c r="B11598" i="2"/>
  <c r="B14300" i="2"/>
  <c r="B21897" i="2"/>
  <c r="B18389" i="2"/>
  <c r="B8450" i="2"/>
  <c r="B9192" i="2"/>
  <c r="B23681" i="2"/>
  <c r="B20150" i="2"/>
  <c r="B34388" i="2"/>
  <c r="B11429" i="2"/>
  <c r="B18357" i="2"/>
  <c r="B32530" i="2"/>
  <c r="B15158" i="2"/>
  <c r="B28864" i="2"/>
  <c r="B8651" i="2"/>
  <c r="B8095" i="2"/>
  <c r="B1341" i="2"/>
  <c r="B25351" i="2"/>
  <c r="B25262" i="2"/>
  <c r="B26150" i="2"/>
  <c r="B27115" i="2"/>
  <c r="B13873" i="2"/>
  <c r="B18504" i="2"/>
  <c r="B1721" i="2"/>
  <c r="B20754" i="2"/>
  <c r="B8374" i="2"/>
  <c r="B6624" i="2"/>
  <c r="B22166" i="2"/>
  <c r="B27820" i="2"/>
  <c r="B6642" i="2"/>
  <c r="B7638" i="2"/>
  <c r="B2196" i="2"/>
  <c r="B14954" i="2"/>
  <c r="B3980" i="2"/>
  <c r="B20800" i="2"/>
  <c r="B10314" i="2"/>
  <c r="B30768" i="2"/>
  <c r="B22501" i="2"/>
  <c r="B5189" i="2"/>
  <c r="B9953" i="2"/>
  <c r="B13489" i="2"/>
  <c r="B35391" i="2"/>
  <c r="B1580" i="2"/>
  <c r="B32346" i="2"/>
  <c r="B5134" i="2"/>
  <c r="B30137" i="2"/>
  <c r="B34104" i="2"/>
  <c r="B10383" i="2"/>
  <c r="B18024" i="2"/>
  <c r="B1433" i="2"/>
  <c r="B18450" i="2"/>
  <c r="B10769" i="2"/>
  <c r="B23904" i="2"/>
  <c r="B23356" i="2"/>
  <c r="B734" i="2"/>
  <c r="B4022" i="2"/>
  <c r="B4199" i="2"/>
  <c r="B3218" i="2"/>
  <c r="B7102" i="2"/>
  <c r="B23281" i="2"/>
  <c r="B19748" i="2"/>
  <c r="B25036" i="2"/>
  <c r="B16864" i="2"/>
  <c r="B10374" i="2"/>
  <c r="B28963" i="2"/>
  <c r="B10553" i="2"/>
  <c r="B5660" i="2"/>
  <c r="B18935" i="2"/>
  <c r="B3685" i="2"/>
  <c r="B11174" i="2"/>
  <c r="B16241" i="2"/>
  <c r="B28492" i="2"/>
  <c r="B33141" i="2"/>
  <c r="B17653" i="2"/>
  <c r="B17184" i="2"/>
  <c r="B4567" i="2"/>
  <c r="B14432" i="2"/>
  <c r="B27685" i="2"/>
  <c r="B3243" i="2"/>
  <c r="B33020" i="2"/>
  <c r="B25971" i="2"/>
  <c r="B9763" i="2"/>
  <c r="B11356" i="2"/>
  <c r="B26850" i="2"/>
  <c r="B23995" i="2"/>
  <c r="B19519" i="2"/>
  <c r="B35394" i="2"/>
  <c r="B10154" i="2"/>
  <c r="B30751" i="2"/>
  <c r="B21150" i="2"/>
  <c r="B1853" i="2"/>
  <c r="B29888" i="2"/>
  <c r="B18815" i="2"/>
  <c r="B28856" i="2"/>
  <c r="B4921" i="2"/>
  <c r="B14126" i="2"/>
  <c r="B23584" i="2"/>
  <c r="B28234" i="2"/>
  <c r="B10743" i="2"/>
  <c r="B30398" i="2"/>
  <c r="B21883" i="2"/>
  <c r="B16255" i="2"/>
  <c r="B27867" i="2"/>
  <c r="B5339" i="2"/>
  <c r="B28630" i="2"/>
  <c r="B29545" i="2"/>
  <c r="B28647" i="2"/>
  <c r="B10332" i="2"/>
  <c r="B26355" i="2"/>
  <c r="B24051" i="2"/>
  <c r="B30238" i="2"/>
  <c r="B14365" i="2"/>
  <c r="B16821" i="2"/>
  <c r="B4502" i="2"/>
  <c r="B35777" i="2"/>
  <c r="B13850" i="2"/>
  <c r="B32370" i="2"/>
  <c r="B6012" i="2"/>
  <c r="B14241" i="2"/>
  <c r="B28815" i="2"/>
  <c r="B28520" i="2"/>
  <c r="B7141" i="2"/>
  <c r="B19606" i="2"/>
  <c r="B11194" i="2"/>
  <c r="B13894" i="2"/>
  <c r="B31358" i="2"/>
  <c r="B31756" i="2"/>
  <c r="B27959" i="2"/>
  <c r="B19597" i="2"/>
  <c r="B1431" i="2"/>
  <c r="B18101" i="2"/>
  <c r="B29133" i="2"/>
  <c r="B18058" i="2"/>
  <c r="B1788" i="2"/>
  <c r="B17710" i="2"/>
  <c r="B17477" i="2"/>
  <c r="B2171" i="2"/>
  <c r="B21105" i="2"/>
  <c r="B17505" i="2"/>
  <c r="B29277" i="2"/>
  <c r="B34938" i="2"/>
  <c r="B28542" i="2"/>
  <c r="B13431" i="2"/>
  <c r="B15916" i="2"/>
  <c r="B22249" i="2"/>
  <c r="B31033" i="2"/>
  <c r="B29079" i="2"/>
  <c r="B31030" i="2"/>
  <c r="B9692" i="2"/>
  <c r="B26819" i="2"/>
  <c r="B13867" i="2"/>
  <c r="B26631" i="2"/>
  <c r="B23394" i="2"/>
  <c r="B32907" i="2"/>
  <c r="B322" i="2"/>
  <c r="B3501" i="2"/>
  <c r="B12232" i="2"/>
  <c r="B31945" i="2"/>
  <c r="B3368" i="2"/>
  <c r="B32762" i="2"/>
  <c r="B496" i="2"/>
  <c r="B33488" i="2"/>
  <c r="B11570" i="2"/>
  <c r="B12016" i="2"/>
  <c r="B12792" i="2"/>
  <c r="B28727" i="2"/>
  <c r="B11922" i="2"/>
  <c r="B13690" i="2"/>
  <c r="B29574" i="2"/>
  <c r="B2479" i="2"/>
  <c r="B18964" i="2"/>
  <c r="B2124" i="2"/>
  <c r="B10011" i="2"/>
  <c r="B33925" i="2"/>
  <c r="B11423" i="2"/>
  <c r="B11156" i="2"/>
  <c r="B14049" i="2"/>
  <c r="B2403" i="2"/>
  <c r="B24550" i="2"/>
  <c r="B28953" i="2"/>
  <c r="B26630" i="2"/>
  <c r="B13626" i="2"/>
  <c r="B16909" i="2"/>
  <c r="B3826" i="2"/>
  <c r="B17671" i="2"/>
  <c r="B30860" i="2"/>
  <c r="B11076" i="2"/>
  <c r="B35415" i="2"/>
  <c r="B16406" i="2"/>
  <c r="B3196" i="2"/>
  <c r="B3285" i="2"/>
  <c r="B181" i="2"/>
  <c r="B5216" i="2"/>
  <c r="B3219" i="2"/>
  <c r="B10738" i="2"/>
  <c r="B2418" i="2"/>
  <c r="B11987" i="2"/>
  <c r="B31582" i="2"/>
  <c r="B20884" i="2"/>
  <c r="B26261" i="2"/>
  <c r="B1515" i="2"/>
  <c r="B19537" i="2"/>
  <c r="B16605" i="2"/>
  <c r="B21930" i="2"/>
  <c r="B27025" i="2"/>
  <c r="B10827" i="2"/>
  <c r="B34434" i="2"/>
  <c r="B22609" i="2"/>
  <c r="B23866" i="2"/>
  <c r="B18379" i="2"/>
  <c r="B35146" i="2"/>
  <c r="B13682" i="2"/>
  <c r="B10988" i="2"/>
  <c r="B4401" i="2"/>
  <c r="B20807" i="2"/>
  <c r="B20300" i="2"/>
  <c r="B27841" i="2"/>
  <c r="B17174" i="2"/>
  <c r="B12464" i="2"/>
  <c r="B31152" i="2"/>
  <c r="B3416" i="2"/>
  <c r="B4395" i="2"/>
  <c r="B5097" i="2"/>
  <c r="B14328" i="2"/>
  <c r="B20748" i="2"/>
  <c r="B16610" i="2"/>
  <c r="B842" i="2"/>
  <c r="B12542" i="2"/>
  <c r="B16900" i="2"/>
  <c r="B20334" i="2"/>
  <c r="B20115" i="2"/>
  <c r="B28493" i="2"/>
  <c r="B11313" i="2"/>
  <c r="B28351" i="2"/>
  <c r="B21676" i="2"/>
  <c r="B12916" i="2"/>
  <c r="B23230" i="2"/>
  <c r="B17684" i="2"/>
  <c r="B8094" i="2"/>
  <c r="B28427" i="2"/>
  <c r="B36252" i="2"/>
  <c r="B2323" i="2"/>
  <c r="B1829" i="2"/>
  <c r="B33438" i="2"/>
  <c r="B22060" i="2"/>
  <c r="B16427" i="2"/>
  <c r="B744" i="2"/>
  <c r="B27508" i="2"/>
  <c r="B10723" i="2"/>
  <c r="B14168" i="2"/>
  <c r="B16401" i="2"/>
  <c r="B21926" i="2"/>
  <c r="B23271" i="2"/>
  <c r="B29432" i="2"/>
  <c r="B29907" i="2"/>
  <c r="B23020" i="2"/>
  <c r="B14309" i="2"/>
  <c r="B35803" i="2"/>
  <c r="B35681" i="2"/>
  <c r="B20400" i="2"/>
  <c r="B16513" i="2"/>
  <c r="B32216" i="2"/>
  <c r="B29183" i="2"/>
  <c r="B4150" i="2"/>
  <c r="B17579" i="2"/>
  <c r="B14662" i="2"/>
  <c r="B31648" i="2"/>
  <c r="B26453" i="2"/>
  <c r="B11117" i="2"/>
  <c r="B20015" i="2"/>
  <c r="B20011" i="2"/>
  <c r="B16496" i="2"/>
  <c r="B29788" i="2"/>
  <c r="B28758" i="2"/>
  <c r="B35673" i="2"/>
  <c r="B35204" i="2"/>
  <c r="B21133" i="2"/>
  <c r="B29415" i="2"/>
  <c r="B22967" i="2"/>
  <c r="B26280" i="2"/>
  <c r="B14060" i="2"/>
  <c r="B25399" i="2"/>
  <c r="B10501" i="2"/>
  <c r="B10003" i="2"/>
  <c r="B18788" i="2"/>
  <c r="B30503" i="2"/>
  <c r="B21827" i="2"/>
  <c r="B13666" i="2"/>
  <c r="B3540" i="2"/>
  <c r="B5191" i="2"/>
  <c r="B14576" i="2"/>
  <c r="B8588" i="2"/>
  <c r="B6315" i="2"/>
  <c r="B24932" i="2"/>
  <c r="B14937" i="2"/>
  <c r="B18126" i="2"/>
  <c r="B18458" i="2"/>
  <c r="B15504" i="2"/>
  <c r="B588" i="2"/>
  <c r="B25765" i="2"/>
  <c r="B3760" i="2"/>
  <c r="B4141" i="2"/>
  <c r="B3850" i="2"/>
  <c r="B7338" i="2"/>
  <c r="B30034" i="2"/>
  <c r="B1973" i="2"/>
  <c r="B10204" i="2"/>
  <c r="B3726" i="2"/>
  <c r="B12045" i="2"/>
  <c r="B1065" i="2"/>
  <c r="B30732" i="2"/>
  <c r="B16944" i="2"/>
  <c r="B15975" i="2"/>
  <c r="B30423" i="2"/>
  <c r="B25344" i="2"/>
  <c r="B21749" i="2"/>
  <c r="B11204" i="2"/>
  <c r="B29876" i="2"/>
  <c r="B3206" i="2"/>
  <c r="B3369" i="2"/>
  <c r="B23140" i="2"/>
  <c r="B15000" i="2"/>
  <c r="B30622" i="2"/>
  <c r="B35326" i="2"/>
  <c r="B20990" i="2"/>
  <c r="B35645" i="2"/>
  <c r="B15155" i="2"/>
  <c r="B12731" i="2"/>
  <c r="B5177" i="2"/>
  <c r="B5158" i="2"/>
  <c r="B16262" i="2"/>
  <c r="B4027" i="2"/>
  <c r="B16136" i="2"/>
  <c r="B6323" i="2"/>
  <c r="B16704" i="2"/>
  <c r="B14677" i="2"/>
  <c r="B7612" i="2"/>
  <c r="B7869" i="2"/>
  <c r="B26647" i="2"/>
  <c r="B14710" i="2"/>
  <c r="B25004" i="2"/>
  <c r="B35068" i="2"/>
  <c r="B33930" i="2"/>
  <c r="B18396" i="2"/>
  <c r="B14400" i="2"/>
  <c r="B20778" i="2"/>
  <c r="B22049" i="2"/>
  <c r="B14533" i="2"/>
  <c r="B21019" i="2"/>
  <c r="B4885" i="2"/>
  <c r="B22176" i="2"/>
  <c r="B19630" i="2"/>
  <c r="B35050" i="2"/>
  <c r="B3220" i="2"/>
  <c r="B2542" i="2"/>
  <c r="B25712" i="2"/>
  <c r="B17395" i="2"/>
  <c r="B17128" i="2"/>
  <c r="B29213" i="2"/>
  <c r="B822" i="2"/>
  <c r="B28076" i="2"/>
  <c r="B4298" i="2"/>
  <c r="B19431" i="2"/>
  <c r="B10604" i="2"/>
  <c r="B15325" i="2"/>
  <c r="B22834" i="2"/>
  <c r="B34247" i="2"/>
  <c r="B3946" i="2"/>
  <c r="B3957" i="2"/>
  <c r="B109" i="2"/>
  <c r="B25069" i="2"/>
  <c r="B31154" i="2"/>
  <c r="B35725" i="2"/>
  <c r="B2260" i="2"/>
  <c r="B1783" i="2"/>
  <c r="B13499" i="2"/>
  <c r="B4467" i="2"/>
  <c r="B1133" i="2"/>
  <c r="B24006" i="2"/>
  <c r="B10048" i="2"/>
  <c r="B19061" i="2"/>
  <c r="B25282" i="2"/>
  <c r="B21662" i="2"/>
  <c r="B10903" i="2"/>
  <c r="B19710" i="2"/>
  <c r="B12690" i="2"/>
  <c r="B16037" i="2"/>
  <c r="B30870" i="2"/>
  <c r="B21701" i="2"/>
  <c r="B34842" i="2"/>
  <c r="B29572" i="2"/>
  <c r="B19642" i="2"/>
  <c r="B4962" i="2"/>
  <c r="B298" i="2"/>
  <c r="B30730" i="2"/>
  <c r="B30345" i="2"/>
  <c r="B27842" i="2"/>
  <c r="B34157" i="2"/>
  <c r="B32000" i="2"/>
  <c r="B35043" i="2"/>
  <c r="B6071" i="2"/>
  <c r="B15291" i="2"/>
  <c r="B15503" i="2"/>
  <c r="B34511" i="2"/>
  <c r="B35304" i="2"/>
  <c r="B23646" i="2"/>
  <c r="B34688" i="2"/>
  <c r="B13346" i="2"/>
  <c r="B9581" i="2"/>
  <c r="B2052" i="2"/>
  <c r="B16412" i="2"/>
  <c r="B18182" i="2"/>
  <c r="B7307" i="2"/>
  <c r="B3494" i="2"/>
  <c r="B5211" i="2"/>
  <c r="B33632" i="2"/>
  <c r="B30783" i="2"/>
  <c r="B20506" i="2"/>
  <c r="B22690" i="2"/>
  <c r="B29400" i="2"/>
  <c r="B17368" i="2"/>
  <c r="B29307" i="2"/>
  <c r="B34982" i="2"/>
  <c r="B19318" i="2"/>
  <c r="B18549" i="2"/>
  <c r="B8181" i="2"/>
  <c r="B20942" i="2"/>
  <c r="B34949" i="2"/>
  <c r="B9227" i="2"/>
  <c r="B25796" i="2"/>
  <c r="B2949" i="2"/>
  <c r="B2357" i="2"/>
  <c r="B12982" i="2"/>
  <c r="B23976" i="2"/>
  <c r="B31050" i="2"/>
  <c r="B26353" i="2"/>
  <c r="B30314" i="2"/>
  <c r="B30694" i="2"/>
  <c r="B2107" i="2"/>
  <c r="B14449" i="2"/>
  <c r="B12424" i="2"/>
  <c r="B27852" i="2"/>
  <c r="B14472" i="2"/>
  <c r="B18341" i="2"/>
  <c r="B19696" i="2"/>
  <c r="B27066" i="2"/>
  <c r="B20492" i="2"/>
  <c r="B18471" i="2"/>
  <c r="B1574" i="2"/>
  <c r="B34514" i="2"/>
  <c r="B16547" i="2"/>
  <c r="B30866" i="2"/>
  <c r="B29556" i="2"/>
  <c r="B28768" i="2"/>
  <c r="B27113" i="2"/>
  <c r="B22354" i="2"/>
  <c r="B20068" i="2"/>
  <c r="B13177" i="2"/>
  <c r="B13708" i="2"/>
  <c r="B20929" i="2"/>
  <c r="B22832" i="2"/>
  <c r="B8043" i="2"/>
  <c r="B2391" i="2"/>
  <c r="B7381" i="2"/>
  <c r="B12999" i="2"/>
  <c r="B15193" i="2"/>
  <c r="B22781" i="2"/>
  <c r="B31115" i="2"/>
  <c r="B26529" i="2"/>
  <c r="B14107" i="2"/>
  <c r="B10705" i="2"/>
  <c r="B14940" i="2"/>
  <c r="B20153" i="2"/>
  <c r="B13746" i="2"/>
  <c r="B2384" i="2"/>
  <c r="B3644" i="2"/>
  <c r="B34802" i="2"/>
  <c r="B23406" i="2"/>
  <c r="B2378" i="2"/>
  <c r="B11115" i="2"/>
  <c r="B10361" i="2"/>
  <c r="B2237" i="2"/>
  <c r="B21410" i="2"/>
  <c r="B4147" i="2"/>
  <c r="B25530" i="2"/>
  <c r="B23619" i="2"/>
  <c r="B32254" i="2"/>
  <c r="B18394" i="2"/>
  <c r="B32237" i="2"/>
  <c r="B13595" i="2"/>
  <c r="B10079" i="2"/>
  <c r="B224" i="2"/>
  <c r="B20508" i="2"/>
  <c r="B10355" i="2"/>
  <c r="B33911" i="2"/>
  <c r="B17196" i="2"/>
  <c r="B32443" i="2"/>
  <c r="B284" i="2"/>
  <c r="B24749" i="2"/>
  <c r="B5852" i="2"/>
  <c r="B3101" i="2"/>
  <c r="B34462" i="2"/>
  <c r="B1905" i="2"/>
  <c r="B11275" i="2"/>
  <c r="B23861" i="2"/>
  <c r="B7908" i="2"/>
  <c r="B32136" i="2"/>
  <c r="B5741" i="2"/>
  <c r="B32613" i="2"/>
  <c r="B18472" i="2"/>
  <c r="B18280" i="2"/>
  <c r="B33975" i="2"/>
  <c r="B35752" i="2"/>
  <c r="B10554" i="2"/>
  <c r="B14070" i="2"/>
  <c r="B17186" i="2"/>
  <c r="B17554" i="2"/>
  <c r="B20816" i="2"/>
  <c r="B21680" i="2"/>
  <c r="B6233" i="2"/>
  <c r="B24226" i="2"/>
  <c r="B19453" i="2"/>
  <c r="B25007" i="2"/>
  <c r="B10720" i="2"/>
  <c r="B372" i="2"/>
  <c r="B2372" i="2"/>
  <c r="B2341" i="2"/>
  <c r="B30519" i="2"/>
  <c r="B11242" i="2"/>
  <c r="B1424" i="2"/>
  <c r="B27791" i="2"/>
  <c r="B12789" i="2"/>
  <c r="B27542" i="2"/>
  <c r="B34605" i="2"/>
  <c r="B401" i="2"/>
  <c r="B8868" i="2"/>
  <c r="B35711" i="2"/>
  <c r="B17156" i="2"/>
  <c r="B1266" i="2"/>
  <c r="B4305" i="2"/>
  <c r="B33688" i="2"/>
  <c r="B4437" i="2"/>
  <c r="B18136" i="2"/>
  <c r="B8302" i="2"/>
  <c r="B32752" i="2"/>
  <c r="B20545" i="2"/>
  <c r="B1664" i="2"/>
  <c r="B10578" i="2"/>
  <c r="B34188" i="2"/>
  <c r="B15208" i="2"/>
  <c r="B10546" i="2"/>
  <c r="B24499" i="2"/>
  <c r="B18927" i="2"/>
  <c r="B14004" i="2"/>
  <c r="B5964" i="2"/>
  <c r="B22273" i="2"/>
  <c r="B32367" i="2"/>
  <c r="B705" i="2"/>
  <c r="B20418" i="2"/>
  <c r="B7348" i="2"/>
  <c r="B8753" i="2"/>
  <c r="B25856" i="2"/>
  <c r="B30848" i="2"/>
  <c r="B12211" i="2"/>
  <c r="B19898" i="2"/>
  <c r="B14299" i="2"/>
  <c r="B17665" i="2"/>
  <c r="B13046" i="2"/>
  <c r="B2476" i="2"/>
  <c r="B2082" i="2"/>
  <c r="B3263" i="2"/>
  <c r="B17065" i="2"/>
  <c r="B20722" i="2"/>
  <c r="B11294" i="2"/>
  <c r="B11755" i="2"/>
  <c r="B35142" i="2"/>
  <c r="B24488" i="2"/>
  <c r="B20228" i="2"/>
  <c r="B2537" i="2"/>
  <c r="B14147" i="2"/>
  <c r="B7562" i="2"/>
  <c r="B26528" i="2"/>
  <c r="B2110" i="2"/>
  <c r="B31434" i="2"/>
  <c r="B32239" i="2"/>
  <c r="B11039" i="2"/>
  <c r="B18467" i="2"/>
  <c r="B11054" i="2"/>
  <c r="B30760" i="2"/>
  <c r="B28358" i="2"/>
  <c r="B2192" i="2"/>
  <c r="B33894" i="2"/>
  <c r="B3642" i="2"/>
  <c r="B16667" i="2"/>
  <c r="B12518" i="2"/>
  <c r="B17373" i="2"/>
  <c r="B7328" i="2"/>
  <c r="B9720" i="2"/>
  <c r="B111" i="2"/>
  <c r="B21677" i="2"/>
  <c r="B19342" i="2"/>
  <c r="B3751" i="2"/>
  <c r="B12643" i="2"/>
  <c r="B21546" i="2"/>
  <c r="B28730" i="2"/>
  <c r="B18959" i="2"/>
  <c r="B20021" i="2"/>
  <c r="B13640" i="2"/>
  <c r="B8819" i="2"/>
  <c r="B33888" i="2"/>
  <c r="B16031" i="2"/>
  <c r="B5244" i="2"/>
  <c r="B2312" i="2"/>
  <c r="B29700" i="2"/>
  <c r="B14726" i="2"/>
  <c r="B18718" i="2"/>
  <c r="B27814" i="2"/>
  <c r="B33453" i="2"/>
  <c r="B16390" i="2"/>
  <c r="B15755" i="2"/>
  <c r="B29658" i="2"/>
  <c r="B36004" i="2"/>
  <c r="B20499" i="2"/>
  <c r="B16561" i="2"/>
  <c r="B5021" i="2"/>
  <c r="B16130" i="2"/>
  <c r="B9702" i="2"/>
  <c r="B28134" i="2"/>
  <c r="B11500" i="2"/>
  <c r="B19348" i="2"/>
  <c r="B4164" i="2"/>
  <c r="B2473" i="2"/>
  <c r="B10851" i="2"/>
  <c r="B4628" i="2"/>
  <c r="B1791" i="2"/>
  <c r="B10167" i="2"/>
  <c r="B12083" i="2"/>
  <c r="B33667" i="2"/>
  <c r="B5006" i="2"/>
  <c r="B10351" i="2"/>
  <c r="B31056" i="2"/>
  <c r="B18502" i="2"/>
  <c r="B17223" i="2"/>
  <c r="B2143" i="2"/>
  <c r="B17891" i="2"/>
  <c r="B29799" i="2"/>
  <c r="B25324" i="2"/>
  <c r="B30832" i="2"/>
  <c r="B21424" i="2"/>
  <c r="B16329" i="2"/>
  <c r="B16495" i="2"/>
  <c r="B19853" i="2"/>
  <c r="B6941" i="2"/>
  <c r="B20206" i="2"/>
  <c r="B29897" i="2"/>
  <c r="B14008" i="2"/>
  <c r="B21446" i="2"/>
  <c r="B1317" i="2"/>
  <c r="B2242" i="2"/>
  <c r="B30079" i="2"/>
  <c r="B34558" i="2"/>
  <c r="B3110" i="2"/>
  <c r="B4965" i="2"/>
  <c r="B16349" i="2"/>
  <c r="B3874" i="2"/>
  <c r="B16113" i="2"/>
  <c r="B1022" i="2"/>
  <c r="B26439" i="2"/>
  <c r="B12099" i="2"/>
  <c r="B30316" i="2"/>
  <c r="B9210" i="2"/>
  <c r="B28270" i="2"/>
  <c r="B4871" i="2"/>
  <c r="B1143" i="2"/>
  <c r="B10596" i="2"/>
  <c r="B29310" i="2"/>
  <c r="B2886" i="2"/>
  <c r="B10838" i="2"/>
  <c r="B32302" i="2"/>
  <c r="B18805" i="2"/>
  <c r="B31952" i="2"/>
  <c r="B12695" i="2"/>
  <c r="B1447" i="2"/>
  <c r="B26091" i="2"/>
  <c r="B13715" i="2"/>
  <c r="B29713" i="2"/>
  <c r="B24559" i="2"/>
  <c r="B4943" i="2"/>
  <c r="B3480" i="2"/>
  <c r="B17473" i="2"/>
  <c r="B19762" i="2"/>
  <c r="B19911" i="2"/>
  <c r="B18872" i="2"/>
  <c r="B27802" i="2"/>
  <c r="B21760" i="2"/>
  <c r="B23981" i="2"/>
  <c r="B3515" i="2"/>
  <c r="B17631" i="2"/>
  <c r="B21492" i="2"/>
  <c r="B28277" i="2"/>
  <c r="B2020" i="2"/>
  <c r="B22271" i="2"/>
  <c r="B18518" i="2"/>
  <c r="B4673" i="2"/>
  <c r="B14942" i="2"/>
  <c r="B5639" i="2"/>
  <c r="B110" i="2"/>
  <c r="B19530" i="2"/>
  <c r="B26490" i="2"/>
  <c r="B15393" i="2"/>
  <c r="B25564" i="2"/>
  <c r="B30715" i="2"/>
  <c r="B1854" i="2"/>
  <c r="B9358" i="2"/>
  <c r="B13974" i="2"/>
  <c r="B9656" i="2"/>
  <c r="B8458" i="2"/>
  <c r="B22710" i="2"/>
  <c r="B12904" i="2"/>
  <c r="B26162" i="2"/>
  <c r="B32997" i="2"/>
  <c r="B2166" i="2"/>
  <c r="B36324" i="2"/>
  <c r="B29709" i="2"/>
  <c r="B4499" i="2"/>
  <c r="B17744" i="2"/>
  <c r="B2104" i="2"/>
  <c r="B20161" i="2"/>
  <c r="B21538" i="2"/>
  <c r="B17257" i="2"/>
  <c r="B20111" i="2"/>
  <c r="B23744" i="2"/>
  <c r="B16810" i="2"/>
  <c r="B14511" i="2"/>
  <c r="B16746" i="2"/>
  <c r="B13808" i="2"/>
  <c r="B34385" i="2"/>
  <c r="B10343" i="2"/>
  <c r="B3474" i="2"/>
  <c r="B19812" i="2"/>
  <c r="B14545" i="2"/>
  <c r="B16119" i="2"/>
  <c r="B16620" i="2"/>
  <c r="B35762" i="2"/>
  <c r="B20142" i="2"/>
  <c r="B11351" i="2"/>
  <c r="B36325" i="2"/>
  <c r="B4808" i="2"/>
  <c r="B16937" i="2"/>
  <c r="B6951" i="2"/>
  <c r="B11623" i="2"/>
  <c r="B22638" i="2"/>
  <c r="B9369" i="2"/>
  <c r="B6960" i="2"/>
  <c r="B27138" i="2"/>
  <c r="B35296" i="2"/>
  <c r="B3806" i="2"/>
  <c r="B12238" i="2"/>
  <c r="B34870" i="2"/>
  <c r="B9989" i="2"/>
  <c r="B20244" i="2"/>
  <c r="B14048" i="2"/>
  <c r="B18478" i="2"/>
  <c r="B18655" i="2"/>
  <c r="B1192" i="2"/>
  <c r="B384" i="2"/>
  <c r="B34077" i="2"/>
  <c r="B18418" i="2"/>
  <c r="B14932" i="2"/>
  <c r="B701" i="2"/>
  <c r="B10936" i="2"/>
  <c r="B7615" i="2"/>
  <c r="B11972" i="2"/>
  <c r="B34349" i="2"/>
  <c r="B19790" i="2"/>
  <c r="B33736" i="2"/>
  <c r="B15032" i="2"/>
  <c r="B25997" i="2"/>
  <c r="B35595" i="2"/>
  <c r="B4175" i="2"/>
  <c r="B19417" i="2"/>
  <c r="B463" i="2"/>
  <c r="B11261" i="2"/>
  <c r="B9434" i="2"/>
  <c r="B24100" i="2"/>
  <c r="B594" i="2"/>
  <c r="B17460" i="2"/>
  <c r="B11460" i="2"/>
  <c r="B26523" i="2"/>
  <c r="B19324" i="2"/>
  <c r="B16363" i="2"/>
  <c r="B5961" i="2"/>
  <c r="B14776" i="2"/>
  <c r="B18038" i="2"/>
  <c r="B16069" i="2"/>
  <c r="B15492" i="2"/>
  <c r="B19586" i="2"/>
  <c r="B11663" i="2"/>
  <c r="B13349" i="2"/>
  <c r="B32508" i="2"/>
  <c r="B3624" i="2"/>
  <c r="B18584" i="2"/>
  <c r="B30438" i="2"/>
  <c r="B21187" i="2"/>
  <c r="B16966" i="2"/>
  <c r="B36231" i="2"/>
  <c r="B18747" i="2"/>
  <c r="B6609" i="2"/>
  <c r="B13084" i="2"/>
  <c r="B28407" i="2"/>
  <c r="B29848" i="2"/>
  <c r="B17425" i="2"/>
  <c r="B26847" i="2"/>
  <c r="B28328" i="2"/>
  <c r="B10675" i="2"/>
  <c r="B21931" i="2"/>
  <c r="B18884" i="2"/>
  <c r="B14424" i="2"/>
  <c r="B11327" i="2"/>
  <c r="B33674" i="2"/>
  <c r="B25862" i="2"/>
  <c r="B19892" i="2"/>
  <c r="B33889" i="2"/>
  <c r="B30111" i="2"/>
  <c r="B12248" i="2"/>
  <c r="B24214" i="2"/>
  <c r="B29085" i="2"/>
  <c r="B16668" i="2"/>
  <c r="B3318" i="2"/>
  <c r="B2243" i="2"/>
  <c r="B19385" i="2"/>
  <c r="B12009" i="2"/>
  <c r="B21095" i="2"/>
  <c r="B762" i="2"/>
  <c r="B18515" i="2"/>
  <c r="B18937" i="2"/>
  <c r="B31117" i="2"/>
  <c r="B24043" i="2"/>
  <c r="B16316" i="2"/>
  <c r="B4262" i="2"/>
  <c r="B3034" i="2"/>
  <c r="B28846" i="2"/>
  <c r="B20085" i="2"/>
  <c r="B22424" i="2"/>
  <c r="B16822" i="2"/>
  <c r="B20734" i="2"/>
  <c r="B30885" i="2"/>
  <c r="B15165" i="2"/>
  <c r="B17470" i="2"/>
  <c r="B25582" i="2"/>
  <c r="B33580" i="2"/>
  <c r="B28119" i="2"/>
  <c r="B643" i="2"/>
  <c r="B2892" i="2"/>
  <c r="B24478" i="2"/>
  <c r="B28803" i="2"/>
  <c r="B20827" i="2"/>
  <c r="B2123" i="2"/>
  <c r="B26942" i="2"/>
  <c r="B558" i="2"/>
  <c r="B9829" i="2"/>
  <c r="B10198" i="2"/>
  <c r="B29056" i="2"/>
  <c r="B29281" i="2"/>
  <c r="B10038" i="2"/>
  <c r="B1171" i="2"/>
  <c r="B3227" i="2"/>
  <c r="B30108" i="2"/>
  <c r="B6388" i="2"/>
  <c r="B28276" i="2"/>
  <c r="B4097" i="2"/>
  <c r="B11685" i="2"/>
  <c r="B19352" i="2"/>
  <c r="B645" i="2"/>
  <c r="B8330" i="2"/>
  <c r="B3958" i="2"/>
  <c r="B30436" i="2"/>
  <c r="B694" i="2"/>
  <c r="B6330" i="2"/>
  <c r="B29737" i="2"/>
  <c r="B4055" i="2"/>
  <c r="B23816" i="2"/>
  <c r="B23589" i="2"/>
  <c r="B24130" i="2"/>
  <c r="B2330" i="2"/>
  <c r="B31710" i="2"/>
  <c r="B9111" i="2"/>
  <c r="B13668" i="2"/>
  <c r="B13725" i="2"/>
  <c r="B23548" i="2"/>
  <c r="B31989" i="2"/>
  <c r="B18275" i="2"/>
  <c r="B20926" i="2"/>
  <c r="B5220" i="2"/>
  <c r="B31657" i="2"/>
  <c r="B8891" i="2"/>
  <c r="B1839" i="2"/>
  <c r="B9801" i="2"/>
  <c r="B3394" i="2"/>
  <c r="B8478" i="2"/>
  <c r="B29526" i="2"/>
  <c r="B32829" i="2"/>
  <c r="B22918" i="2"/>
  <c r="B17152" i="2"/>
  <c r="B28689" i="2"/>
  <c r="B14091" i="2"/>
  <c r="B14979" i="2"/>
  <c r="B13297" i="2"/>
  <c r="B25285" i="2"/>
  <c r="B10364" i="2"/>
  <c r="B14661" i="2"/>
  <c r="B3812" i="2"/>
  <c r="B28615" i="2"/>
  <c r="B731" i="2"/>
  <c r="B28593" i="2"/>
  <c r="B31507" i="2"/>
  <c r="B1962" i="2"/>
  <c r="B19860" i="2"/>
  <c r="B25194" i="2"/>
  <c r="B17040" i="2"/>
  <c r="B3650" i="2"/>
  <c r="B32054" i="2"/>
  <c r="B3693" i="2"/>
  <c r="B34931" i="2"/>
  <c r="B30967" i="2"/>
  <c r="B32506" i="2"/>
  <c r="B1835" i="2"/>
  <c r="B13460" i="2"/>
  <c r="B31998" i="2"/>
  <c r="B16106" i="2"/>
  <c r="B18885" i="2"/>
  <c r="B23722" i="2"/>
  <c r="B27530" i="2"/>
  <c r="B30685" i="2"/>
  <c r="B29195" i="2"/>
  <c r="B20090" i="2"/>
  <c r="B7574" i="2"/>
  <c r="B28583" i="2"/>
  <c r="B12977" i="2"/>
  <c r="B32027" i="2"/>
  <c r="B6158" i="2"/>
  <c r="B1897" i="2"/>
  <c r="B29596" i="2"/>
  <c r="B22579" i="2"/>
  <c r="B32268" i="2"/>
  <c r="B19513" i="2"/>
  <c r="B18887" i="2"/>
  <c r="B11139" i="2"/>
  <c r="B974" i="2"/>
  <c r="B14121" i="2"/>
  <c r="B26084" i="2"/>
  <c r="B22463" i="2"/>
  <c r="B26063" i="2"/>
  <c r="B18524" i="2"/>
  <c r="B17190" i="2"/>
  <c r="B3094" i="2"/>
  <c r="B5238" i="2"/>
  <c r="B22590" i="2"/>
  <c r="B13727" i="2"/>
  <c r="B17565" i="2"/>
  <c r="B34976" i="2"/>
  <c r="B4169" i="2"/>
  <c r="B33928" i="2"/>
  <c r="B12873" i="2"/>
  <c r="B18766" i="2"/>
  <c r="B19985" i="2"/>
  <c r="B30565" i="2"/>
  <c r="B14153" i="2"/>
  <c r="B19733" i="2"/>
  <c r="B11441" i="2"/>
  <c r="B18800" i="2"/>
  <c r="B12093" i="2"/>
  <c r="B14438" i="2"/>
  <c r="B22604" i="2"/>
  <c r="B7592" i="2"/>
  <c r="B4496" i="2"/>
  <c r="B8688" i="2"/>
  <c r="B29302" i="2"/>
  <c r="B10127" i="2"/>
  <c r="B22916" i="2"/>
  <c r="B2454" i="2"/>
  <c r="B11983" i="2"/>
  <c r="B29828" i="2"/>
  <c r="B31199" i="2"/>
  <c r="B27743" i="2"/>
  <c r="B4229" i="2"/>
  <c r="B28207" i="2"/>
  <c r="B29462" i="2"/>
  <c r="B18152" i="2"/>
  <c r="B14335" i="2"/>
  <c r="B9161" i="2"/>
  <c r="B3181" i="2"/>
  <c r="B988" i="2"/>
  <c r="B27756" i="2"/>
  <c r="B20267" i="2"/>
  <c r="B17723" i="2"/>
  <c r="B27360" i="2"/>
  <c r="B24297" i="2"/>
  <c r="B25776" i="2"/>
  <c r="B34817" i="2"/>
  <c r="B4435" i="2"/>
  <c r="B30914" i="2"/>
  <c r="B6935" i="2"/>
  <c r="B16579" i="2"/>
  <c r="B17926" i="2"/>
  <c r="B12801" i="2"/>
  <c r="B29500" i="2"/>
  <c r="B28624" i="2"/>
  <c r="B1103" i="2"/>
  <c r="B16275" i="2"/>
  <c r="B34212" i="2"/>
  <c r="B9522" i="2"/>
  <c r="B11340" i="2"/>
  <c r="B29112" i="2"/>
  <c r="B29932" i="2"/>
  <c r="B29499" i="2"/>
  <c r="B27755" i="2"/>
  <c r="B2191" i="2"/>
  <c r="B34369" i="2"/>
  <c r="B2158" i="2"/>
  <c r="B4257" i="2"/>
  <c r="B28324" i="2"/>
  <c r="B2654" i="2"/>
  <c r="B23955" i="2"/>
  <c r="B16129" i="2"/>
  <c r="B1176" i="2"/>
  <c r="B19901" i="2"/>
  <c r="B24531" i="2"/>
  <c r="B30638" i="2"/>
  <c r="B36235" i="2"/>
  <c r="B1010" i="2"/>
  <c r="B34628" i="2"/>
  <c r="B20367" i="2"/>
  <c r="B6214" i="2"/>
  <c r="B17281" i="2"/>
  <c r="B18004" i="2"/>
  <c r="B28283" i="2"/>
  <c r="B23881" i="2"/>
  <c r="B20494" i="2"/>
  <c r="B8666" i="2"/>
  <c r="B14542" i="2"/>
  <c r="B23882" i="2"/>
  <c r="B18020" i="2"/>
  <c r="B13743" i="2"/>
  <c r="B10650" i="2"/>
  <c r="B16811" i="2"/>
  <c r="B21265" i="2"/>
  <c r="B32260" i="2"/>
  <c r="B35589" i="2"/>
  <c r="B14495" i="2"/>
  <c r="B7320" i="2"/>
  <c r="B19502" i="2"/>
  <c r="B22823" i="2"/>
  <c r="B28890" i="2"/>
  <c r="B10812" i="2"/>
  <c r="B2453" i="2"/>
  <c r="B31670" i="2"/>
  <c r="B19343" i="2"/>
  <c r="B27464" i="2"/>
  <c r="B26907" i="2"/>
  <c r="B2933" i="2"/>
  <c r="B5932" i="2"/>
  <c r="B30060" i="2"/>
  <c r="B18476" i="2"/>
  <c r="B3620" i="2"/>
  <c r="B12774" i="2"/>
  <c r="B18891" i="2"/>
  <c r="B34844" i="2"/>
  <c r="B7784" i="2"/>
  <c r="B27000" i="2"/>
  <c r="B14277" i="2"/>
  <c r="B29587" i="2"/>
  <c r="B26053" i="2"/>
  <c r="B17289" i="2"/>
  <c r="B26170" i="2"/>
  <c r="B19717" i="2"/>
  <c r="B10396" i="2"/>
  <c r="B35241" i="2"/>
  <c r="B25929" i="2"/>
  <c r="B1358" i="2"/>
  <c r="B33803" i="2"/>
  <c r="B35599" i="2"/>
  <c r="B11279" i="2"/>
  <c r="B30690" i="2"/>
  <c r="B443" i="2"/>
  <c r="B14036" i="2"/>
  <c r="B1128" i="2"/>
  <c r="B28581" i="2"/>
  <c r="B35692" i="2"/>
  <c r="B17857" i="2"/>
  <c r="B14716" i="2"/>
  <c r="B20874" i="2"/>
  <c r="B30304" i="2"/>
  <c r="B11189" i="2"/>
  <c r="B11101" i="2"/>
  <c r="B3061" i="2"/>
  <c r="B11915" i="2"/>
  <c r="B34940" i="2"/>
  <c r="B16382" i="2"/>
  <c r="B11591" i="2"/>
  <c r="B32045" i="2"/>
  <c r="B28636" i="2"/>
  <c r="B4473" i="2"/>
  <c r="B9488" i="2"/>
  <c r="B615" i="2"/>
  <c r="B21596" i="2"/>
  <c r="B2231" i="2"/>
  <c r="B16408" i="2"/>
  <c r="B11243" i="2"/>
  <c r="B13156" i="2"/>
  <c r="B28673" i="2"/>
  <c r="B20009" i="2"/>
  <c r="B29023" i="2"/>
  <c r="B22848" i="2"/>
  <c r="B4228" i="2"/>
  <c r="B19481" i="2"/>
  <c r="B23670" i="2"/>
  <c r="B14641" i="2"/>
  <c r="B18878" i="2"/>
  <c r="B5268" i="2"/>
  <c r="B34689" i="2"/>
  <c r="B5479" i="2"/>
  <c r="B29694" i="2"/>
  <c r="B20790" i="2"/>
  <c r="B23169" i="2"/>
  <c r="B13777" i="2"/>
  <c r="B9146" i="2"/>
  <c r="B1581" i="2"/>
  <c r="B27739" i="2"/>
  <c r="B20708" i="2"/>
  <c r="B29913" i="2"/>
  <c r="B23593" i="2"/>
  <c r="B9690" i="2"/>
  <c r="B36225" i="2"/>
  <c r="B8272" i="2"/>
  <c r="B27666" i="2"/>
  <c r="B28031" i="2"/>
  <c r="B27385" i="2"/>
  <c r="B3660" i="2"/>
  <c r="B15900" i="2"/>
  <c r="B20753" i="2"/>
  <c r="B32880" i="2"/>
  <c r="B11946" i="2"/>
  <c r="B32516" i="2"/>
  <c r="B1529" i="2"/>
  <c r="B31897" i="2"/>
  <c r="B16872" i="2"/>
  <c r="B14853" i="2"/>
  <c r="B3270" i="2"/>
  <c r="B21171" i="2"/>
  <c r="B28880" i="2"/>
  <c r="B29458" i="2"/>
  <c r="B30623" i="2"/>
  <c r="B30007" i="2"/>
  <c r="B30261" i="2"/>
  <c r="B30555" i="2"/>
  <c r="B21829" i="2"/>
  <c r="B35129" i="2"/>
  <c r="B18588" i="2"/>
  <c r="B29900" i="2"/>
  <c r="B30276" i="2"/>
  <c r="B25599" i="2"/>
  <c r="B26774" i="2"/>
  <c r="B13434" i="2"/>
  <c r="B17623" i="2"/>
  <c r="B8326" i="2"/>
  <c r="B11997" i="2"/>
  <c r="B24062" i="2"/>
  <c r="B15187" i="2"/>
  <c r="B10872" i="2"/>
  <c r="B1397" i="2"/>
  <c r="B26221" i="2"/>
  <c r="B15637" i="2"/>
  <c r="B24178" i="2"/>
  <c r="B7818" i="2"/>
  <c r="B4555" i="2"/>
  <c r="B17097" i="2"/>
  <c r="B19165" i="2"/>
  <c r="B15735" i="2"/>
  <c r="B21262" i="2"/>
  <c r="B30045" i="2"/>
  <c r="B12110" i="2"/>
  <c r="B36349" i="2"/>
  <c r="B16621" i="2"/>
  <c r="B10801" i="2"/>
  <c r="B21872" i="2"/>
  <c r="B10268" i="2"/>
  <c r="B7666" i="2"/>
  <c r="B35099" i="2"/>
  <c r="B29210" i="2"/>
  <c r="B1314" i="2"/>
  <c r="B12621" i="2"/>
  <c r="B14905" i="2"/>
  <c r="B31926" i="2"/>
  <c r="B28579" i="2"/>
  <c r="B2532" i="2"/>
  <c r="B22313" i="2"/>
  <c r="B32479" i="2"/>
  <c r="B17487" i="2"/>
  <c r="B27004" i="2"/>
  <c r="B18181" i="2"/>
  <c r="B10178" i="2"/>
  <c r="B30646" i="2"/>
  <c r="B4293" i="2"/>
  <c r="B22485" i="2"/>
  <c r="B3964" i="2"/>
  <c r="B4251" i="2"/>
  <c r="B7779" i="2"/>
  <c r="B24411" i="2"/>
  <c r="B440" i="2"/>
  <c r="B19113" i="2"/>
  <c r="B26207" i="2"/>
  <c r="B9496" i="2"/>
  <c r="B20234" i="2"/>
  <c r="B1861" i="2"/>
  <c r="B4261" i="2"/>
  <c r="B3763" i="2"/>
  <c r="B3146" i="2"/>
  <c r="B7094" i="2"/>
  <c r="B4988" i="2"/>
  <c r="B22942" i="2"/>
  <c r="B15018" i="2"/>
  <c r="B5270" i="2"/>
  <c r="B3424" i="2"/>
  <c r="B10791" i="2"/>
  <c r="B9165" i="2"/>
  <c r="B1177" i="2"/>
  <c r="B3144" i="2"/>
  <c r="B5897" i="2"/>
  <c r="B33574" i="2"/>
  <c r="B29411" i="2"/>
  <c r="B26811" i="2"/>
  <c r="B13826" i="2"/>
  <c r="B35400" i="2"/>
  <c r="B21717" i="2"/>
  <c r="B3362" i="2"/>
  <c r="B20157" i="2"/>
  <c r="B23948" i="2"/>
  <c r="B30691" i="2"/>
  <c r="B3535" i="2"/>
  <c r="B30179" i="2"/>
  <c r="B30180" i="2"/>
  <c r="B30585" i="2"/>
  <c r="B21357" i="2"/>
  <c r="B32071" i="2"/>
  <c r="B636" i="2"/>
  <c r="B2416" i="2"/>
  <c r="B23105" i="2"/>
  <c r="B11504" i="2"/>
  <c r="B28987" i="2"/>
  <c r="B29933" i="2"/>
  <c r="B30660" i="2"/>
  <c r="B1928" i="2"/>
  <c r="B14493" i="2"/>
  <c r="B26758" i="2"/>
  <c r="B29575" i="2"/>
  <c r="B31635" i="2"/>
  <c r="B17807" i="2"/>
  <c r="B27952" i="2"/>
  <c r="B20254" i="2"/>
  <c r="B33521" i="2"/>
  <c r="B14407" i="2"/>
  <c r="B15052" i="2"/>
  <c r="B16994" i="2"/>
  <c r="B13332" i="2"/>
  <c r="B14956" i="2"/>
  <c r="B16928" i="2"/>
  <c r="B32732" i="2"/>
  <c r="B91" i="2"/>
  <c r="B31496" i="2"/>
  <c r="B18552" i="2"/>
  <c r="B31624" i="2"/>
  <c r="B6025" i="2"/>
  <c r="B28523" i="2"/>
  <c r="B1723" i="2"/>
  <c r="B11171" i="2"/>
  <c r="B17098" i="2"/>
  <c r="B19851" i="2"/>
  <c r="B26359" i="2"/>
  <c r="B1396" i="2"/>
  <c r="B20238" i="2"/>
  <c r="B19933" i="2"/>
  <c r="B24054" i="2"/>
  <c r="B31935" i="2"/>
  <c r="B15346" i="2"/>
  <c r="B28762" i="2"/>
  <c r="B31713" i="2"/>
  <c r="B18993" i="2"/>
  <c r="B2579" i="2"/>
  <c r="B25096" i="2"/>
  <c r="B15991" i="2"/>
  <c r="B34843" i="2"/>
  <c r="B35972" i="2"/>
  <c r="B1557" i="2"/>
  <c r="B18242" i="2"/>
  <c r="B25080" i="2"/>
  <c r="B24568" i="2"/>
  <c r="B33408" i="2"/>
  <c r="B15802" i="2"/>
  <c r="B5927" i="2"/>
  <c r="B26059" i="2"/>
  <c r="B26972" i="2"/>
  <c r="B10925" i="2"/>
  <c r="B35632" i="2"/>
  <c r="B922" i="2"/>
  <c r="B17558" i="2"/>
  <c r="B33538" i="2"/>
  <c r="B10821" i="2"/>
  <c r="B25156" i="2"/>
  <c r="B10778" i="2"/>
  <c r="B34021" i="2"/>
  <c r="B25217" i="2"/>
  <c r="B28286" i="2"/>
  <c r="B13185" i="2"/>
  <c r="B14736" i="2"/>
  <c r="B26598" i="2"/>
  <c r="B12365" i="2"/>
  <c r="B13909" i="2"/>
  <c r="B35452" i="2"/>
  <c r="B1736" i="2"/>
  <c r="B11727" i="2"/>
  <c r="B8623" i="2"/>
  <c r="B14240" i="2"/>
  <c r="B35569" i="2"/>
  <c r="B21818" i="2"/>
  <c r="B27773" i="2"/>
  <c r="B935" i="2"/>
  <c r="B10442" i="2"/>
  <c r="B28828" i="2"/>
  <c r="B6336" i="2"/>
  <c r="B13044" i="2"/>
  <c r="B31878" i="2"/>
  <c r="B8046" i="2"/>
  <c r="B27569" i="2"/>
  <c r="B27667" i="2"/>
  <c r="B5574" i="2"/>
  <c r="B32126" i="2"/>
  <c r="B28290" i="2"/>
  <c r="B3508" i="2"/>
  <c r="B24738" i="2"/>
  <c r="B18356" i="2"/>
  <c r="B34664" i="2"/>
  <c r="B20674" i="2"/>
  <c r="B21073" i="2"/>
  <c r="B12670" i="2"/>
  <c r="B20477" i="2"/>
  <c r="B10774" i="2"/>
  <c r="B20281" i="2"/>
  <c r="B29944" i="2"/>
  <c r="B22895" i="2"/>
  <c r="B21175" i="2"/>
  <c r="B30984" i="2"/>
  <c r="B20352" i="2"/>
  <c r="B23954" i="2"/>
  <c r="B9780" i="2"/>
  <c r="B11954" i="2"/>
  <c r="B21316" i="2"/>
  <c r="B16731" i="2"/>
  <c r="B2466" i="2"/>
  <c r="B2197" i="2"/>
  <c r="B3500" i="2"/>
  <c r="B12736" i="2"/>
  <c r="B9384" i="2"/>
  <c r="B1720" i="2"/>
  <c r="B14984" i="2"/>
  <c r="B35113" i="2"/>
  <c r="B34331" i="2"/>
  <c r="B7828" i="2"/>
  <c r="B6772" i="2"/>
  <c r="B28666" i="2"/>
  <c r="B11289" i="2"/>
  <c r="B30293" i="2"/>
  <c r="B11956" i="2"/>
  <c r="B36053" i="2"/>
  <c r="B15327" i="2"/>
  <c r="B16034" i="2"/>
  <c r="B29233" i="2"/>
  <c r="B32463" i="2"/>
  <c r="B2509" i="2"/>
  <c r="B21454" i="2"/>
  <c r="B6767" i="2"/>
  <c r="B9551" i="2"/>
  <c r="B26156" i="2"/>
  <c r="B21184" i="2"/>
  <c r="B14741" i="2"/>
  <c r="B18680" i="2"/>
  <c r="B20393" i="2"/>
  <c r="B10275" i="2"/>
  <c r="B18449" i="2"/>
  <c r="B35346" i="2"/>
  <c r="B10318" i="2"/>
  <c r="B22522" i="2"/>
  <c r="B7664" i="2"/>
  <c r="B12563" i="2"/>
  <c r="B30245" i="2"/>
  <c r="B19401" i="2"/>
  <c r="B30765" i="2"/>
  <c r="B24878" i="2"/>
  <c r="B31512" i="2"/>
  <c r="B3084" i="2"/>
  <c r="B23354" i="2"/>
  <c r="B34106" i="2"/>
  <c r="B11890" i="2"/>
  <c r="B2775" i="2"/>
  <c r="B11210" i="2"/>
  <c r="B11363" i="2"/>
  <c r="B28586" i="2"/>
  <c r="B20833" i="2"/>
  <c r="B20739" i="2"/>
  <c r="B21944" i="2"/>
  <c r="B17974" i="2"/>
  <c r="B13950" i="2"/>
  <c r="B32281" i="2"/>
  <c r="B15674" i="2"/>
  <c r="B30336" i="2"/>
  <c r="B23339" i="2"/>
  <c r="B3819" i="2"/>
  <c r="B18792" i="2"/>
  <c r="B11253" i="2"/>
  <c r="B28420" i="2"/>
  <c r="B25499" i="2"/>
  <c r="B16670" i="2"/>
  <c r="B16590" i="2"/>
  <c r="B30881" i="2"/>
  <c r="B12693" i="2"/>
  <c r="B28490" i="2"/>
  <c r="B1127" i="2"/>
  <c r="B13476" i="2"/>
  <c r="B2887" i="2"/>
  <c r="B15207" i="2"/>
  <c r="B28919" i="2"/>
  <c r="B34770" i="2"/>
  <c r="B10206" i="2"/>
  <c r="B1513" i="2"/>
  <c r="B386" i="2"/>
  <c r="B2978" i="2"/>
  <c r="B25731" i="2"/>
  <c r="B17155" i="2"/>
  <c r="B13767" i="2"/>
  <c r="B11614" i="2"/>
  <c r="B3025" i="2"/>
  <c r="B14075" i="2"/>
  <c r="B33945" i="2"/>
  <c r="B15841" i="2"/>
  <c r="B13785" i="2"/>
  <c r="B18201" i="2"/>
  <c r="B1682" i="2"/>
  <c r="B24590" i="2"/>
  <c r="B20148" i="2"/>
  <c r="B11225" i="2"/>
  <c r="B894" i="2"/>
  <c r="B19450" i="2"/>
  <c r="B18803" i="2"/>
  <c r="B2758" i="2"/>
  <c r="B23786" i="2"/>
  <c r="B20220" i="2"/>
  <c r="B28349" i="2"/>
  <c r="B14770" i="2"/>
  <c r="B31168" i="2"/>
  <c r="B27154" i="2"/>
  <c r="B14613" i="2"/>
  <c r="B609" i="2"/>
  <c r="B31876" i="2"/>
  <c r="B29642" i="2"/>
  <c r="B17852" i="2"/>
  <c r="B2964" i="2"/>
  <c r="B30861" i="2"/>
  <c r="B3968" i="2"/>
  <c r="B6837" i="2"/>
  <c r="B4023" i="2"/>
  <c r="B10628" i="2"/>
  <c r="B14411" i="2"/>
  <c r="B20389" i="2"/>
  <c r="B7890" i="2"/>
  <c r="B34245" i="2"/>
  <c r="B21730" i="2"/>
  <c r="B1786" i="2"/>
  <c r="B28161" i="2"/>
  <c r="B7181" i="2"/>
  <c r="B18054" i="2"/>
  <c r="B32276" i="2"/>
  <c r="B16963" i="2"/>
  <c r="B21621" i="2"/>
  <c r="B25361" i="2"/>
  <c r="B8977" i="2"/>
  <c r="B11238" i="2"/>
  <c r="B11283" i="2"/>
  <c r="B9748" i="2"/>
  <c r="B11463" i="2"/>
  <c r="B28765" i="2"/>
  <c r="B30863" i="2"/>
  <c r="B22724" i="2"/>
  <c r="B546" i="2"/>
  <c r="B28701" i="2"/>
  <c r="B8953" i="2"/>
  <c r="B2589" i="2"/>
  <c r="B28477" i="2"/>
  <c r="B1057" i="2"/>
  <c r="B15336" i="2"/>
  <c r="B28374" i="2"/>
  <c r="B30718" i="2"/>
  <c r="B15833" i="2"/>
  <c r="B20141" i="2"/>
  <c r="B29263" i="2"/>
  <c r="B25576" i="2"/>
  <c r="B34913" i="2"/>
  <c r="B1972" i="2"/>
  <c r="B33933" i="2"/>
  <c r="B10049" i="2"/>
  <c r="B31637" i="2"/>
  <c r="B34148" i="2"/>
  <c r="B12255" i="2"/>
  <c r="B18404" i="2"/>
  <c r="B4373" i="2"/>
  <c r="B35915" i="2"/>
  <c r="B30525" i="2"/>
  <c r="B20727" i="2"/>
  <c r="B1571" i="2"/>
  <c r="B25767" i="2"/>
  <c r="B8443" i="2"/>
  <c r="B16713" i="2"/>
  <c r="B10427" i="2"/>
  <c r="B4761" i="2"/>
  <c r="B19301" i="2"/>
  <c r="B10696" i="2"/>
  <c r="B34208" i="2"/>
  <c r="B8866" i="2"/>
  <c r="B28415" i="2"/>
  <c r="B27188" i="2"/>
  <c r="B17149" i="2"/>
  <c r="B32448" i="2"/>
  <c r="B24595" i="2"/>
  <c r="B35880" i="2"/>
  <c r="B15936" i="2"/>
  <c r="B12088" i="2"/>
  <c r="B20428" i="2"/>
  <c r="B12010" i="2"/>
  <c r="B4119" i="2"/>
  <c r="B25144" i="2"/>
  <c r="B15561" i="2"/>
  <c r="B22908" i="2"/>
  <c r="B13630" i="2"/>
  <c r="B35634" i="2"/>
  <c r="B22648" i="2"/>
  <c r="B30851" i="2"/>
  <c r="B815" i="2"/>
  <c r="B1762" i="2"/>
  <c r="B10693" i="2"/>
  <c r="B2026" i="2"/>
  <c r="B24573" i="2"/>
  <c r="B11561" i="2"/>
  <c r="B16020" i="2"/>
  <c r="B35721" i="2"/>
  <c r="B35660" i="2"/>
  <c r="B18528" i="2"/>
  <c r="B10051" i="2"/>
  <c r="B12868" i="2"/>
  <c r="B27452" i="2"/>
  <c r="B21979" i="2"/>
  <c r="B22628" i="2"/>
  <c r="B18412" i="2"/>
  <c r="B25449" i="2"/>
  <c r="B14817" i="2"/>
  <c r="B16207" i="2"/>
  <c r="B23836" i="2"/>
  <c r="B26687" i="2"/>
  <c r="B25123" i="2"/>
  <c r="B20442" i="2"/>
  <c r="B19726" i="2"/>
  <c r="B10273" i="2"/>
  <c r="B16933" i="2"/>
  <c r="B22126" i="2"/>
  <c r="B23269" i="2"/>
  <c r="B24137" i="2"/>
  <c r="B27135" i="2"/>
  <c r="B12594" i="2"/>
  <c r="B4787" i="2"/>
  <c r="B33115" i="2"/>
  <c r="B20965" i="2"/>
  <c r="B26460" i="2"/>
  <c r="B26310" i="2"/>
  <c r="B17079" i="2"/>
  <c r="B28167" i="2"/>
  <c r="B1277" i="2"/>
  <c r="B24570" i="2"/>
  <c r="B13436" i="2"/>
  <c r="B9015" i="2"/>
  <c r="B5152" i="2"/>
  <c r="B11722" i="2"/>
  <c r="B12484" i="2"/>
  <c r="B11800" i="2"/>
  <c r="B35144" i="2"/>
  <c r="B13456" i="2"/>
  <c r="B8446" i="2"/>
  <c r="B10002" i="2"/>
  <c r="B17480" i="2"/>
  <c r="B25157" i="2"/>
  <c r="B21678" i="2"/>
  <c r="B15293" i="2"/>
  <c r="B11653" i="2"/>
  <c r="B31972" i="2"/>
  <c r="B6754" i="2"/>
  <c r="B20349" i="2"/>
  <c r="B29830" i="2"/>
  <c r="B34786" i="2"/>
  <c r="B33859" i="2"/>
  <c r="B23323" i="2"/>
  <c r="B24613" i="2"/>
  <c r="B23732" i="2"/>
  <c r="B33823" i="2"/>
  <c r="B1815" i="2"/>
  <c r="B10746" i="2"/>
  <c r="B24182" i="2"/>
  <c r="B13990" i="2"/>
  <c r="B1880" i="2"/>
  <c r="B7023" i="2"/>
  <c r="B32562" i="2"/>
  <c r="B22839" i="2"/>
  <c r="B9467" i="2"/>
  <c r="B28536" i="2"/>
  <c r="B13416" i="2"/>
  <c r="B12901" i="2"/>
  <c r="B8316" i="2"/>
  <c r="B15544" i="2"/>
  <c r="B9309" i="2"/>
  <c r="B31249" i="2"/>
  <c r="B17450" i="2"/>
  <c r="B3849" i="2"/>
  <c r="B9970" i="2"/>
  <c r="B22873" i="2"/>
  <c r="B5301" i="2"/>
  <c r="B31237" i="2"/>
  <c r="B12143" i="2"/>
  <c r="B6736" i="2"/>
  <c r="B4296" i="2"/>
  <c r="B23031" i="2"/>
  <c r="B24935" i="2"/>
  <c r="B22443" i="2"/>
  <c r="B23051" i="2"/>
  <c r="B23384" i="2"/>
  <c r="B7855" i="2"/>
  <c r="B12055" i="2"/>
  <c r="B8418" i="2"/>
  <c r="B18787" i="2"/>
  <c r="B22075" i="2"/>
  <c r="B5407" i="2"/>
  <c r="B11513" i="2"/>
  <c r="B24731" i="2"/>
  <c r="B11556" i="2"/>
  <c r="B25694" i="2"/>
  <c r="B35675" i="2"/>
  <c r="B12367" i="2"/>
  <c r="B9783" i="2"/>
  <c r="B26569" i="2"/>
  <c r="B13979" i="2"/>
  <c r="B28211" i="2"/>
  <c r="B10119" i="2"/>
  <c r="B10247" i="2"/>
  <c r="B26592" i="2"/>
  <c r="B24254" i="2"/>
  <c r="B4588" i="2"/>
  <c r="B12372" i="2"/>
  <c r="B30105" i="2"/>
  <c r="B24169" i="2"/>
  <c r="B17002" i="2"/>
  <c r="B14564" i="2"/>
  <c r="B18290" i="2"/>
  <c r="B30429" i="2"/>
  <c r="B6164" i="2"/>
  <c r="B10981" i="2"/>
  <c r="B3934" i="2"/>
  <c r="B26848" i="2"/>
  <c r="B20333" i="2"/>
  <c r="B35086" i="2"/>
  <c r="B20795" i="2"/>
  <c r="B34165" i="2"/>
  <c r="B19882" i="2"/>
  <c r="B21107" i="2"/>
  <c r="B21545" i="2"/>
  <c r="B17027" i="2"/>
  <c r="B14066" i="2"/>
  <c r="B21954" i="2"/>
  <c r="B11588" i="2"/>
  <c r="B27230" i="2"/>
  <c r="B9945" i="2"/>
  <c r="B36125" i="2"/>
  <c r="B18221" i="2"/>
  <c r="B21638" i="2"/>
  <c r="B16596" i="2"/>
  <c r="B22801" i="2"/>
  <c r="B15650" i="2"/>
  <c r="B22808" i="2"/>
  <c r="B34162" i="2"/>
  <c r="B5360" i="2"/>
  <c r="B8472" i="2"/>
  <c r="B33197" i="2"/>
  <c r="B24273" i="2"/>
  <c r="B15950" i="2"/>
  <c r="B22972" i="2"/>
  <c r="B20303" i="2"/>
  <c r="B19603" i="2"/>
  <c r="B14165" i="2"/>
  <c r="B21311" i="2"/>
  <c r="B14854" i="2"/>
  <c r="B1771" i="2"/>
  <c r="B5086" i="2"/>
  <c r="B29802" i="2"/>
  <c r="B35138" i="2"/>
  <c r="B34237" i="2"/>
  <c r="B19981" i="2"/>
  <c r="B34450" i="2"/>
  <c r="B12334" i="2"/>
  <c r="B26576" i="2"/>
  <c r="B24140" i="2"/>
  <c r="B25396" i="2"/>
  <c r="B26622" i="2"/>
  <c r="B15108" i="2"/>
  <c r="B20679" i="2"/>
  <c r="B652" i="2"/>
  <c r="B36343" i="2"/>
  <c r="B1084" i="2"/>
  <c r="B34278" i="2"/>
  <c r="B33213" i="2"/>
  <c r="B11312" i="2"/>
  <c r="B9610" i="2"/>
  <c r="B24191" i="2"/>
  <c r="B25433" i="2"/>
  <c r="B15914" i="2"/>
  <c r="B21205" i="2"/>
  <c r="B13272" i="2"/>
  <c r="B23868" i="2"/>
  <c r="B10526" i="2"/>
  <c r="B15626" i="2"/>
  <c r="B20762" i="2"/>
  <c r="B14739" i="2"/>
  <c r="B6066" i="2"/>
  <c r="B1298" i="2"/>
  <c r="B24579" i="2"/>
  <c r="B35185" i="2"/>
  <c r="B13262" i="2"/>
  <c r="B25844" i="2"/>
  <c r="B18228" i="2"/>
  <c r="B14435" i="2"/>
  <c r="B5105" i="2"/>
  <c r="B22327" i="2"/>
  <c r="B24627" i="2"/>
  <c r="B21208" i="2"/>
  <c r="B2182" i="2"/>
  <c r="B29689" i="2"/>
  <c r="B8771" i="2"/>
  <c r="B35384" i="2"/>
  <c r="B23953" i="2"/>
  <c r="B10282" i="2"/>
  <c r="B34390" i="2"/>
  <c r="B29217" i="2"/>
  <c r="B20711" i="2"/>
  <c r="B21567" i="2"/>
  <c r="B31059" i="2"/>
  <c r="B30880" i="2"/>
  <c r="B3168" i="2"/>
  <c r="B13670" i="2"/>
  <c r="B25028" i="2"/>
  <c r="B5287" i="2"/>
  <c r="B33123" i="2"/>
  <c r="B21259" i="2"/>
  <c r="B21093" i="2"/>
  <c r="B9344" i="2"/>
  <c r="B21711" i="2"/>
  <c r="B14389" i="2"/>
  <c r="B20575" i="2"/>
  <c r="B5147" i="2"/>
  <c r="B9672" i="2"/>
  <c r="B8451" i="2"/>
  <c r="B10607" i="2"/>
  <c r="B22352" i="2"/>
  <c r="B19761" i="2"/>
  <c r="B30610" i="2"/>
  <c r="B36132" i="2"/>
  <c r="B26010" i="2"/>
  <c r="B21914" i="2"/>
  <c r="B19452" i="2"/>
  <c r="B9643" i="2"/>
  <c r="B8350" i="2"/>
  <c r="B10912" i="2"/>
  <c r="B19818" i="2"/>
  <c r="B11211" i="2"/>
  <c r="B32428" i="2"/>
  <c r="B12709" i="2"/>
  <c r="B18619" i="2"/>
  <c r="B6487" i="2"/>
  <c r="B1916" i="2"/>
  <c r="B29803" i="2"/>
  <c r="B20696" i="2"/>
  <c r="B20357" i="2"/>
  <c r="B579" i="2"/>
  <c r="B13676" i="2"/>
  <c r="B27894" i="2"/>
  <c r="B3546" i="2"/>
  <c r="B2876" i="2"/>
  <c r="B21011" i="2"/>
  <c r="B25469" i="2"/>
  <c r="B12813" i="2"/>
  <c r="B19316" i="2"/>
  <c r="B11917" i="2"/>
  <c r="B12196" i="2"/>
  <c r="B4775" i="2"/>
  <c r="B17911" i="2"/>
  <c r="B19366" i="2"/>
  <c r="B17803" i="2"/>
  <c r="B12496" i="2"/>
  <c r="B27040" i="2"/>
  <c r="B19608" i="2"/>
  <c r="B15514" i="2"/>
  <c r="B24108" i="2"/>
  <c r="B23411" i="2"/>
  <c r="B32737" i="2"/>
  <c r="B35197" i="2"/>
  <c r="B29645" i="2"/>
  <c r="B10559" i="2"/>
  <c r="B25552" i="2"/>
  <c r="B15490" i="2"/>
  <c r="B11699" i="2"/>
  <c r="B27573" i="2"/>
  <c r="B6183" i="2"/>
  <c r="B11474" i="2"/>
  <c r="B3762" i="2"/>
  <c r="B32292" i="2"/>
  <c r="B33853" i="2"/>
  <c r="B34887" i="2"/>
  <c r="B14970" i="2"/>
  <c r="B13866" i="2"/>
  <c r="B31551" i="2"/>
  <c r="B10753" i="2"/>
  <c r="B15364" i="2"/>
  <c r="B6978" i="2"/>
  <c r="B9305" i="2"/>
  <c r="B1528" i="2"/>
  <c r="B33343" i="2"/>
  <c r="B33220" i="2"/>
  <c r="B19706" i="2"/>
  <c r="B23847" i="2"/>
  <c r="B22877" i="2"/>
  <c r="B5523" i="2"/>
  <c r="B14351" i="2"/>
  <c r="B18397" i="2"/>
  <c r="B35322" i="2"/>
  <c r="B31741" i="2"/>
  <c r="B2953" i="2"/>
  <c r="B34360" i="2"/>
  <c r="B4650" i="2"/>
  <c r="B32304" i="2"/>
  <c r="B32977" i="2"/>
  <c r="B13308" i="2"/>
  <c r="B188" i="2"/>
  <c r="B8851" i="2"/>
  <c r="B22991" i="2"/>
  <c r="B17866" i="2"/>
  <c r="B30602" i="2"/>
  <c r="B1115" i="2"/>
  <c r="B24717" i="2"/>
  <c r="B20704" i="2"/>
  <c r="B26700" i="2"/>
  <c r="B13581" i="2"/>
  <c r="B17965" i="2"/>
  <c r="B11543" i="2"/>
  <c r="B27421" i="2"/>
  <c r="B34461" i="2"/>
  <c r="B26732" i="2"/>
  <c r="B21762" i="2"/>
  <c r="B14249" i="2"/>
  <c r="B32692" i="2"/>
  <c r="B11869" i="2"/>
  <c r="B11118" i="2"/>
  <c r="B4451" i="2"/>
  <c r="B21651" i="2"/>
  <c r="B21053" i="2"/>
  <c r="B15619" i="2"/>
  <c r="B13210" i="2"/>
  <c r="B23801" i="2"/>
  <c r="B10798" i="2"/>
  <c r="B13418" i="2"/>
  <c r="B2560" i="2"/>
  <c r="B13815" i="2"/>
  <c r="B25835" i="2"/>
  <c r="B15166" i="2"/>
  <c r="B25261" i="2"/>
  <c r="B23072" i="2"/>
  <c r="B11114" i="2"/>
  <c r="B10019" i="2"/>
  <c r="B1508" i="2"/>
  <c r="B1713" i="2"/>
  <c r="B28682" i="2"/>
  <c r="B25395" i="2"/>
  <c r="B21813" i="2"/>
  <c r="B11650" i="2"/>
  <c r="B11078" i="2"/>
  <c r="B8800" i="2"/>
  <c r="B11678" i="2"/>
  <c r="B27201" i="2"/>
  <c r="B11108" i="2"/>
  <c r="B34123" i="2"/>
  <c r="B31675" i="2"/>
  <c r="B1448" i="2"/>
  <c r="B34691" i="2"/>
  <c r="B17739" i="2"/>
  <c r="B34253" i="2"/>
  <c r="B13477" i="2"/>
  <c r="B13583" i="2"/>
  <c r="B14788" i="2"/>
  <c r="B16317" i="2"/>
  <c r="B8526" i="2"/>
  <c r="B6879" i="2"/>
  <c r="B26805" i="2"/>
  <c r="B26995" i="2"/>
  <c r="B17781" i="2"/>
  <c r="B9060" i="2"/>
  <c r="B1760" i="2"/>
  <c r="B7316" i="2"/>
  <c r="B21648" i="2"/>
  <c r="B25051" i="2"/>
  <c r="B6119" i="2"/>
  <c r="B5744" i="2"/>
  <c r="B4108" i="2"/>
  <c r="B1129" i="2"/>
  <c r="B15570" i="2"/>
  <c r="B25093" i="2"/>
  <c r="B21661" i="2"/>
  <c r="B7380" i="2"/>
  <c r="B7926" i="2"/>
  <c r="B13421" i="2"/>
  <c r="B14114" i="2"/>
  <c r="B25376" i="2"/>
  <c r="B24532" i="2"/>
  <c r="B22218" i="2"/>
  <c r="B11560" i="2"/>
  <c r="B6996" i="2"/>
  <c r="B8112" i="2"/>
  <c r="B7729" i="2"/>
  <c r="B3846" i="2"/>
  <c r="B32956" i="2"/>
  <c r="B465" i="2"/>
  <c r="B25592" i="2"/>
  <c r="B14490" i="2"/>
  <c r="B14388" i="2"/>
  <c r="B25159" i="2"/>
  <c r="B3387" i="2"/>
  <c r="B22915" i="2"/>
  <c r="B25044" i="2"/>
  <c r="B23292" i="2"/>
  <c r="B30375" i="2"/>
  <c r="B19016" i="2"/>
  <c r="B6334" i="2"/>
  <c r="B20941" i="2"/>
  <c r="B4508" i="2"/>
  <c r="B35654" i="2"/>
  <c r="B21281" i="2"/>
  <c r="B13414" i="2"/>
  <c r="B35493" i="2"/>
  <c r="B26316" i="2"/>
  <c r="B33571" i="2"/>
  <c r="B34886" i="2"/>
  <c r="B34665" i="2"/>
  <c r="B18414" i="2"/>
  <c r="B18473" i="2"/>
  <c r="B34544" i="2"/>
  <c r="B4800" i="2"/>
  <c r="B3590" i="2"/>
  <c r="B16510" i="2"/>
  <c r="B33219" i="2"/>
  <c r="B18035" i="2"/>
  <c r="B11575" i="2"/>
  <c r="B5939" i="2"/>
  <c r="B21655" i="2"/>
  <c r="B25418" i="2"/>
  <c r="B26639" i="2"/>
  <c r="B27183" i="2"/>
  <c r="B535" i="2"/>
  <c r="B12294" i="2"/>
  <c r="B775" i="2"/>
  <c r="B25403" i="2"/>
  <c r="B30359" i="2"/>
  <c r="B21429" i="2"/>
  <c r="B30124" i="2"/>
  <c r="B4163" i="2"/>
  <c r="B30482" i="2"/>
  <c r="B22682" i="2"/>
  <c r="B35024" i="2"/>
  <c r="B34412" i="2"/>
  <c r="B18428" i="2"/>
  <c r="B18746" i="2"/>
  <c r="B13170" i="2"/>
  <c r="B18613" i="2"/>
  <c r="B23089" i="2"/>
  <c r="B9011" i="2"/>
  <c r="B9005" i="2"/>
  <c r="B34865" i="2"/>
  <c r="B33578" i="2"/>
  <c r="B23990" i="2"/>
  <c r="B20713" i="2"/>
  <c r="B12578" i="2"/>
  <c r="B24575" i="2"/>
  <c r="B4186" i="2"/>
  <c r="B19979" i="2"/>
  <c r="B24370" i="2"/>
  <c r="B16979" i="2"/>
  <c r="B22824" i="2"/>
  <c r="B13147" i="2"/>
  <c r="B25537" i="2"/>
  <c r="B18460" i="2"/>
  <c r="B15617" i="2"/>
  <c r="B23424" i="2"/>
  <c r="B3280" i="2"/>
  <c r="B6857" i="2"/>
  <c r="B32976" i="2"/>
  <c r="B7587" i="2"/>
  <c r="B26118" i="2"/>
  <c r="B19496" i="2"/>
  <c r="B1689" i="2"/>
  <c r="B3010" i="2"/>
  <c r="B21223" i="2"/>
  <c r="B3606" i="2"/>
  <c r="B20396" i="2"/>
  <c r="B20262" i="2"/>
  <c r="B19666" i="2"/>
  <c r="B24206" i="2"/>
  <c r="B7991" i="2"/>
  <c r="B22470" i="2"/>
  <c r="B18777" i="2"/>
  <c r="B7636" i="2"/>
  <c r="B21044" i="2"/>
  <c r="B14611" i="2"/>
  <c r="B20747" i="2"/>
  <c r="B3415" i="2"/>
  <c r="B27327" i="2"/>
  <c r="B24586" i="2"/>
  <c r="B1374" i="2"/>
  <c r="B17132" i="2"/>
  <c r="B27038" i="2"/>
  <c r="B1742" i="2"/>
  <c r="B21643" i="2"/>
  <c r="B8574" i="2"/>
  <c r="B26182" i="2"/>
  <c r="B21518" i="2"/>
  <c r="B22701" i="2"/>
  <c r="B12419" i="2"/>
  <c r="B3379" i="2"/>
  <c r="B28826" i="2"/>
  <c r="B17038" i="2"/>
  <c r="B2452" i="2"/>
  <c r="B1055" i="2"/>
  <c r="B29821" i="2"/>
  <c r="B3283" i="2"/>
  <c r="B22081" i="2"/>
  <c r="B9152" i="2"/>
  <c r="B15587" i="2"/>
  <c r="B8625" i="2"/>
  <c r="B25481" i="2"/>
  <c r="B34422" i="2"/>
  <c r="B12932" i="2"/>
  <c r="B22976" i="2"/>
  <c r="B35018" i="2"/>
  <c r="B1311" i="2"/>
  <c r="B28024" i="2"/>
  <c r="B34570" i="2"/>
  <c r="B3530" i="2"/>
  <c r="B23647" i="2"/>
  <c r="B23865" i="2"/>
  <c r="B2298" i="2"/>
  <c r="B10260" i="2"/>
  <c r="B9527" i="2"/>
  <c r="B13138" i="2"/>
  <c r="B23357" i="2"/>
  <c r="B17091" i="2"/>
  <c r="B13023" i="2"/>
  <c r="B2552" i="2"/>
  <c r="B12597" i="2"/>
  <c r="B20519" i="2"/>
  <c r="B1612" i="2"/>
  <c r="B14660" i="2"/>
  <c r="B12875" i="2"/>
  <c r="B3932" i="2"/>
  <c r="B23591" i="2"/>
  <c r="B11484" i="2"/>
  <c r="B14526" i="2"/>
  <c r="B11549" i="2"/>
  <c r="B24425" i="2"/>
  <c r="B23974" i="2"/>
  <c r="B29659" i="2"/>
  <c r="B34030" i="2"/>
  <c r="B22028" i="2"/>
  <c r="B26504" i="2"/>
  <c r="B10740" i="2"/>
  <c r="B27549" i="2"/>
  <c r="B27483" i="2"/>
  <c r="B13833" i="2"/>
  <c r="B35260" i="2"/>
  <c r="B13982" i="2"/>
  <c r="B25918" i="2"/>
  <c r="B18725" i="2"/>
  <c r="B3831" i="2"/>
  <c r="B30159" i="2"/>
  <c r="B23091" i="2"/>
  <c r="B6600" i="2"/>
  <c r="B1598" i="2"/>
  <c r="B30546" i="2"/>
  <c r="B1280" i="2"/>
  <c r="B16200" i="2"/>
  <c r="B21365" i="2"/>
  <c r="B29409" i="2"/>
  <c r="B11439" i="2"/>
  <c r="B6924" i="2"/>
  <c r="B29630" i="2"/>
  <c r="B1517" i="2"/>
  <c r="B21367" i="2"/>
  <c r="B20328" i="2"/>
  <c r="B19866" i="2"/>
  <c r="B28936" i="2"/>
  <c r="B25444" i="2"/>
  <c r="B4627" i="2"/>
  <c r="B12082" i="2"/>
  <c r="B24823" i="2"/>
  <c r="B19746" i="2"/>
  <c r="B30248" i="2"/>
  <c r="B27079" i="2"/>
  <c r="B10511" i="2"/>
  <c r="B22037" i="2"/>
  <c r="B4050" i="2"/>
  <c r="B24722" i="2"/>
  <c r="B33917" i="2"/>
  <c r="B13187" i="2"/>
  <c r="B24135" i="2"/>
  <c r="B12299" i="2"/>
  <c r="B25952" i="2"/>
  <c r="B27074" i="2"/>
  <c r="B16138" i="2"/>
  <c r="B25658" i="2"/>
  <c r="B10524" i="2"/>
  <c r="B26963" i="2"/>
  <c r="B34627" i="2"/>
  <c r="B21558" i="2"/>
  <c r="B20890" i="2"/>
  <c r="B24368" i="2"/>
  <c r="B2956" i="2"/>
  <c r="B16183" i="2"/>
  <c r="B25336" i="2"/>
  <c r="B13571" i="2"/>
  <c r="B24812" i="2"/>
  <c r="B18365" i="2"/>
  <c r="B33711" i="2"/>
  <c r="B34733" i="2"/>
  <c r="B35561" i="2"/>
  <c r="B7694" i="2"/>
  <c r="B13814" i="2"/>
  <c r="B28599" i="2"/>
  <c r="B29055" i="2"/>
  <c r="B17428" i="2"/>
  <c r="B2527" i="2"/>
  <c r="B18140" i="2"/>
  <c r="B4594" i="2"/>
  <c r="B29584" i="2"/>
  <c r="B25057" i="2"/>
  <c r="B9073" i="2"/>
  <c r="B20736" i="2"/>
  <c r="B15376" i="2"/>
  <c r="B14092" i="2"/>
  <c r="B14023" i="2"/>
  <c r="B12214" i="2"/>
  <c r="B15041" i="2"/>
  <c r="B20347" i="2"/>
  <c r="B20742" i="2"/>
  <c r="B12952" i="2"/>
  <c r="B16857" i="2"/>
  <c r="B26354" i="2"/>
  <c r="B13468" i="2"/>
  <c r="B16866" i="2"/>
  <c r="B12878" i="2"/>
  <c r="B19263" i="2"/>
  <c r="B18096" i="2"/>
  <c r="B33768" i="2"/>
  <c r="B20930" i="2"/>
  <c r="B25105" i="2"/>
  <c r="B12598" i="2"/>
  <c r="B24745" i="2"/>
  <c r="B14919" i="2"/>
  <c r="B35027" i="2"/>
  <c r="B26993" i="2"/>
  <c r="B16114" i="2"/>
  <c r="B18523" i="2"/>
  <c r="B19161" i="2"/>
  <c r="B8366" i="2"/>
  <c r="B3547" i="2"/>
  <c r="B19253" i="2"/>
  <c r="B11628" i="2"/>
  <c r="B6017" i="2"/>
  <c r="B28186" i="2"/>
  <c r="B3596" i="2"/>
  <c r="B4422" i="2"/>
  <c r="B29305" i="2"/>
  <c r="B21623" i="2"/>
  <c r="B14255" i="2"/>
  <c r="B1652" i="2"/>
  <c r="B9712" i="2"/>
  <c r="B35461" i="2"/>
  <c r="B31526" i="2"/>
  <c r="B17026" i="2"/>
  <c r="B5843" i="2"/>
  <c r="B35715" i="2"/>
  <c r="B275" i="2"/>
  <c r="B19749" i="2"/>
  <c r="B9542" i="2"/>
  <c r="B8782" i="2"/>
  <c r="B15920" i="2"/>
  <c r="B16913" i="2"/>
  <c r="B20297" i="2"/>
  <c r="B6965" i="2"/>
  <c r="B23712" i="2"/>
  <c r="B5733" i="2"/>
  <c r="B15210" i="2"/>
  <c r="B16393" i="2"/>
  <c r="B29712" i="2"/>
  <c r="B36232" i="2"/>
  <c r="B18300" i="2"/>
  <c r="B30657" i="2"/>
  <c r="B11454" i="2"/>
  <c r="B22336" i="2"/>
  <c r="B29529" i="2"/>
  <c r="B2276" i="2"/>
  <c r="B29446" i="2"/>
  <c r="B11232" i="2"/>
  <c r="B33732" i="2"/>
  <c r="B20371" i="2"/>
  <c r="B8249" i="2"/>
  <c r="B32202" i="2"/>
  <c r="B410" i="2"/>
  <c r="B2493" i="2"/>
  <c r="B29707" i="2"/>
  <c r="B12963" i="2"/>
  <c r="B9897" i="2"/>
  <c r="B15922" i="2"/>
  <c r="B9079" i="2"/>
  <c r="B19367" i="2"/>
  <c r="B2300" i="2"/>
  <c r="B3145" i="2"/>
  <c r="B29394" i="2"/>
  <c r="B27276" i="2"/>
  <c r="B16721" i="2"/>
  <c r="B28262" i="2"/>
  <c r="B614" i="2"/>
  <c r="B32491" i="2"/>
  <c r="B16847" i="2"/>
  <c r="B6959" i="2"/>
  <c r="B34163" i="2"/>
  <c r="B2332" i="2"/>
  <c r="B23116" i="2"/>
  <c r="B11991" i="2"/>
  <c r="B31090" i="2"/>
  <c r="B20129" i="2"/>
  <c r="B28501" i="2"/>
  <c r="B1097" i="2"/>
  <c r="B10833" i="2"/>
  <c r="B3012" i="2"/>
  <c r="B34649" i="2"/>
  <c r="B28379" i="2"/>
  <c r="B13245" i="2"/>
  <c r="B9871" i="2"/>
  <c r="B12918" i="2"/>
  <c r="B24330" i="2"/>
  <c r="B31765" i="2"/>
  <c r="B1045" i="2"/>
  <c r="B27687" i="2"/>
  <c r="B5634" i="2"/>
  <c r="B18765" i="2"/>
  <c r="B4381" i="2"/>
  <c r="B33773" i="2"/>
  <c r="B34861" i="2"/>
  <c r="B17836" i="2"/>
  <c r="B28898" i="2"/>
  <c r="B23497" i="2"/>
  <c r="B22627" i="2"/>
  <c r="B31510" i="2"/>
  <c r="B17157" i="2"/>
  <c r="B21578" i="2"/>
  <c r="B28721" i="2"/>
  <c r="B28924" i="2"/>
  <c r="B35961" i="2"/>
  <c r="B23586" i="2"/>
  <c r="B10739" i="2"/>
  <c r="B33661" i="2"/>
  <c r="B12758" i="2"/>
  <c r="B166" i="2"/>
  <c r="B16159" i="2"/>
  <c r="B30640" i="2"/>
  <c r="B29030" i="2"/>
  <c r="B18557" i="2"/>
  <c r="B10257" i="2"/>
  <c r="B33121" i="2"/>
  <c r="B22018" i="2"/>
  <c r="B26497" i="2"/>
  <c r="B8444" i="2"/>
  <c r="B15427" i="2"/>
  <c r="B23709" i="2"/>
  <c r="B15135" i="2"/>
  <c r="B29474" i="2"/>
  <c r="B3543" i="2"/>
  <c r="B26233" i="2"/>
  <c r="B7710" i="2"/>
  <c r="B34763" i="2"/>
  <c r="B34849" i="2"/>
  <c r="B35573" i="2"/>
  <c r="B27458" i="2"/>
  <c r="B21143" i="2"/>
  <c r="B2945" i="2"/>
  <c r="B28348" i="2"/>
  <c r="B32294" i="2"/>
  <c r="B1206" i="2"/>
  <c r="B4193" i="2"/>
  <c r="B13030" i="2"/>
  <c r="B11737" i="2"/>
  <c r="B4549" i="2"/>
  <c r="B8599" i="2"/>
  <c r="B21726" i="2"/>
  <c r="B13224" i="2"/>
  <c r="B11000" i="2"/>
  <c r="B31172" i="2"/>
  <c r="B6161" i="2"/>
  <c r="B11586" i="2"/>
  <c r="B8343" i="2"/>
  <c r="B4547" i="2"/>
  <c r="B19992" i="2"/>
  <c r="B29118" i="2"/>
  <c r="B23451" i="2"/>
  <c r="B6059" i="2"/>
  <c r="B426" i="2"/>
  <c r="B8346" i="2"/>
  <c r="B12520" i="2"/>
  <c r="B1906" i="2"/>
  <c r="B12658" i="2"/>
  <c r="B4557" i="2"/>
  <c r="B6078" i="2"/>
  <c r="B9930" i="2"/>
  <c r="B16606" i="2"/>
  <c r="B20659" i="2"/>
  <c r="B2176" i="2"/>
  <c r="B28568" i="2"/>
  <c r="B34211" i="2"/>
  <c r="B24272" i="2"/>
  <c r="B12554" i="2"/>
  <c r="B35102" i="2"/>
  <c r="B30313" i="2"/>
  <c r="B30442" i="2"/>
  <c r="B22588" i="2"/>
  <c r="B10323" i="2"/>
  <c r="B32813" i="2"/>
  <c r="B30798" i="2"/>
  <c r="B32010" i="2"/>
  <c r="B31638" i="2"/>
  <c r="B27242" i="2"/>
  <c r="B14453" i="2"/>
  <c r="B26583" i="2"/>
  <c r="B10540" i="2"/>
  <c r="B24027" i="2"/>
  <c r="B18118" i="2"/>
  <c r="B30953" i="2"/>
  <c r="B13233" i="2"/>
  <c r="B19786" i="2"/>
  <c r="B30407" i="2"/>
  <c r="B22115" i="2"/>
  <c r="B25809" i="2"/>
  <c r="B22408" i="2"/>
  <c r="B28133" i="2"/>
  <c r="B20970" i="2"/>
  <c r="B29355" i="2"/>
  <c r="B6611" i="2"/>
  <c r="B15305" i="2"/>
  <c r="B11461" i="2"/>
  <c r="B20531" i="2"/>
  <c r="B1623" i="2"/>
  <c r="B17497" i="2"/>
  <c r="B17691" i="2"/>
  <c r="B29935" i="2"/>
  <c r="B22883" i="2"/>
  <c r="B16741" i="2"/>
  <c r="B21373" i="2"/>
  <c r="B27497" i="2"/>
  <c r="B34312" i="2"/>
  <c r="B21894" i="2"/>
  <c r="B32494" i="2"/>
  <c r="B1622" i="2"/>
  <c r="B16388" i="2"/>
  <c r="B7865" i="2"/>
  <c r="B14646" i="2"/>
  <c r="B12640" i="2"/>
  <c r="B10721" i="2"/>
  <c r="B10207" i="2"/>
  <c r="B28761" i="2"/>
  <c r="B21520" i="2"/>
  <c r="B30279" i="2"/>
  <c r="B8815" i="2"/>
  <c r="B4396" i="2"/>
  <c r="B2127" i="2"/>
  <c r="B11929" i="2"/>
  <c r="B16290" i="2"/>
  <c r="B23539" i="2"/>
  <c r="B3407" i="2"/>
  <c r="B22704" i="2"/>
  <c r="B2825" i="2"/>
  <c r="B34093" i="2"/>
  <c r="B17115" i="2"/>
  <c r="B10353" i="2"/>
  <c r="B12443" i="2"/>
  <c r="B27584" i="2"/>
  <c r="B30587" i="2"/>
  <c r="B22214" i="2"/>
  <c r="B29252" i="2"/>
  <c r="B24486" i="2"/>
  <c r="B21116" i="2"/>
  <c r="B31895" i="2"/>
  <c r="B25394" i="2"/>
  <c r="B28112" i="2"/>
  <c r="B11432" i="2"/>
  <c r="B35385" i="2"/>
  <c r="B20425" i="2"/>
  <c r="B19049" i="2"/>
  <c r="B25883" i="2"/>
  <c r="B29647" i="2"/>
  <c r="B19314" i="2"/>
  <c r="B11613" i="2"/>
  <c r="B27735" i="2"/>
  <c r="B20210" i="2"/>
  <c r="B2199" i="2"/>
  <c r="B12761" i="2"/>
  <c r="B31859" i="2"/>
  <c r="B15345" i="2"/>
  <c r="B34944" i="2"/>
  <c r="B33796" i="2"/>
  <c r="B17347" i="2"/>
  <c r="B4676" i="2"/>
  <c r="B15113" i="2"/>
  <c r="B10836" i="2"/>
  <c r="B32757" i="2"/>
  <c r="B9543" i="2"/>
  <c r="B24224" i="2"/>
  <c r="B5863" i="2"/>
  <c r="B29983" i="2"/>
  <c r="B16379" i="2"/>
  <c r="B10371" i="2"/>
  <c r="B32206" i="2"/>
  <c r="B24212" i="2"/>
  <c r="B11465" i="2"/>
  <c r="B14468" i="2"/>
  <c r="B13822" i="2"/>
  <c r="B720" i="2"/>
  <c r="B8810" i="2"/>
  <c r="B18402" i="2"/>
  <c r="B2097" i="2"/>
  <c r="B9826" i="2"/>
  <c r="B11962" i="2"/>
  <c r="B24963" i="2"/>
  <c r="B23193" i="2"/>
  <c r="B2021" i="2"/>
  <c r="B1857" i="2"/>
  <c r="B29100" i="2"/>
  <c r="B32623" i="2"/>
  <c r="B27851" i="2"/>
  <c r="B31720" i="2"/>
  <c r="B13844" i="2"/>
  <c r="B24086" i="2"/>
  <c r="B265" i="2"/>
  <c r="B8957" i="2"/>
  <c r="B25604" i="2"/>
  <c r="B9501" i="2"/>
  <c r="B30985" i="2"/>
  <c r="B29528" i="2"/>
  <c r="B8939" i="2"/>
  <c r="B603" i="2"/>
  <c r="B3858" i="2"/>
  <c r="B10163" i="2"/>
  <c r="B10621" i="2"/>
  <c r="B352" i="2"/>
  <c r="B34626" i="2"/>
  <c r="B32331" i="2"/>
  <c r="B17680" i="2"/>
  <c r="B22930" i="2"/>
  <c r="B10707" i="2"/>
  <c r="B3583" i="2"/>
  <c r="B7873" i="2"/>
  <c r="B18768" i="2"/>
  <c r="B973" i="2"/>
  <c r="B17215" i="2"/>
  <c r="B19807" i="2"/>
  <c r="B32844" i="2"/>
  <c r="B6245" i="2"/>
  <c r="B29228" i="2"/>
  <c r="B21942" i="2"/>
  <c r="B20491" i="2"/>
  <c r="B13386" i="2"/>
  <c r="B32465" i="2"/>
  <c r="B11905" i="2"/>
  <c r="B10566" i="2"/>
  <c r="B15448" i="2"/>
  <c r="B1794" i="2"/>
  <c r="B33300" i="2"/>
  <c r="B20635" i="2"/>
  <c r="B5417" i="2"/>
  <c r="B17254" i="2"/>
  <c r="B29725" i="2"/>
  <c r="B1214" i="2"/>
  <c r="B23805" i="2"/>
  <c r="B32403" i="2"/>
  <c r="B21694" i="2"/>
  <c r="B28722" i="2"/>
  <c r="B3244" i="2"/>
  <c r="B1838" i="2"/>
  <c r="B22595" i="2"/>
  <c r="B4716" i="2"/>
  <c r="B18683" i="2"/>
  <c r="B18455" i="2"/>
  <c r="B14246" i="2"/>
  <c r="B2406" i="2"/>
  <c r="B31075" i="2"/>
  <c r="B35077" i="2"/>
  <c r="B27182" i="2"/>
  <c r="B2265" i="2"/>
  <c r="B29218" i="2"/>
  <c r="B28794" i="2"/>
  <c r="B3023" i="2"/>
  <c r="B24262" i="2"/>
  <c r="B17489" i="2"/>
  <c r="B23204" i="2"/>
  <c r="B30233" i="2"/>
  <c r="B1542" i="2"/>
  <c r="B24013" i="2"/>
  <c r="B19686" i="2"/>
  <c r="B17634" i="2"/>
  <c r="B912" i="2"/>
  <c r="B26077" i="2"/>
  <c r="B2959" i="2"/>
  <c r="B30496" i="2"/>
  <c r="B17467" i="2"/>
  <c r="B27265" i="2"/>
  <c r="B10862" i="2"/>
  <c r="B16143" i="2"/>
  <c r="B22046" i="2"/>
  <c r="B8431" i="2"/>
  <c r="B9241" i="2"/>
  <c r="B13663" i="2"/>
  <c r="B4187" i="2"/>
  <c r="B33926" i="2"/>
  <c r="B29774" i="2"/>
  <c r="B10287" i="2"/>
  <c r="B15311" i="2"/>
  <c r="B12929" i="2"/>
  <c r="B32764" i="2"/>
  <c r="B28637" i="2"/>
  <c r="B28652" i="2"/>
  <c r="B18272" i="2"/>
  <c r="B29483" i="2"/>
  <c r="B19487" i="2"/>
  <c r="B16261" i="2"/>
  <c r="B12759" i="2"/>
  <c r="B25572" i="2"/>
  <c r="B10811" i="2"/>
  <c r="B4143" i="2"/>
  <c r="B18503" i="2"/>
  <c r="B1194" i="2"/>
  <c r="B26264" i="2"/>
  <c r="B35967" i="2"/>
  <c r="B4183" i="2"/>
  <c r="B15010" i="2"/>
  <c r="B10725" i="2"/>
  <c r="B3862" i="2"/>
  <c r="B20950" i="2"/>
  <c r="B32190" i="2"/>
  <c r="B34067" i="2"/>
  <c r="B26020" i="2"/>
  <c r="B2898" i="2"/>
  <c r="B1947" i="2"/>
  <c r="B33819" i="2"/>
  <c r="B18915" i="2"/>
  <c r="B24592" i="2"/>
  <c r="B3669" i="2"/>
  <c r="B31804" i="2"/>
  <c r="B13371" i="2"/>
  <c r="B4745" i="2"/>
  <c r="B8648" i="2"/>
  <c r="B19886" i="2"/>
  <c r="B25023" i="2"/>
  <c r="B611" i="2"/>
  <c r="B25828" i="2"/>
  <c r="B20763" i="2"/>
  <c r="B305" i="2"/>
  <c r="B9659" i="2"/>
  <c r="B4537" i="2"/>
  <c r="B26897" i="2"/>
  <c r="B835" i="2"/>
  <c r="B32787" i="2"/>
  <c r="B8231" i="2"/>
  <c r="B16914" i="2"/>
  <c r="B2304" i="2"/>
  <c r="B15711" i="2"/>
  <c r="B29745" i="2"/>
  <c r="B19196" i="2"/>
  <c r="B21602" i="2"/>
  <c r="B19647" i="2"/>
  <c r="B1302" i="2"/>
  <c r="B10570" i="2"/>
  <c r="B17659" i="2"/>
  <c r="B4700" i="2"/>
  <c r="B28080" i="2"/>
  <c r="B31093" i="2"/>
  <c r="B21495" i="2"/>
  <c r="B1607" i="2"/>
  <c r="B18879" i="2"/>
  <c r="B21172" i="2"/>
  <c r="B14968" i="2"/>
  <c r="B28753" i="2"/>
  <c r="B35181" i="2"/>
  <c r="B28298" i="2"/>
  <c r="B4375" i="2"/>
  <c r="B11978" i="2"/>
  <c r="B20665" i="2"/>
  <c r="B23291" i="2"/>
  <c r="B10918" i="2"/>
  <c r="B15819" i="2"/>
  <c r="B27722" i="2"/>
  <c r="B9515" i="2"/>
  <c r="B15074" i="2"/>
  <c r="B13837" i="2"/>
  <c r="B11109" i="2"/>
  <c r="B9740" i="2"/>
  <c r="B20548" i="2"/>
  <c r="B1421" i="2"/>
  <c r="B21137" i="2"/>
  <c r="B12712" i="2"/>
  <c r="B24562" i="2"/>
  <c r="B9402" i="2"/>
  <c r="B15082" i="2"/>
  <c r="B15342" i="2"/>
  <c r="B6780" i="2"/>
  <c r="B26680" i="2"/>
  <c r="B20381" i="2"/>
  <c r="B1442" i="2"/>
  <c r="B5878" i="2"/>
  <c r="B4062" i="2"/>
  <c r="B4310" i="2"/>
  <c r="B13724" i="2"/>
  <c r="B25794" i="2"/>
  <c r="B7118" i="2"/>
  <c r="B1881" i="2"/>
  <c r="B21857" i="2"/>
  <c r="B28743" i="2"/>
  <c r="B10270" i="2"/>
  <c r="B1923" i="2"/>
  <c r="B397" i="2"/>
  <c r="B34354" i="2"/>
  <c r="B1970" i="2"/>
  <c r="B9858" i="2"/>
  <c r="B9163" i="2"/>
  <c r="B18165" i="2"/>
  <c r="B18738" i="2"/>
  <c r="B11110" i="2"/>
  <c r="B30491" i="2"/>
  <c r="B11120" i="2"/>
  <c r="B13433" i="2"/>
  <c r="B23336" i="2"/>
  <c r="B28698" i="2"/>
  <c r="B4844" i="2"/>
  <c r="B11567" i="2"/>
  <c r="B19861" i="2"/>
  <c r="B4417" i="2"/>
  <c r="B25162" i="2"/>
  <c r="B33348" i="2"/>
  <c r="B487" i="2"/>
  <c r="B9145" i="2"/>
  <c r="B630" i="2"/>
  <c r="B14811" i="2"/>
  <c r="B702" i="2"/>
  <c r="B2289" i="2"/>
  <c r="B16002" i="2"/>
  <c r="B32676" i="2"/>
  <c r="B8353" i="2"/>
  <c r="B13504" i="2"/>
  <c r="B3672" i="2"/>
  <c r="B4292" i="2"/>
  <c r="B19961" i="2"/>
  <c r="B25026" i="2"/>
  <c r="B19111" i="2"/>
  <c r="B13032" i="2"/>
  <c r="B24076" i="2"/>
  <c r="B34745" i="2"/>
  <c r="B5333" i="2"/>
  <c r="B28291" i="2"/>
  <c r="B18320" i="2"/>
  <c r="B24240" i="2"/>
  <c r="B16467" i="2"/>
  <c r="B19806" i="2"/>
  <c r="B22160" i="2"/>
  <c r="B2556" i="2"/>
  <c r="B30026" i="2"/>
  <c r="B3469" i="2"/>
  <c r="B29345" i="2"/>
  <c r="B22445" i="2"/>
  <c r="B4412" i="2"/>
  <c r="B12327" i="2"/>
  <c r="B391" i="2"/>
  <c r="B33569" i="2"/>
  <c r="B4754" i="2"/>
  <c r="B25235" i="2"/>
  <c r="B5095" i="2"/>
  <c r="B28770" i="2"/>
  <c r="B36009" i="2"/>
  <c r="B29571" i="2"/>
  <c r="B22350" i="2"/>
  <c r="B33623" i="2"/>
  <c r="B30517" i="2"/>
  <c r="B19455" i="2"/>
  <c r="B26019" i="2"/>
  <c r="B2869" i="2"/>
  <c r="B29449" i="2"/>
  <c r="B24074" i="2"/>
  <c r="B20261" i="2"/>
  <c r="B18333" i="2"/>
  <c r="B10822" i="2"/>
  <c r="B31008" i="2"/>
  <c r="B8649" i="2"/>
  <c r="B31543" i="2"/>
  <c r="B31216" i="2"/>
  <c r="B35512" i="2"/>
  <c r="B32318" i="2"/>
  <c r="B16361" i="2"/>
  <c r="B29034" i="2"/>
  <c r="B18863" i="2"/>
  <c r="B13017" i="2"/>
  <c r="B14534" i="2"/>
  <c r="B32351" i="2"/>
  <c r="B8501" i="2"/>
  <c r="B4060" i="2"/>
  <c r="B21544" i="2"/>
  <c r="B26222" i="2"/>
  <c r="B34803" i="2"/>
  <c r="B18782" i="2"/>
  <c r="B16779" i="2"/>
  <c r="B27723" i="2"/>
  <c r="B10747" i="2"/>
  <c r="B12666" i="2"/>
  <c r="B14772" i="2"/>
  <c r="B21521" i="2"/>
  <c r="B13786" i="2"/>
  <c r="B4067" i="2"/>
  <c r="B20631" i="2"/>
  <c r="B29269" i="2"/>
  <c r="B7019" i="2"/>
  <c r="B35869" i="2"/>
  <c r="B29092" i="2"/>
  <c r="B15502" i="2"/>
  <c r="B18408" i="2"/>
  <c r="B10968" i="2"/>
  <c r="B18330" i="2"/>
  <c r="B32171" i="2"/>
  <c r="B9243" i="2"/>
  <c r="B8396" i="2"/>
  <c r="B13474" i="2"/>
  <c r="B12378" i="2"/>
  <c r="B29251" i="2"/>
  <c r="B20608" i="2"/>
  <c r="B16848" i="2"/>
  <c r="B30523" i="2"/>
  <c r="B11303" i="2"/>
  <c r="B21378" i="2"/>
  <c r="B17525" i="2"/>
  <c r="B16839" i="2"/>
  <c r="B12047" i="2"/>
  <c r="B1587" i="2"/>
  <c r="B8562" i="2"/>
  <c r="B27840" i="2"/>
  <c r="B35280" i="2"/>
  <c r="B13649" i="2"/>
  <c r="B18697" i="2"/>
  <c r="B26801" i="2"/>
  <c r="B16896" i="2"/>
  <c r="B27254" i="2"/>
  <c r="B12616" i="2"/>
  <c r="B9284" i="2"/>
  <c r="B2245" i="2"/>
  <c r="B21807" i="2"/>
  <c r="B9830" i="2"/>
  <c r="B7143" i="2"/>
  <c r="B22012" i="2"/>
  <c r="B25982" i="2"/>
  <c r="B12235" i="2"/>
  <c r="B19347" i="2"/>
  <c r="B14486" i="2"/>
  <c r="B12020" i="2"/>
  <c r="B25994" i="2"/>
  <c r="B361" i="2"/>
  <c r="B29969" i="2"/>
  <c r="B17844" i="2"/>
  <c r="B14665" i="2"/>
  <c r="B5700" i="2"/>
  <c r="B20766" i="2"/>
  <c r="B29651" i="2"/>
  <c r="B14698" i="2"/>
  <c r="B19934" i="2"/>
  <c r="B30339" i="2"/>
  <c r="B11985" i="2"/>
  <c r="B27546" i="2"/>
  <c r="B30970" i="2"/>
  <c r="B5776" i="2"/>
  <c r="B16469" i="2"/>
  <c r="B20410" i="2"/>
  <c r="B10899" i="2"/>
  <c r="B21938" i="2"/>
  <c r="B1178" i="2"/>
  <c r="B25955" i="2"/>
  <c r="B2122" i="2"/>
  <c r="B13357" i="2"/>
  <c r="B35928" i="2"/>
  <c r="B3365" i="2"/>
  <c r="B20407" i="2"/>
  <c r="B35847" i="2"/>
  <c r="B30543" i="2"/>
  <c r="B12819" i="2"/>
  <c r="B25933" i="2"/>
  <c r="B36345" i="2"/>
  <c r="B8281" i="2"/>
  <c r="B26853" i="2"/>
  <c r="B30326" i="2"/>
  <c r="B12523" i="2"/>
  <c r="B7942" i="2"/>
  <c r="B9274" i="2"/>
  <c r="B31206" i="2"/>
  <c r="B29599" i="2"/>
  <c r="B22673" i="2"/>
  <c r="B35946" i="2"/>
  <c r="B23435" i="2"/>
  <c r="B15895" i="2"/>
  <c r="B1852" i="2"/>
  <c r="B4720" i="2"/>
  <c r="B8278" i="2"/>
  <c r="B12040" i="2"/>
  <c r="B13087" i="2"/>
  <c r="B14647" i="2"/>
  <c r="B30999" i="2"/>
  <c r="B29509" i="2"/>
  <c r="B34943" i="2"/>
  <c r="B11624" i="2"/>
  <c r="B14068" i="2"/>
  <c r="B12317" i="2"/>
  <c r="B4955" i="2"/>
  <c r="B31021" i="2"/>
  <c r="B32073" i="2"/>
  <c r="B26049" i="2"/>
  <c r="B16796" i="2"/>
  <c r="B22056" i="2"/>
  <c r="B35256" i="2"/>
  <c r="B9815" i="2"/>
  <c r="B22423" i="2"/>
  <c r="B3745" i="2"/>
  <c r="B14188" i="2"/>
  <c r="B27893" i="2"/>
  <c r="B2734" i="2"/>
  <c r="B24662" i="2"/>
  <c r="B4897" i="2"/>
  <c r="B12684" i="2"/>
  <c r="B35503" i="2"/>
  <c r="B19583" i="2"/>
  <c r="B12816" i="2"/>
  <c r="B34132" i="2"/>
  <c r="B28570" i="2"/>
  <c r="B19768" i="2"/>
  <c r="B4592" i="2"/>
  <c r="B12223" i="2"/>
  <c r="B3528" i="2"/>
  <c r="B34012" i="2"/>
  <c r="B14877" i="2"/>
  <c r="B35380" i="2"/>
  <c r="B10138" i="2"/>
  <c r="B21764" i="2"/>
  <c r="B10150" i="2"/>
  <c r="B20868" i="2"/>
  <c r="B10752" i="2"/>
  <c r="B8961" i="2"/>
  <c r="B11553" i="2"/>
  <c r="B16142" i="2"/>
  <c r="B24325" i="2"/>
  <c r="B34041" i="2"/>
  <c r="B14303" i="2"/>
  <c r="B8267" i="2"/>
  <c r="B6596" i="2"/>
  <c r="B27850" i="2"/>
  <c r="B2015" i="2"/>
  <c r="B26307" i="2"/>
  <c r="B2147" i="2"/>
  <c r="B19625" i="2"/>
  <c r="B30380" i="2"/>
  <c r="B34960" i="2"/>
  <c r="B29546" i="2"/>
  <c r="B4319" i="2"/>
  <c r="B12061" i="2"/>
  <c r="B14941" i="2"/>
  <c r="B21682" i="2"/>
  <c r="B2407" i="2"/>
  <c r="B15961" i="2"/>
  <c r="B31099" i="2"/>
  <c r="B34631" i="2"/>
  <c r="B9216" i="2"/>
  <c r="B9389" i="2"/>
  <c r="B9817" i="2"/>
  <c r="B21616" i="2"/>
  <c r="B22283" i="2"/>
  <c r="B2744" i="2"/>
  <c r="B32174" i="2"/>
  <c r="B21632" i="2"/>
  <c r="B21039" i="2"/>
  <c r="B2291" i="2"/>
  <c r="B2054" i="2"/>
  <c r="B29508" i="2"/>
  <c r="B11988" i="2"/>
  <c r="B2295" i="2"/>
  <c r="B36081" i="2"/>
  <c r="B2111" i="2"/>
  <c r="B17183" i="2"/>
  <c r="B35122" i="2"/>
  <c r="B4457" i="2"/>
  <c r="B3307" i="2"/>
  <c r="B15963" i="2"/>
  <c r="B3694" i="2"/>
  <c r="B27821" i="2"/>
  <c r="B12858" i="2"/>
  <c r="B31200" i="2"/>
  <c r="B28170" i="2"/>
  <c r="B1185" i="2"/>
  <c r="B34353" i="2"/>
  <c r="B30117" i="2"/>
  <c r="B22672" i="2"/>
  <c r="B26429" i="2"/>
  <c r="B13000" i="2"/>
  <c r="B7040" i="2"/>
  <c r="B35824" i="2"/>
  <c r="B34488" i="2"/>
  <c r="B31015" i="2"/>
  <c r="B30904" i="2"/>
  <c r="B2083" i="2"/>
  <c r="B13090" i="2"/>
  <c r="B17933" i="2"/>
  <c r="B28779" i="2"/>
  <c r="B16431" i="2"/>
  <c r="B32913" i="2"/>
  <c r="B29703" i="2"/>
  <c r="B3309" i="2"/>
  <c r="B32804" i="2"/>
  <c r="B1225" i="2"/>
  <c r="B11278" i="2"/>
  <c r="B2401" i="2"/>
  <c r="B15209" i="2"/>
  <c r="B9427" i="2"/>
  <c r="B26457" i="2"/>
  <c r="B26422" i="2"/>
  <c r="B28275" i="2"/>
  <c r="B14131" i="2"/>
  <c r="B29407" i="2"/>
  <c r="B35263" i="2"/>
  <c r="B5945" i="2"/>
  <c r="B15404" i="2"/>
  <c r="B28655" i="2"/>
  <c r="B722" i="2"/>
  <c r="B14561" i="2"/>
  <c r="B35621" i="2"/>
  <c r="B11167" i="2"/>
  <c r="B17846" i="2"/>
  <c r="B29844" i="2"/>
  <c r="B10224" i="2"/>
  <c r="B30274" i="2"/>
  <c r="B34251" i="2"/>
  <c r="B32269" i="2"/>
  <c r="B22841" i="2"/>
  <c r="B32470" i="2"/>
  <c r="B13101" i="2"/>
  <c r="B4922" i="2"/>
  <c r="B3558" i="2"/>
  <c r="B12607" i="2"/>
  <c r="B16628" i="2"/>
  <c r="B4363" i="2"/>
  <c r="B26901" i="2"/>
  <c r="B1896" i="2"/>
  <c r="B19413" i="2"/>
  <c r="B10820" i="2"/>
  <c r="B32005" i="2"/>
  <c r="B19198" i="2"/>
  <c r="B27993" i="2"/>
  <c r="B13447" i="2"/>
  <c r="B29494" i="2"/>
  <c r="B1996" i="2"/>
  <c r="B16893" i="2"/>
  <c r="B3381" i="2"/>
  <c r="B12880" i="2"/>
  <c r="B7139" i="2"/>
  <c r="B7577" i="2"/>
  <c r="B2239" i="2"/>
  <c r="B17969" i="2"/>
  <c r="B30695" i="2"/>
  <c r="B24021" i="2"/>
  <c r="B32894" i="2"/>
  <c r="B19282" i="2"/>
  <c r="B9289" i="2"/>
  <c r="B35901" i="2"/>
  <c r="B32507" i="2"/>
  <c r="B2393" i="2"/>
  <c r="B1525" i="2"/>
  <c r="B1112" i="2"/>
  <c r="B17783" i="2"/>
  <c r="B32069" i="2"/>
  <c r="B3985" i="2"/>
  <c r="B26898" i="2"/>
  <c r="B23766" i="2"/>
  <c r="B250" i="2"/>
  <c r="B11827" i="2"/>
  <c r="B3766" i="2"/>
  <c r="B31082" i="2"/>
  <c r="B15169" i="2"/>
  <c r="B9264" i="2"/>
  <c r="B35658" i="2"/>
  <c r="B18042" i="2"/>
  <c r="B28048" i="2"/>
  <c r="B24334" i="2"/>
  <c r="B13398" i="2"/>
  <c r="B33628" i="2"/>
  <c r="B16423" i="2"/>
  <c r="B3618" i="2"/>
  <c r="B27854" i="2"/>
  <c r="B12595" i="2"/>
  <c r="B13720" i="2"/>
  <c r="B5162" i="2"/>
  <c r="B3732" i="2"/>
  <c r="B2186" i="2"/>
  <c r="B32869" i="2"/>
  <c r="B15007" i="2"/>
  <c r="B12653" i="2"/>
  <c r="B35860" i="2"/>
  <c r="B27918" i="2"/>
  <c r="B13242" i="2"/>
  <c r="B25726" i="2"/>
  <c r="B23330" i="2"/>
  <c r="B22980" i="2"/>
  <c r="B21005" i="2"/>
  <c r="B28074" i="2"/>
  <c r="B11354" i="2"/>
  <c r="B281" i="2"/>
  <c r="B29770" i="2"/>
  <c r="B28432" i="2"/>
  <c r="B3725" i="2"/>
  <c r="B2786" i="2"/>
  <c r="B34785" i="2"/>
  <c r="B8425" i="2"/>
  <c r="B28154" i="2"/>
  <c r="B10888" i="2"/>
  <c r="B26364" i="2"/>
  <c r="B15685" i="2"/>
  <c r="B30630" i="2"/>
  <c r="B56" i="2"/>
  <c r="B17134" i="2"/>
  <c r="B14795" i="2"/>
  <c r="B18395" i="2"/>
  <c r="B5159" i="2"/>
  <c r="B6711" i="2"/>
  <c r="B34583" i="2"/>
  <c r="B16562" i="2"/>
  <c r="B30714" i="2"/>
  <c r="B334" i="2"/>
  <c r="B10992" i="2"/>
  <c r="B515" i="2"/>
  <c r="B4425" i="2"/>
  <c r="B17354" i="2"/>
  <c r="B9950" i="2"/>
  <c r="B21500" i="2"/>
  <c r="B14803" i="2"/>
  <c r="B30030" i="2"/>
  <c r="B3562" i="2"/>
  <c r="B17385" i="2"/>
  <c r="B21983" i="2"/>
  <c r="B16108" i="2"/>
  <c r="B13843" i="2"/>
  <c r="B13510" i="2"/>
  <c r="B12992" i="2"/>
  <c r="B15283" i="2"/>
  <c r="B11389" i="2"/>
  <c r="B22105" i="2"/>
  <c r="B9688" i="2"/>
  <c r="B17520" i="2"/>
  <c r="B19218" i="2"/>
  <c r="B19986" i="2"/>
  <c r="B2954" i="2"/>
  <c r="B10590" i="2"/>
  <c r="B18361" i="2"/>
  <c r="B26653" i="2"/>
  <c r="B32765" i="2"/>
  <c r="B7417" i="2"/>
  <c r="B3947" i="2"/>
  <c r="B10274" i="2"/>
  <c r="B12041" i="2"/>
  <c r="B30054" i="2"/>
  <c r="B16292" i="2"/>
  <c r="B22433" i="2"/>
  <c r="B15467" i="2"/>
  <c r="B25859" i="2"/>
  <c r="B268" i="2"/>
  <c r="B21770" i="2"/>
  <c r="B35732" i="2"/>
  <c r="B26706" i="2"/>
  <c r="B36202" i="2"/>
  <c r="B19374" i="2"/>
  <c r="B29634" i="2"/>
  <c r="B21264" i="2"/>
  <c r="B14578" i="2"/>
  <c r="B13329" i="2"/>
  <c r="B18583" i="2"/>
  <c r="B6024" i="2"/>
  <c r="B17825" i="2"/>
  <c r="B34720" i="2"/>
  <c r="B33713" i="2"/>
  <c r="B27457" i="2"/>
  <c r="B7274" i="2"/>
  <c r="B34650" i="2"/>
  <c r="B7768" i="2"/>
  <c r="B4529" i="2"/>
  <c r="B10673" i="2"/>
  <c r="B11081" i="2"/>
  <c r="B13444" i="2"/>
  <c r="B3142" i="2"/>
  <c r="B2498" i="2"/>
  <c r="B31773" i="2"/>
  <c r="B11681" i="2"/>
  <c r="B32108" i="2"/>
  <c r="B30562" i="2"/>
  <c r="B5123" i="2"/>
  <c r="B1718" i="2"/>
  <c r="B29779" i="2"/>
  <c r="B2152" i="2"/>
  <c r="B7322" i="2"/>
  <c r="B18385" i="2"/>
  <c r="B28638" i="2"/>
  <c r="B25280" i="2"/>
  <c r="B25457" i="2"/>
  <c r="B32166" i="2"/>
  <c r="B29600" i="2"/>
  <c r="B4617" i="2"/>
  <c r="B14293" i="2"/>
  <c r="B30464" i="2"/>
  <c r="B5715" i="2"/>
  <c r="B1848" i="2"/>
  <c r="B34381" i="2"/>
  <c r="B23893" i="2"/>
  <c r="B13204" i="2"/>
  <c r="B17923" i="2"/>
  <c r="B31524" i="2"/>
  <c r="B30820" i="2"/>
  <c r="B19007" i="2"/>
  <c r="B31036" i="2"/>
  <c r="B7676" i="2"/>
  <c r="B3886" i="2"/>
  <c r="B7720" i="2"/>
  <c r="B22534" i="2"/>
  <c r="B14038" i="2"/>
  <c r="B15195" i="2"/>
  <c r="B9120" i="2"/>
  <c r="B28941" i="2"/>
  <c r="B25448" i="2"/>
  <c r="B5611" i="2"/>
  <c r="B1156" i="2"/>
  <c r="B8724" i="2"/>
  <c r="B4165" i="2"/>
  <c r="B7158" i="2"/>
  <c r="B13008" i="2"/>
  <c r="B18405" i="2"/>
  <c r="B31079" i="2"/>
  <c r="B5055" i="2"/>
  <c r="B20472" i="2"/>
  <c r="B23775" i="2"/>
  <c r="B32112" i="2"/>
  <c r="B19745" i="2"/>
  <c r="B14557" i="2"/>
  <c r="B10586" i="2"/>
  <c r="B3465" i="2"/>
  <c r="B2801" i="2"/>
  <c r="B23373" i="2"/>
  <c r="B1239" i="2"/>
  <c r="B2277" i="2"/>
  <c r="B36121" i="2"/>
  <c r="B26230" i="2"/>
  <c r="B22711" i="2"/>
  <c r="B30864" i="2"/>
  <c r="B34567" i="2"/>
  <c r="B7944" i="2"/>
  <c r="B12612" i="2"/>
  <c r="B16228" i="2"/>
  <c r="B29050" i="2"/>
  <c r="B25247" i="2"/>
  <c r="B13246" i="2"/>
  <c r="B8925" i="2"/>
  <c r="B18573" i="2"/>
  <c r="B10709" i="2"/>
  <c r="B13749" i="2"/>
  <c r="B15268" i="2"/>
  <c r="B33494" i="2"/>
  <c r="B17118" i="2"/>
  <c r="B18436" i="2"/>
  <c r="B21775" i="2"/>
  <c r="B13729" i="2"/>
  <c r="B25645" i="2"/>
  <c r="B35209" i="2"/>
  <c r="B19095" i="2"/>
  <c r="B35042" i="2"/>
  <c r="B29448" i="2"/>
  <c r="B19129" i="2"/>
  <c r="B14337" i="2"/>
  <c r="B27827" i="2"/>
  <c r="B16449" i="2"/>
  <c r="B28644" i="2"/>
  <c r="B16665" i="2"/>
  <c r="B9538" i="2"/>
  <c r="B29742" i="2"/>
  <c r="B28907" i="2"/>
  <c r="B31283" i="2"/>
  <c r="B29568" i="2"/>
  <c r="B19780" i="2"/>
  <c r="B20176" i="2"/>
  <c r="B11583" i="2"/>
  <c r="B7560" i="2"/>
  <c r="B13482" i="2"/>
  <c r="B34520" i="2"/>
  <c r="B27477" i="2"/>
  <c r="B30494" i="2"/>
  <c r="B30373" i="2"/>
  <c r="B22761" i="2"/>
  <c r="B32300" i="2"/>
  <c r="B21042" i="2"/>
  <c r="B3293" i="2"/>
  <c r="B4053" i="2"/>
  <c r="B11258" i="2"/>
  <c r="B29693" i="2"/>
  <c r="B26277" i="2"/>
  <c r="B4358" i="2"/>
  <c r="B19402" i="2"/>
  <c r="B6458" i="2"/>
  <c r="B26629" i="2"/>
  <c r="B3639" i="2"/>
  <c r="B19518" i="2"/>
  <c r="B7956" i="2"/>
  <c r="B27370" i="2"/>
  <c r="B27406" i="2"/>
  <c r="B937" i="2"/>
  <c r="B13821" i="2"/>
  <c r="B21486" i="2"/>
  <c r="B11517" i="2"/>
  <c r="B30599" i="2"/>
  <c r="B5423" i="2"/>
  <c r="B30246" i="2"/>
  <c r="B31333" i="2"/>
  <c r="B28284" i="2"/>
  <c r="B24413" i="2"/>
  <c r="B10489" i="2"/>
  <c r="B17" i="2"/>
  <c r="B16623" i="2"/>
  <c r="B30307" i="2"/>
  <c r="B638" i="2"/>
  <c r="B19682" i="2"/>
  <c r="B3887" i="2"/>
  <c r="B20271" i="2"/>
  <c r="B23002" i="2"/>
  <c r="B1489" i="2"/>
  <c r="B1247" i="2"/>
  <c r="B869" i="2"/>
  <c r="B883" i="2"/>
  <c r="B2658" i="2"/>
  <c r="B34854" i="2"/>
  <c r="B28966" i="2"/>
  <c r="B11358" i="2"/>
  <c r="B21101" i="2"/>
  <c r="B34606" i="2"/>
  <c r="B416" i="2"/>
  <c r="B19076" i="2"/>
  <c r="B2504" i="2"/>
  <c r="B16024" i="2"/>
  <c r="B16567" i="2"/>
  <c r="B18904" i="2"/>
  <c r="B21063" i="2"/>
  <c r="B28273" i="2"/>
  <c r="B27892" i="2"/>
  <c r="B13555" i="2"/>
  <c r="B34700" i="2"/>
  <c r="B32596" i="2"/>
  <c r="B28920" i="2"/>
  <c r="B4626" i="2"/>
  <c r="B13070" i="2"/>
  <c r="B5877" i="2"/>
  <c r="B26674" i="2"/>
  <c r="B12414" i="2"/>
  <c r="B34272" i="2"/>
  <c r="B29657" i="2"/>
  <c r="B12091" i="2"/>
  <c r="B12606" i="2"/>
  <c r="B24433" i="2"/>
  <c r="B19488" i="2"/>
  <c r="B31121" i="2"/>
  <c r="B4778" i="2"/>
  <c r="B17831" i="2"/>
  <c r="B2518" i="2"/>
  <c r="B3240" i="2"/>
  <c r="B28091" i="2"/>
  <c r="B24746" i="2"/>
  <c r="B2288" i="2"/>
  <c r="B3425" i="2"/>
  <c r="B13732" i="2"/>
  <c r="B4276" i="2"/>
  <c r="B8100" i="2"/>
  <c r="B19823" i="2"/>
  <c r="B11193" i="2"/>
  <c r="B29291" i="2"/>
  <c r="B13334" i="2"/>
  <c r="B1539" i="2"/>
  <c r="B1467" i="2"/>
  <c r="B35914" i="2"/>
  <c r="B34288" i="2"/>
  <c r="B32134" i="2"/>
  <c r="B31610" i="2"/>
  <c r="B17194" i="2"/>
  <c r="B2659" i="2"/>
  <c r="B4046" i="2"/>
  <c r="B10892" i="2"/>
  <c r="B21244" i="2"/>
  <c r="B7106" i="2"/>
  <c r="B6398" i="2"/>
  <c r="B18507" i="2"/>
  <c r="B18186" i="2"/>
  <c r="B11149" i="2"/>
  <c r="B22286" i="2"/>
  <c r="B20274" i="2"/>
  <c r="B11095" i="2"/>
  <c r="B35702" i="2"/>
  <c r="B3851" i="2"/>
  <c r="B35958" i="2"/>
  <c r="B1425" i="2"/>
  <c r="B17666" i="2"/>
  <c r="B29602" i="2"/>
  <c r="B12940" i="2"/>
  <c r="B13514" i="2"/>
  <c r="B21758" i="2"/>
  <c r="B1188" i="2"/>
  <c r="B32270" i="2"/>
  <c r="B21665" i="2"/>
  <c r="B30835" i="2"/>
  <c r="B25482" i="2"/>
  <c r="B24918" i="2"/>
  <c r="B1104" i="2"/>
  <c r="B12799" i="2"/>
  <c r="B18898" i="2"/>
  <c r="B8547" i="2"/>
  <c r="B34731" i="2"/>
  <c r="B24520" i="2"/>
  <c r="B11485" i="2"/>
  <c r="B10634" i="2"/>
  <c r="B14615" i="2"/>
  <c r="B33" i="2"/>
  <c r="B27461" i="2"/>
  <c r="B23813" i="2"/>
  <c r="B13162" i="2"/>
  <c r="B21002" i="2"/>
  <c r="B16045" i="2"/>
  <c r="B13167" i="2"/>
  <c r="B16643" i="2"/>
  <c r="B20660" i="2"/>
  <c r="B35619" i="2"/>
  <c r="B23972" i="2"/>
  <c r="B12266" i="2"/>
  <c r="B6968" i="2"/>
  <c r="B3747" i="2"/>
  <c r="B27103" i="2"/>
  <c r="B30917" i="2"/>
  <c r="B18822" i="2"/>
  <c r="B8738" i="2"/>
  <c r="B16611" i="2"/>
  <c r="B19921" i="2"/>
  <c r="B30952" i="2"/>
  <c r="B28072" i="2"/>
  <c r="B13197" i="2"/>
  <c r="B23485" i="2"/>
  <c r="B34941" i="2"/>
  <c r="B4613" i="2"/>
  <c r="B1953" i="2"/>
  <c r="B29650" i="2"/>
  <c r="B3719" i="2"/>
  <c r="B13502" i="2"/>
  <c r="B35213" i="2"/>
  <c r="B6515" i="2"/>
  <c r="B13568" i="2"/>
  <c r="B11884" i="2"/>
  <c r="B15673" i="2"/>
  <c r="B23594" i="2"/>
  <c r="B13959" i="2"/>
  <c r="B19580" i="2"/>
  <c r="B1780" i="2"/>
  <c r="B15085" i="2"/>
  <c r="B25777" i="2"/>
  <c r="B13161" i="2"/>
  <c r="B27944" i="2"/>
  <c r="B13218" i="2"/>
  <c r="B15996" i="2"/>
  <c r="B6782" i="2"/>
  <c r="B10356" i="2"/>
  <c r="B11241" i="2"/>
  <c r="B20388" i="2"/>
  <c r="B27632" i="2"/>
  <c r="B3962" i="2"/>
  <c r="B2843" i="2"/>
  <c r="B21488" i="2"/>
  <c r="B1222" i="2"/>
  <c r="B7807" i="2"/>
  <c r="B8351" i="2"/>
  <c r="B11959" i="2"/>
  <c r="B32561" i="2"/>
  <c r="B22224" i="2"/>
  <c r="B5977" i="2"/>
  <c r="B7318" i="2"/>
  <c r="B18643" i="2"/>
  <c r="B2044" i="2"/>
  <c r="B18785" i="2"/>
  <c r="B11326" i="2"/>
  <c r="B14039" i="2"/>
  <c r="B34634" i="2"/>
  <c r="B5213" i="2"/>
  <c r="B34962" i="2"/>
  <c r="B24052" i="2"/>
  <c r="B7555" i="2"/>
  <c r="B8520" i="2"/>
  <c r="B28521" i="2"/>
  <c r="B26532" i="2"/>
  <c r="B19424" i="2"/>
  <c r="B33977" i="2"/>
  <c r="B16392" i="2"/>
  <c r="B9075" i="2"/>
  <c r="B17401" i="2"/>
  <c r="B8341" i="2"/>
  <c r="B16692" i="2"/>
  <c r="B21549" i="2"/>
  <c r="B10498" i="2"/>
  <c r="B9076" i="2"/>
  <c r="B32150" i="2"/>
  <c r="B12037" i="2"/>
  <c r="B35407" i="2"/>
  <c r="B2259" i="2"/>
  <c r="B32182" i="2"/>
  <c r="B30548" i="2"/>
  <c r="B2745" i="2"/>
  <c r="B18918" i="2"/>
  <c r="B16439" i="2"/>
  <c r="B16528" i="2"/>
  <c r="B28852" i="2"/>
  <c r="B32164" i="2"/>
  <c r="B3844" i="2"/>
  <c r="B12765" i="2"/>
  <c r="B9998" i="2"/>
  <c r="B2229" i="2"/>
  <c r="B28778" i="2"/>
  <c r="B17540" i="2"/>
  <c r="B2072" i="2"/>
  <c r="B3998" i="2"/>
  <c r="B29368" i="2"/>
  <c r="B35205" i="2"/>
  <c r="B16115" i="2"/>
  <c r="B5176" i="2"/>
  <c r="B36248" i="2"/>
  <c r="B28287" i="2"/>
  <c r="B30831" i="2"/>
  <c r="B20289" i="2"/>
  <c r="B8664" i="2"/>
  <c r="B10728" i="2"/>
  <c r="B20888" i="2"/>
  <c r="B32775" i="2"/>
  <c r="B3013" i="2"/>
  <c r="B30251" i="2"/>
  <c r="B33493" i="2"/>
  <c r="B24619" i="2"/>
  <c r="B35822" i="2"/>
  <c r="B27797" i="2"/>
  <c r="B28025" i="2"/>
  <c r="B11951" i="2"/>
  <c r="B5424" i="2"/>
  <c r="B22517" i="2"/>
  <c r="B6919" i="2"/>
  <c r="B35532" i="2"/>
  <c r="B33909" i="2"/>
  <c r="B13473" i="2"/>
  <c r="B34806" i="2"/>
  <c r="B11050" i="2"/>
  <c r="B30549" i="2"/>
  <c r="B5121" i="2"/>
  <c r="B5028" i="2"/>
  <c r="B30903" i="2"/>
  <c r="B1125" i="2"/>
  <c r="B13283" i="2"/>
  <c r="B19759" i="2"/>
  <c r="B1594" i="2"/>
  <c r="B14055" i="2"/>
  <c r="B53" i="2"/>
  <c r="B34840" i="2"/>
  <c r="B34956" i="2"/>
  <c r="B8988" i="2"/>
  <c r="B27829" i="2"/>
  <c r="B10300" i="2"/>
  <c r="B4497" i="2"/>
  <c r="B19593" i="2"/>
  <c r="B6101" i="2"/>
  <c r="B6365" i="2"/>
  <c r="B12583" i="2"/>
  <c r="B11417" i="2"/>
  <c r="B21796" i="2"/>
  <c r="B19995" i="2"/>
  <c r="B18689" i="2"/>
  <c r="B12829" i="2"/>
  <c r="B30753" i="2"/>
  <c r="B1492" i="2"/>
  <c r="B3410" i="2"/>
  <c r="B12764" i="2"/>
  <c r="B18700" i="2"/>
  <c r="B17434" i="2"/>
  <c r="B16011" i="2"/>
  <c r="B1816" i="2"/>
  <c r="B8255" i="2"/>
  <c r="B14179" i="2"/>
  <c r="B21866" i="2"/>
  <c r="B29639" i="2"/>
  <c r="B15602" i="2"/>
  <c r="B19566" i="2"/>
  <c r="B4299" i="2"/>
  <c r="B30107" i="2"/>
  <c r="B10582" i="2"/>
  <c r="B16806" i="2"/>
  <c r="B13533" i="2"/>
  <c r="B3205" i="2"/>
  <c r="B31223" i="2"/>
  <c r="B14415" i="2"/>
  <c r="B32408" i="2"/>
  <c r="B21403" i="2"/>
  <c r="B17695" i="2"/>
  <c r="B5429" i="2"/>
  <c r="B29956" i="2"/>
  <c r="B14106" i="2"/>
  <c r="B3126" i="2"/>
  <c r="B13673" i="2"/>
  <c r="B30425" i="2"/>
  <c r="B35250" i="2"/>
  <c r="B22897" i="2"/>
  <c r="B16823" i="2"/>
  <c r="B17285" i="2"/>
  <c r="B17870" i="2"/>
  <c r="B21808" i="2"/>
  <c r="B439" i="2"/>
  <c r="B21769" i="2"/>
  <c r="B36143" i="2"/>
  <c r="B12527" i="2"/>
  <c r="B3753" i="2"/>
  <c r="B18351" i="2"/>
  <c r="B34593" i="2"/>
  <c r="B6897" i="2"/>
  <c r="B35009" i="2"/>
  <c r="B15371" i="2"/>
  <c r="B4505" i="2"/>
  <c r="B19661" i="2"/>
  <c r="B30184" i="2"/>
  <c r="B10986" i="2"/>
  <c r="B16729" i="2"/>
  <c r="B30921" i="2"/>
  <c r="B11042" i="2"/>
  <c r="B18673" i="2"/>
  <c r="B18520" i="2"/>
  <c r="B31044" i="2"/>
  <c r="B2516" i="2"/>
  <c r="B7041" i="2"/>
  <c r="B15810" i="2"/>
  <c r="B25239" i="2"/>
  <c r="B18211" i="2"/>
  <c r="B11020" i="2"/>
  <c r="B30040" i="2"/>
  <c r="B2352" i="2"/>
  <c r="B3038" i="2"/>
  <c r="B22137" i="2"/>
  <c r="B10199" i="2"/>
  <c r="B19341" i="2"/>
  <c r="B2219" i="2"/>
  <c r="B19376" i="2"/>
  <c r="B9182" i="2"/>
  <c r="B13144" i="2"/>
  <c r="B3031" i="2"/>
  <c r="B27831" i="2"/>
  <c r="B31438" i="2"/>
  <c r="B3775" i="2"/>
  <c r="B13136" i="2"/>
  <c r="B13073" i="2"/>
  <c r="B2474" i="2"/>
  <c r="B24711" i="2"/>
  <c r="B11819" i="2"/>
  <c r="B4667" i="2"/>
  <c r="B33069" i="2"/>
  <c r="B33385" i="2"/>
  <c r="B11390" i="2"/>
  <c r="B19784" i="2"/>
  <c r="B791" i="2"/>
  <c r="B34417" i="2"/>
  <c r="B34877" i="2"/>
  <c r="B35655" i="2"/>
  <c r="B15889" i="2"/>
  <c r="B35093" i="2"/>
  <c r="B9121" i="2"/>
  <c r="B27541" i="2"/>
  <c r="B34365" i="2"/>
  <c r="B4178" i="2"/>
  <c r="B23367" i="2"/>
  <c r="B8075" i="2"/>
  <c r="B12488" i="2"/>
  <c r="B29128" i="2"/>
  <c r="B12366" i="2"/>
  <c r="B7658" i="2"/>
  <c r="B18454" i="2"/>
  <c r="B34638" i="2"/>
  <c r="B29782" i="2"/>
  <c r="B9982" i="2"/>
  <c r="B12300" i="2"/>
  <c r="B4593" i="2"/>
  <c r="B32544" i="2"/>
  <c r="B27628" i="2"/>
  <c r="B22250" i="2"/>
  <c r="B32486" i="2"/>
  <c r="B13362" i="2"/>
  <c r="B6494" i="2"/>
  <c r="B31520" i="2"/>
  <c r="B488" i="2"/>
  <c r="B635" i="2"/>
  <c r="B13951" i="2"/>
  <c r="B34194" i="2"/>
  <c r="B17699" i="2"/>
  <c r="B15185" i="2"/>
  <c r="B9326" i="2"/>
  <c r="B523" i="2"/>
  <c r="B674" i="2"/>
  <c r="B11622" i="2"/>
  <c r="B15392" i="2"/>
  <c r="B35538" i="2"/>
  <c r="B26079" i="2"/>
  <c r="B4267" i="2"/>
  <c r="B1800" i="2"/>
  <c r="B27228" i="2"/>
  <c r="B8744" i="2"/>
  <c r="B20654" i="2"/>
  <c r="B15419" i="2"/>
  <c r="B25134" i="2"/>
  <c r="B7449" i="2"/>
  <c r="B26295" i="2"/>
  <c r="B8056" i="2"/>
  <c r="B17751" i="2"/>
  <c r="B18299" i="2"/>
  <c r="B14086" i="2"/>
  <c r="B34850" i="2"/>
  <c r="B10471" i="2"/>
  <c r="B14896" i="2"/>
  <c r="B35638" i="2"/>
  <c r="B26759" i="2"/>
  <c r="B534" i="2"/>
  <c r="B3854" i="2"/>
  <c r="B19913" i="2"/>
  <c r="B4463" i="2"/>
  <c r="B16463" i="2"/>
  <c r="B20928" i="2"/>
  <c r="B17610" i="2"/>
  <c r="B19485" i="2"/>
  <c r="B17201" i="2"/>
  <c r="B17625" i="2"/>
  <c r="B22144" i="2"/>
  <c r="B3404" i="2"/>
  <c r="B13116" i="2"/>
  <c r="B20982" i="2"/>
  <c r="B12090" i="2"/>
  <c r="B17591" i="2"/>
  <c r="B12668" i="2"/>
  <c r="B19774" i="2"/>
  <c r="B2213" i="2"/>
  <c r="B13300" i="2"/>
  <c r="B2385" i="2"/>
  <c r="B19486" i="2"/>
  <c r="B28259" i="2"/>
  <c r="B3821" i="2"/>
  <c r="B29366" i="2"/>
  <c r="B14995" i="2"/>
  <c r="B14863" i="2"/>
  <c r="B20632" i="2"/>
  <c r="B4428" i="2"/>
  <c r="B21286" i="2"/>
  <c r="B8050" i="2"/>
  <c r="B18948" i="2"/>
  <c r="B23172" i="2"/>
  <c r="B18888" i="2"/>
  <c r="B23016" i="2"/>
  <c r="B11274" i="2"/>
  <c r="B1726" i="2"/>
  <c r="B13905" i="2"/>
  <c r="B23780" i="2"/>
  <c r="B308" i="2"/>
  <c r="B22053" i="2"/>
  <c r="B27613" i="2"/>
  <c r="B34184" i="2"/>
  <c r="B11233" i="2"/>
  <c r="B32032" i="2"/>
  <c r="B11597" i="2"/>
  <c r="B24419" i="2"/>
  <c r="B32413" i="2"/>
  <c r="B9652" i="2"/>
  <c r="B20845" i="2"/>
  <c r="B27382" i="2"/>
  <c r="B6124" i="2"/>
  <c r="B14629" i="2"/>
  <c r="B36314" i="2"/>
  <c r="B9441" i="2"/>
  <c r="B33849" i="2"/>
  <c r="B9177" i="2"/>
  <c r="B36175" i="2"/>
  <c r="B16959" i="2"/>
  <c r="B32400" i="2"/>
  <c r="B7335" i="2"/>
  <c r="B29616" i="2"/>
  <c r="B26166" i="2"/>
  <c r="B7018" i="2"/>
  <c r="B25924" i="2"/>
  <c r="B1032" i="2"/>
  <c r="B4725" i="2"/>
  <c r="B1695" i="2"/>
  <c r="B35585" i="2"/>
  <c r="B2860" i="2"/>
  <c r="B21839" i="2"/>
  <c r="B7673" i="2"/>
  <c r="B15402" i="2"/>
  <c r="B19796" i="2"/>
  <c r="B22818" i="2"/>
  <c r="B29649" i="2"/>
  <c r="B11600" i="2"/>
  <c r="B9271" i="2"/>
  <c r="B17268" i="2"/>
  <c r="B9637" i="2"/>
  <c r="B17270" i="2"/>
  <c r="B13195" i="2"/>
  <c r="B22355" i="2"/>
  <c r="B21320" i="2"/>
  <c r="B24780" i="2"/>
  <c r="B4332" i="2"/>
  <c r="B9017" i="2"/>
  <c r="B19788" i="2"/>
  <c r="B23742" i="2"/>
  <c r="B24393" i="2"/>
  <c r="B3080" i="2"/>
  <c r="B22741" i="2"/>
  <c r="B8079" i="2"/>
  <c r="B33051" i="2"/>
  <c r="B8376" i="2"/>
  <c r="B29325" i="2"/>
  <c r="B16883" i="2"/>
  <c r="B1377" i="2"/>
  <c r="B25728" i="2"/>
  <c r="B1352" i="2"/>
  <c r="B22141" i="2"/>
  <c r="B27178" i="2"/>
  <c r="B12292" i="2"/>
  <c r="B625" i="2"/>
  <c r="B27197" i="2"/>
  <c r="B11569" i="2"/>
  <c r="B7120" i="2"/>
  <c r="B1615" i="2"/>
  <c r="B17938" i="2"/>
  <c r="B19038" i="2"/>
  <c r="B6362" i="2"/>
  <c r="B3529" i="2"/>
  <c r="B23869" i="2"/>
  <c r="B17034" i="2"/>
  <c r="B34739" i="2"/>
  <c r="B10754" i="2"/>
  <c r="B4189" i="2"/>
  <c r="B27393" i="2"/>
  <c r="B647" i="2"/>
  <c r="B35104" i="2"/>
  <c r="B24291" i="2"/>
  <c r="B20408" i="2"/>
  <c r="B8980" i="2"/>
  <c r="B24925" i="2"/>
  <c r="B11528" i="2"/>
  <c r="B17988" i="2"/>
  <c r="B18593" i="2"/>
  <c r="B16270" i="2"/>
  <c r="B24673" i="2"/>
  <c r="B12178" i="2"/>
  <c r="B21470" i="2"/>
  <c r="B35128" i="2"/>
  <c r="B13882" i="2"/>
  <c r="B36069" i="2"/>
  <c r="B23314" i="2"/>
  <c r="B31447" i="2"/>
  <c r="B9680" i="2"/>
  <c r="B19679" i="2"/>
  <c r="B2582" i="2"/>
  <c r="B16378" i="2"/>
  <c r="B31904" i="2"/>
  <c r="B19492" i="2"/>
  <c r="B12965" i="2"/>
  <c r="B22812" i="2"/>
  <c r="B8936" i="2"/>
  <c r="B23559" i="2"/>
  <c r="B27680" i="2"/>
  <c r="B28978" i="2"/>
  <c r="B33339" i="2"/>
  <c r="B29641" i="2"/>
  <c r="B16632" i="2"/>
  <c r="B8539" i="2"/>
  <c r="B32261" i="2"/>
  <c r="B14551" i="2"/>
  <c r="B23523" i="2"/>
  <c r="B1093" i="2"/>
  <c r="B25265" i="2"/>
  <c r="B8774" i="2"/>
  <c r="B24544" i="2"/>
  <c r="B8859" i="2"/>
  <c r="B22657" i="2"/>
  <c r="B25390" i="2"/>
  <c r="B22183" i="2"/>
  <c r="B31868" i="2"/>
  <c r="B20697" i="2"/>
  <c r="B17886" i="2"/>
  <c r="B15249" i="2"/>
  <c r="B21569" i="2"/>
  <c r="B3792" i="2"/>
  <c r="B26167" i="2"/>
  <c r="B22689" i="2"/>
  <c r="B4539" i="2"/>
  <c r="B19089" i="2"/>
  <c r="B23100" i="2"/>
  <c r="B24686" i="2"/>
  <c r="B22554" i="2"/>
  <c r="B12140" i="2"/>
  <c r="B12394" i="2"/>
  <c r="B12267" i="2"/>
  <c r="B23272" i="2"/>
  <c r="B21194" i="2"/>
  <c r="B15147" i="2"/>
  <c r="B12431" i="2"/>
  <c r="B10414" i="2"/>
  <c r="B24580" i="2"/>
  <c r="B26254" i="2"/>
  <c r="B24094" i="2"/>
  <c r="B24886" i="2"/>
  <c r="B25503" i="2"/>
  <c r="B15282" i="2"/>
  <c r="B18609" i="2"/>
  <c r="B12324" i="2"/>
  <c r="B15076" i="2"/>
  <c r="B25122" i="2"/>
  <c r="B23839" i="2"/>
  <c r="B7365" i="2"/>
  <c r="B26827" i="2"/>
  <c r="B817" i="2"/>
  <c r="B13809" i="2"/>
  <c r="B8898" i="2"/>
  <c r="B5051" i="2"/>
  <c r="B15065" i="2"/>
  <c r="B811" i="2"/>
  <c r="B18006" i="2"/>
  <c r="B32380" i="2"/>
  <c r="B22314" i="2"/>
  <c r="B20415" i="2"/>
  <c r="B3149" i="2"/>
  <c r="B24000" i="2"/>
  <c r="B21389" i="2"/>
  <c r="B15123" i="2"/>
  <c r="B15890" i="2"/>
  <c r="B26607" i="2"/>
  <c r="B18326" i="2"/>
  <c r="B13077" i="2"/>
  <c r="B6749" i="2"/>
  <c r="B20001" i="2"/>
  <c r="B22394" i="2"/>
  <c r="B16205" i="2"/>
  <c r="B23674" i="2"/>
  <c r="B20160" i="2"/>
  <c r="B9287" i="2"/>
  <c r="B21256" i="2"/>
  <c r="B31074" i="2"/>
  <c r="B294" i="2"/>
  <c r="B31303" i="2"/>
  <c r="B20253" i="2"/>
  <c r="B24936" i="2"/>
  <c r="B30062" i="2"/>
  <c r="B17533" i="2"/>
  <c r="B9520" i="2"/>
  <c r="B8578" i="2"/>
  <c r="B32204" i="2"/>
  <c r="B4233" i="2"/>
  <c r="B27968" i="2"/>
  <c r="B24614" i="2"/>
  <c r="B28845" i="2"/>
  <c r="B1391" i="2"/>
  <c r="B29869" i="2"/>
  <c r="B26648" i="2"/>
  <c r="B2554" i="2"/>
  <c r="B33048" i="2"/>
  <c r="B8605" i="2"/>
  <c r="B12704" i="2"/>
  <c r="B1500" i="2"/>
  <c r="B33634" i="2"/>
  <c r="B10803" i="2"/>
  <c r="B27706" i="2"/>
  <c r="B32342" i="2"/>
  <c r="B31478" i="2"/>
  <c r="B23931" i="2"/>
  <c r="B15430" i="2"/>
  <c r="B24674" i="2"/>
  <c r="B17446" i="2"/>
  <c r="B16103" i="2"/>
  <c r="B5346" i="2"/>
  <c r="B21501" i="2"/>
  <c r="B9935" i="2"/>
  <c r="B21228" i="2"/>
  <c r="B20374" i="2"/>
  <c r="B34981" i="2"/>
  <c r="B16952" i="2"/>
  <c r="B15224" i="2"/>
  <c r="B16617" i="2"/>
  <c r="B27349" i="2"/>
  <c r="B35990" i="2"/>
  <c r="B23492" i="2"/>
  <c r="B28780" i="2"/>
  <c r="B11816" i="2"/>
  <c r="B20792" i="2"/>
  <c r="B30761" i="2"/>
  <c r="B31080" i="2"/>
  <c r="B9743" i="2"/>
  <c r="B34678" i="2"/>
  <c r="B20639" i="2"/>
  <c r="B9131" i="2"/>
  <c r="B21076" i="2"/>
  <c r="B13766" i="2"/>
  <c r="B27430" i="2"/>
  <c r="B23156" i="2"/>
  <c r="B23491" i="2"/>
  <c r="B5320" i="2"/>
  <c r="B13983" i="2"/>
  <c r="B19529" i="2"/>
  <c r="B5265" i="2"/>
  <c r="B16084" i="2"/>
  <c r="B8228" i="2"/>
  <c r="B20438" i="2"/>
  <c r="B34442" i="2"/>
  <c r="B33477" i="2"/>
  <c r="B26435" i="2"/>
  <c r="B10585" i="2"/>
  <c r="B25277" i="2"/>
  <c r="B14558" i="2"/>
  <c r="B17509" i="2"/>
  <c r="B2002" i="2"/>
  <c r="B25724" i="2"/>
  <c r="B8339" i="2"/>
  <c r="B36221" i="2"/>
  <c r="B7621" i="2"/>
  <c r="B29702" i="2"/>
  <c r="B6213" i="2"/>
  <c r="B15213" i="2"/>
  <c r="B25211" i="2"/>
  <c r="B26588" i="2"/>
  <c r="B32999" i="2"/>
  <c r="B25594" i="2"/>
  <c r="B13945" i="2"/>
  <c r="B24120" i="2"/>
  <c r="B20861" i="2"/>
  <c r="B9869" i="2"/>
  <c r="B24899" i="2"/>
  <c r="B25337" i="2"/>
  <c r="B23215" i="2"/>
  <c r="B34020" i="2"/>
  <c r="B25951" i="2"/>
  <c r="B36207" i="2"/>
  <c r="B32706" i="2"/>
  <c r="B1706" i="2"/>
  <c r="B12244" i="2"/>
  <c r="B11795" i="2"/>
  <c r="B13757" i="2"/>
  <c r="B6302" i="2"/>
  <c r="B14499" i="2"/>
  <c r="B20813" i="2"/>
  <c r="B12070" i="2"/>
  <c r="B19325" i="2"/>
  <c r="B4404" i="2"/>
  <c r="B12810" i="2"/>
  <c r="B26268" i="2"/>
  <c r="B24804" i="2"/>
  <c r="B25758" i="2"/>
  <c r="B25430" i="2"/>
  <c r="B20981" i="2"/>
  <c r="B2488" i="2"/>
  <c r="B33007" i="2"/>
  <c r="B18720" i="2"/>
  <c r="B7142" i="2"/>
  <c r="B7293" i="2"/>
  <c r="B27372" i="2"/>
  <c r="B6651" i="2"/>
  <c r="B8720" i="2"/>
  <c r="B11026" i="2"/>
  <c r="B10781" i="2"/>
  <c r="B23980" i="2"/>
  <c r="B17919" i="2"/>
  <c r="B4563" i="2"/>
  <c r="B11610" i="2"/>
  <c r="B14835" i="2"/>
  <c r="B2989" i="2"/>
  <c r="B1790" i="2"/>
  <c r="B14124" i="2"/>
  <c r="B16452" i="2"/>
  <c r="B19753" i="2"/>
  <c r="B9807" i="2"/>
  <c r="B21270" i="2"/>
  <c r="B24381" i="2"/>
  <c r="B8938" i="2"/>
  <c r="B18271" i="2"/>
  <c r="B14667" i="2"/>
  <c r="B21871" i="2"/>
  <c r="B5891" i="2"/>
  <c r="B26196" i="2"/>
  <c r="B21828" i="2"/>
  <c r="B5851" i="2"/>
  <c r="B11364" i="2"/>
  <c r="B29297" i="2"/>
  <c r="B35890" i="2"/>
  <c r="B6195" i="2"/>
  <c r="B23659" i="2"/>
  <c r="B5066" i="2"/>
  <c r="B16186" i="2"/>
  <c r="B16833" i="2"/>
  <c r="B20247" i="2"/>
  <c r="B1727" i="2"/>
  <c r="B13320" i="2"/>
  <c r="B26797" i="2"/>
  <c r="B16648" i="2"/>
  <c r="B10975" i="2"/>
  <c r="B26203" i="2"/>
  <c r="B7979" i="2"/>
  <c r="B15882" i="2"/>
  <c r="B7529" i="2"/>
  <c r="B21535" i="2"/>
  <c r="B12458" i="2"/>
  <c r="B10159" i="2"/>
  <c r="B26110" i="2"/>
  <c r="B21324" i="2"/>
  <c r="B15219" i="2"/>
  <c r="B2977" i="2"/>
  <c r="B28485" i="2"/>
  <c r="B13024" i="2"/>
  <c r="B5212" i="2"/>
  <c r="B12888" i="2"/>
  <c r="B12501" i="2"/>
  <c r="B2412" i="2"/>
  <c r="B25254" i="2"/>
  <c r="B13996" i="2"/>
  <c r="B15799" i="2"/>
  <c r="B34017" i="2"/>
  <c r="B19093" i="2"/>
  <c r="B13934" i="2"/>
  <c r="B1863" i="2"/>
  <c r="B32355" i="2"/>
  <c r="B295" i="2"/>
  <c r="B19645" i="2"/>
  <c r="B8713" i="2"/>
  <c r="B11005" i="2"/>
  <c r="B33614" i="2"/>
  <c r="B21122" i="2"/>
  <c r="B36123" i="2"/>
  <c r="B238" i="2"/>
  <c r="B36183" i="2"/>
  <c r="B20361" i="2"/>
  <c r="B20122" i="2"/>
  <c r="B29113" i="2"/>
  <c r="B30699" i="2"/>
  <c r="B35334" i="2"/>
  <c r="B17141" i="2"/>
  <c r="B28549" i="2"/>
  <c r="B19595" i="2"/>
  <c r="B35442" i="2"/>
  <c r="B20440" i="2"/>
  <c r="B22993" i="2"/>
  <c r="B20911" i="2"/>
  <c r="B1179" i="2"/>
  <c r="B11584" i="2"/>
  <c r="B28658" i="2"/>
  <c r="B4098" i="2"/>
  <c r="B2125" i="2"/>
  <c r="B32384" i="2"/>
  <c r="B25672" i="2"/>
  <c r="B24306" i="2"/>
  <c r="B30397" i="2"/>
  <c r="B27989" i="2"/>
  <c r="B3104" i="2"/>
  <c r="B13740" i="2"/>
  <c r="B30769" i="2"/>
  <c r="B13830" i="2"/>
  <c r="B18634" i="2"/>
  <c r="B12043" i="2"/>
  <c r="B13123" i="2"/>
  <c r="B10594" i="2"/>
  <c r="B20427" i="2"/>
  <c r="B4252" i="2"/>
  <c r="B34362" i="2"/>
  <c r="B1074" i="2"/>
  <c r="B28619" i="2"/>
  <c r="B10456" i="2"/>
  <c r="B31458" i="2"/>
  <c r="B34141" i="2"/>
  <c r="B3613" i="2"/>
  <c r="B35973" i="2"/>
  <c r="B12013" i="2"/>
  <c r="B4355" i="2"/>
  <c r="B15042" i="2"/>
  <c r="B30075" i="2"/>
  <c r="B28854" i="2"/>
  <c r="B16862" i="2"/>
  <c r="B382" i="2"/>
  <c r="B4155" i="2"/>
  <c r="B36140" i="2"/>
  <c r="B4578" i="2"/>
  <c r="B30527" i="2"/>
  <c r="B22934" i="2"/>
  <c r="B5040" i="2"/>
  <c r="B12697" i="2"/>
  <c r="B35811" i="2"/>
  <c r="B32559" i="2"/>
  <c r="B29480" i="2"/>
  <c r="B6200" i="2"/>
  <c r="B3773" i="2"/>
  <c r="B19332" i="2"/>
  <c r="B12293" i="2"/>
  <c r="B33539" i="2"/>
  <c r="B27991" i="2"/>
  <c r="B28454" i="2"/>
  <c r="B15451" i="2"/>
  <c r="B20812" i="2"/>
  <c r="B29955" i="2"/>
  <c r="B28185" i="2"/>
  <c r="B16758" i="2"/>
  <c r="B19107" i="2"/>
  <c r="B15708" i="2"/>
  <c r="B19181" i="2"/>
  <c r="B12720" i="2"/>
  <c r="B921" i="2"/>
  <c r="B19535" i="2"/>
  <c r="B21849" i="2"/>
  <c r="B14010" i="2"/>
  <c r="B30327" i="2"/>
  <c r="B20557" i="2"/>
  <c r="B1163" i="2"/>
  <c r="B18051" i="2"/>
  <c r="B26255" i="2"/>
  <c r="B18611" i="2"/>
  <c r="B18132" i="2"/>
  <c r="B1102" i="2"/>
  <c r="B15598" i="2"/>
  <c r="B14199" i="2"/>
  <c r="B23944" i="2"/>
  <c r="B33490" i="2"/>
  <c r="B16659" i="2"/>
  <c r="B707" i="2"/>
  <c r="B25517" i="2"/>
  <c r="B29275" i="2"/>
  <c r="B29687" i="2"/>
  <c r="B12969" i="2"/>
  <c r="B25412" i="2"/>
  <c r="B27213" i="2"/>
  <c r="B16351" i="2"/>
  <c r="B31453" i="2"/>
  <c r="B25926" i="2"/>
  <c r="B17731" i="2"/>
  <c r="B6041" i="2"/>
  <c r="B23099" i="2"/>
  <c r="B16201" i="2"/>
  <c r="B16438" i="2"/>
  <c r="B12822" i="2"/>
  <c r="B12555" i="2"/>
  <c r="B15236" i="2"/>
  <c r="B16026" i="2"/>
  <c r="B18852" i="2"/>
  <c r="B33678" i="2"/>
  <c r="B14514" i="2"/>
  <c r="B3904" i="2"/>
  <c r="B6044" i="2"/>
  <c r="B17269" i="2"/>
  <c r="B362" i="2"/>
  <c r="B34036" i="2"/>
  <c r="B22050" i="2"/>
  <c r="B13126" i="2"/>
  <c r="B28620" i="2"/>
  <c r="B19967" i="2"/>
  <c r="B16071" i="2"/>
  <c r="B13910" i="2"/>
  <c r="B4979" i="2"/>
  <c r="B22020" i="2"/>
  <c r="B18092" i="2"/>
  <c r="B30357" i="2"/>
  <c r="B21041" i="2"/>
  <c r="B26910" i="2"/>
  <c r="B89" i="2"/>
  <c r="B25146" i="2"/>
  <c r="B25160" i="2"/>
  <c r="B27022" i="2"/>
  <c r="B2618" i="2"/>
  <c r="B36169" i="2"/>
  <c r="B14050" i="2"/>
  <c r="B30209" i="2"/>
  <c r="B24161" i="2"/>
  <c r="B12019" i="2"/>
  <c r="B28147" i="2"/>
  <c r="B28028" i="2"/>
  <c r="B866" i="2"/>
  <c r="B5442" i="2"/>
  <c r="B8261" i="2"/>
  <c r="B1354" i="2"/>
  <c r="B17547" i="2"/>
  <c r="B32884" i="2"/>
  <c r="B21377" i="2"/>
  <c r="B2475" i="2"/>
  <c r="B16581" i="2"/>
  <c r="B33001" i="2"/>
  <c r="B8797" i="2"/>
  <c r="B4575" i="2"/>
  <c r="B24250" i="2"/>
  <c r="B34244" i="2"/>
  <c r="B15750" i="2"/>
  <c r="B7764" i="2"/>
  <c r="B951" i="2"/>
  <c r="B20774" i="2"/>
  <c r="B28551" i="2"/>
  <c r="B22910" i="2"/>
  <c r="B160" i="2"/>
  <c r="B21880" i="2"/>
  <c r="B28100" i="2"/>
  <c r="B3542" i="2"/>
  <c r="B4718" i="2"/>
  <c r="B8305" i="2"/>
  <c r="B21899" i="2"/>
  <c r="B4215" i="2"/>
  <c r="B186" i="2"/>
  <c r="B11950" i="2"/>
  <c r="B26969" i="2"/>
  <c r="B9144" i="2"/>
  <c r="B1409" i="2"/>
  <c r="B3737" i="2"/>
  <c r="B11144" i="2"/>
  <c r="B3460" i="2"/>
  <c r="B8354" i="2"/>
  <c r="B31260" i="2"/>
  <c r="B11401" i="2"/>
  <c r="B26656" i="2"/>
  <c r="B14843" i="2"/>
  <c r="B23233" i="2"/>
  <c r="B30197" i="2"/>
  <c r="B560" i="2"/>
  <c r="B25319" i="2"/>
  <c r="B27793" i="2"/>
  <c r="B21035" i="2"/>
  <c r="B27779" i="2"/>
  <c r="B26670" i="2"/>
  <c r="B26348" i="2"/>
  <c r="B10598" i="2"/>
  <c r="B14881" i="2"/>
  <c r="B20322" i="2"/>
  <c r="B27272" i="2"/>
  <c r="B20496" i="2"/>
  <c r="B16594" i="2"/>
  <c r="B16603" i="2"/>
  <c r="B31039" i="2"/>
  <c r="B20156" i="2"/>
  <c r="B11851" i="2"/>
  <c r="B21720" i="2"/>
  <c r="B25907" i="2"/>
  <c r="B28409" i="2"/>
  <c r="B26849" i="2"/>
  <c r="B14022" i="2"/>
  <c r="B13748" i="2"/>
  <c r="B27390" i="2"/>
  <c r="B7405" i="2"/>
  <c r="B34808" i="2"/>
  <c r="B31938" i="2"/>
  <c r="B16662" i="2"/>
  <c r="B16046" i="2"/>
  <c r="B28293" i="2"/>
  <c r="B11894" i="2"/>
  <c r="B28070" i="2"/>
  <c r="B30774" i="2"/>
  <c r="B23024" i="2"/>
  <c r="B28664" i="2"/>
  <c r="B17924" i="2"/>
  <c r="B28229" i="2"/>
  <c r="B30149" i="2"/>
  <c r="B26590" i="2"/>
  <c r="B14569" i="2"/>
  <c r="B14973" i="2"/>
  <c r="B3771" i="2"/>
  <c r="B29525" i="2"/>
  <c r="B15243" i="2"/>
  <c r="B13897" i="2"/>
  <c r="B23353" i="2"/>
  <c r="B26544" i="2"/>
  <c r="B9872" i="2"/>
  <c r="B23740" i="2"/>
  <c r="B15454" i="2"/>
  <c r="B11658" i="2"/>
  <c r="B20067" i="2"/>
  <c r="B885" i="2"/>
  <c r="B4476" i="2"/>
  <c r="B18621" i="2"/>
  <c r="B5206" i="2"/>
  <c r="B12812" i="2"/>
  <c r="B20143" i="2"/>
  <c r="B687" i="2"/>
  <c r="B10924" i="2"/>
  <c r="B35689" i="2"/>
  <c r="B380" i="2"/>
  <c r="B35338" i="2"/>
  <c r="B4423" i="2"/>
  <c r="B12073" i="2"/>
  <c r="B15114" i="2"/>
  <c r="B30091" i="2"/>
  <c r="B10232" i="2"/>
  <c r="B18704" i="2"/>
  <c r="B21691" i="2"/>
  <c r="B32038" i="2"/>
  <c r="B12859" i="2"/>
  <c r="B24418" i="2"/>
  <c r="B10156" i="2"/>
  <c r="B35640" i="2"/>
  <c r="B4176" i="2"/>
  <c r="B13647" i="2"/>
  <c r="B23675" i="2"/>
  <c r="B10229" i="2"/>
  <c r="B35044" i="2"/>
  <c r="B5953" i="2"/>
  <c r="B3757" i="2"/>
  <c r="B14276" i="2"/>
  <c r="B25119" i="2"/>
  <c r="B33616" i="2"/>
  <c r="B13864" i="2"/>
  <c r="B26312" i="2"/>
  <c r="B31483" i="2"/>
  <c r="B21999" i="2"/>
  <c r="B25104" i="2"/>
  <c r="B14041" i="2"/>
  <c r="B24061" i="2"/>
  <c r="B30936" i="2"/>
  <c r="B9388" i="2"/>
  <c r="B30472" i="2"/>
  <c r="B4610" i="2"/>
  <c r="B17880" i="2"/>
  <c r="B14386" i="2"/>
  <c r="B13921" i="2"/>
  <c r="B747" i="2"/>
  <c r="B31108" i="2"/>
  <c r="B30663" i="2"/>
  <c r="B31124" i="2"/>
  <c r="B20151" i="2"/>
  <c r="B12573" i="2"/>
  <c r="B33323" i="2"/>
  <c r="B5674" i="2"/>
  <c r="B35169" i="2"/>
  <c r="B8360" i="2"/>
  <c r="B20460" i="2"/>
  <c r="B36292" i="2"/>
  <c r="B728" i="2"/>
  <c r="B618" i="2"/>
  <c r="B17009" i="2"/>
  <c r="B25283" i="2"/>
  <c r="B27068" i="2"/>
  <c r="B30971" i="2"/>
  <c r="B27897" i="2"/>
  <c r="B24448" i="2"/>
  <c r="B30886" i="2"/>
  <c r="B21831" i="2"/>
  <c r="B14983" i="2"/>
  <c r="B6577" i="2"/>
  <c r="B16545" i="2"/>
  <c r="B31555" i="2"/>
  <c r="B2619" i="2"/>
  <c r="B2130" i="2"/>
  <c r="B2708" i="2"/>
  <c r="B7280" i="2"/>
  <c r="B7225" i="2"/>
  <c r="B19087" i="2"/>
  <c r="B10861" i="2"/>
  <c r="B11599" i="2"/>
  <c r="B23017" i="2"/>
  <c r="B794" i="2"/>
  <c r="B14220" i="2"/>
  <c r="B35103" i="2"/>
  <c r="B19601" i="2"/>
  <c r="B11901" i="2"/>
  <c r="B28148" i="2"/>
  <c r="B14311" i="2"/>
  <c r="B34063" i="2"/>
  <c r="B28805" i="2"/>
  <c r="B17233" i="2"/>
  <c r="B28529" i="2"/>
  <c r="B27724" i="2"/>
  <c r="B25112" i="2"/>
  <c r="B18331" i="2"/>
  <c r="B12403" i="2"/>
  <c r="B1346" i="2"/>
  <c r="B13498" i="2"/>
  <c r="B19958" i="2"/>
  <c r="B7249" i="2"/>
  <c r="B32050" i="2"/>
  <c r="B20280" i="2"/>
  <c r="B29866" i="2"/>
  <c r="B9772" i="2"/>
  <c r="B5963" i="2"/>
  <c r="B3119" i="2"/>
  <c r="B30872" i="2"/>
  <c r="B14818" i="2"/>
  <c r="B22225" i="2"/>
  <c r="B19289" i="2"/>
  <c r="B35186" i="2"/>
  <c r="B11578" i="2"/>
  <c r="B11259" i="2"/>
  <c r="B29563" i="2"/>
  <c r="B32747" i="2"/>
  <c r="B34343" i="2"/>
  <c r="B2206" i="2"/>
  <c r="B18244" i="2"/>
  <c r="B33548" i="2"/>
  <c r="B35814" i="2"/>
  <c r="B35359" i="2"/>
  <c r="B11058" i="2"/>
  <c r="B35679" i="2"/>
  <c r="B11345" i="2"/>
  <c r="B35724" i="2"/>
  <c r="B22068" i="2"/>
  <c r="B6009" i="2"/>
  <c r="B17148" i="2"/>
  <c r="B16213" i="2"/>
  <c r="B17416" i="2"/>
  <c r="B2874" i="2"/>
  <c r="B2752" i="2"/>
  <c r="B33551" i="2"/>
  <c r="B13080" i="2"/>
  <c r="B11896" i="2"/>
  <c r="B28404" i="2"/>
  <c r="B32673" i="2"/>
  <c r="B23" i="2"/>
  <c r="B34969" i="2"/>
  <c r="B3030" i="2"/>
  <c r="B36354" i="2"/>
  <c r="B14935" i="2"/>
  <c r="B30056" i="2"/>
  <c r="B30413" i="2"/>
  <c r="B27668" i="2"/>
  <c r="B17552" i="2"/>
  <c r="B27262" i="2"/>
  <c r="B14696" i="2"/>
  <c r="B9528" i="2"/>
  <c r="B1301" i="2"/>
  <c r="B33498" i="2"/>
  <c r="B25710" i="2"/>
  <c r="B4274" i="2"/>
  <c r="B22402" i="2"/>
  <c r="B22559" i="2"/>
  <c r="B11089" i="2"/>
  <c r="B15222" i="2"/>
  <c r="B30658" i="2"/>
  <c r="B2090" i="2"/>
  <c r="B27987" i="2"/>
  <c r="B2489" i="2"/>
  <c r="B7785" i="2"/>
  <c r="B9260" i="2"/>
  <c r="B23522" i="2"/>
  <c r="B26640" i="2"/>
  <c r="B32814" i="2"/>
  <c r="B26863" i="2"/>
  <c r="B15864" i="2"/>
  <c r="B8401" i="2"/>
  <c r="B35292" i="2"/>
  <c r="B33814" i="2"/>
  <c r="B29413" i="2"/>
  <c r="B4459" i="2"/>
  <c r="B19034" i="2"/>
  <c r="B32785" i="2"/>
  <c r="B31085" i="2"/>
  <c r="B13139" i="2"/>
  <c r="B8637" i="2"/>
  <c r="B278" i="2"/>
  <c r="B35629" i="2"/>
  <c r="B32771" i="2"/>
  <c r="B20550" i="2"/>
  <c r="B4834" i="2"/>
  <c r="B30332" i="2"/>
  <c r="B17862" i="2"/>
  <c r="B29717" i="2"/>
  <c r="B3917" i="2"/>
  <c r="B23950" i="2"/>
  <c r="B9611" i="2"/>
  <c r="B20516" i="2"/>
  <c r="B30015" i="2"/>
  <c r="B18618" i="2"/>
  <c r="B20434" i="2"/>
  <c r="B18942" i="2"/>
  <c r="B10441" i="2"/>
  <c r="B17704" i="2"/>
  <c r="B16854" i="2"/>
  <c r="B10581" i="2"/>
  <c r="B14600" i="2"/>
  <c r="B31077" i="2"/>
  <c r="B27682" i="2"/>
  <c r="B16846" i="2"/>
  <c r="B2212" i="2"/>
  <c r="B15257" i="2"/>
  <c r="B11708" i="2"/>
  <c r="B9160" i="2"/>
  <c r="B32592" i="2"/>
  <c r="B19112" i="2"/>
  <c r="B25253" i="2"/>
  <c r="B13115" i="2"/>
  <c r="B3708" i="2"/>
  <c r="B2334" i="2"/>
  <c r="B2389" i="2"/>
  <c r="B28168" i="2"/>
  <c r="B14031" i="2"/>
  <c r="B15542" i="2"/>
  <c r="B16554" i="2"/>
  <c r="B17137" i="2"/>
  <c r="B29533" i="2"/>
  <c r="B16936" i="2"/>
  <c r="B12656" i="2"/>
  <c r="B17207" i="2"/>
  <c r="B24333" i="2"/>
  <c r="B12830" i="2"/>
  <c r="B12887" i="2"/>
  <c r="B8587" i="2"/>
  <c r="B8511" i="2"/>
  <c r="B26165" i="2"/>
  <c r="B10657" i="2"/>
  <c r="B33991" i="2"/>
  <c r="B29927" i="2"/>
  <c r="B30188" i="2"/>
  <c r="B28363" i="2"/>
  <c r="B10565" i="2"/>
  <c r="B18869" i="2"/>
  <c r="B12574" i="2"/>
  <c r="B27060" i="2"/>
  <c r="B4762" i="2"/>
  <c r="B19997" i="2"/>
  <c r="B34330" i="2"/>
  <c r="B36247" i="2"/>
  <c r="B32263" i="2"/>
  <c r="B11906" i="2"/>
  <c r="B32671" i="2"/>
  <c r="B1550" i="2"/>
  <c r="B11843" i="2"/>
  <c r="B30540" i="2"/>
  <c r="B1590" i="2"/>
  <c r="B20604" i="2"/>
  <c r="B20188" i="2"/>
  <c r="B27284" i="2"/>
  <c r="B10599" i="2"/>
  <c r="B17672" i="2"/>
  <c r="B3632" i="2"/>
  <c r="B468" i="2"/>
  <c r="B27981" i="2"/>
  <c r="B6224" i="2"/>
  <c r="B10423" i="2"/>
  <c r="B16548" i="2"/>
  <c r="B3432" i="2"/>
  <c r="B4282" i="2"/>
  <c r="B28719" i="2"/>
  <c r="B33877" i="2"/>
  <c r="B604" i="2"/>
  <c r="B19960" i="2"/>
  <c r="B3453" i="2"/>
  <c r="B33891" i="2"/>
  <c r="B4456" i="2"/>
  <c r="B9458" i="2"/>
  <c r="B4209" i="2"/>
  <c r="B30643" i="2"/>
  <c r="B34672" i="2"/>
  <c r="B8171" i="2"/>
  <c r="B30441" i="2"/>
  <c r="B20059" i="2"/>
  <c r="B32454" i="2"/>
  <c r="B18656" i="2"/>
  <c r="B2202" i="2"/>
  <c r="B12794" i="2"/>
  <c r="B13607" i="2"/>
  <c r="B25852" i="2"/>
  <c r="B17429" i="2"/>
  <c r="B10144" i="2"/>
  <c r="B32051" i="2"/>
  <c r="B32680" i="2"/>
  <c r="B12289" i="2"/>
  <c r="B34860" i="2"/>
  <c r="B30584" i="2"/>
  <c r="B24128" i="2"/>
  <c r="B15473" i="2"/>
  <c r="B204" i="2"/>
  <c r="B23779" i="2"/>
  <c r="B8159" i="2"/>
  <c r="B1292" i="2"/>
  <c r="B16919" i="2"/>
  <c r="B6628" i="2"/>
  <c r="B29373" i="2"/>
  <c r="B2114" i="2"/>
  <c r="B30322" i="2"/>
  <c r="B3002" i="2"/>
  <c r="B22282" i="2"/>
  <c r="B5849" i="2"/>
  <c r="B640" i="2"/>
  <c r="B13675" i="2"/>
  <c r="B2079" i="2"/>
  <c r="B6905" i="2"/>
  <c r="B11410" i="2"/>
  <c r="B3296" i="2"/>
  <c r="B30603" i="2"/>
  <c r="B26463" i="2"/>
  <c r="B4722" i="2"/>
  <c r="B33552" i="2"/>
  <c r="B17531" i="2"/>
  <c r="B2680" i="2"/>
  <c r="B8260" i="2"/>
  <c r="B29240" i="2"/>
  <c r="B14966" i="2"/>
  <c r="B3702" i="2"/>
  <c r="B33844" i="2"/>
  <c r="B21782" i="2"/>
  <c r="B13196" i="2"/>
  <c r="B29515" i="2"/>
  <c r="B7623" i="2"/>
  <c r="B30817" i="2"/>
  <c r="B5613" i="2"/>
  <c r="B29398" i="2"/>
  <c r="B23146" i="2"/>
  <c r="B22253" i="2"/>
  <c r="B28472" i="2"/>
  <c r="B966" i="2"/>
  <c r="B5020" i="2"/>
  <c r="B32525" i="2"/>
  <c r="B32139" i="2"/>
  <c r="B11173" i="2"/>
  <c r="B18758" i="2"/>
  <c r="B25901" i="2"/>
  <c r="B34483" i="2"/>
  <c r="B27700" i="2"/>
  <c r="B32080" i="2"/>
  <c r="B12845" i="2"/>
  <c r="B29846" i="2"/>
  <c r="B2940" i="2"/>
  <c r="B14831" i="2"/>
  <c r="B8186" i="2"/>
  <c r="B3291" i="2"/>
  <c r="B14295" i="2"/>
  <c r="B24053" i="2"/>
  <c r="B29835" i="2"/>
  <c r="B7564" i="2"/>
  <c r="B10906" i="2"/>
  <c r="B29551" i="2"/>
  <c r="B3188" i="2"/>
  <c r="B22810" i="2"/>
  <c r="B2432" i="2"/>
  <c r="B16778" i="2"/>
  <c r="B27412" i="2"/>
  <c r="B4399" i="2"/>
  <c r="B32777" i="2"/>
  <c r="B26477" i="2"/>
  <c r="B797" i="2"/>
  <c r="B7059" i="2"/>
  <c r="B34066" i="2"/>
  <c r="B18350" i="2"/>
  <c r="B1278" i="2"/>
  <c r="B32652" i="2"/>
  <c r="B11452" i="2"/>
  <c r="B34883" i="2"/>
  <c r="B18382" i="2"/>
  <c r="B16825" i="2"/>
  <c r="B29715" i="2"/>
  <c r="B3592" i="2"/>
  <c r="B4773" i="2"/>
  <c r="B12663" i="2"/>
  <c r="B6987" i="2"/>
  <c r="B11617" i="2"/>
  <c r="B14109" i="2"/>
  <c r="B14900" i="2"/>
  <c r="B31887" i="2"/>
  <c r="B13845" i="2"/>
  <c r="B16051" i="2"/>
  <c r="B21731" i="2"/>
  <c r="B17918" i="2"/>
  <c r="B12421" i="2"/>
  <c r="B18911" i="2"/>
  <c r="B11721" i="2"/>
  <c r="B11740" i="2"/>
  <c r="B27248" i="2"/>
  <c r="B8872" i="2"/>
  <c r="B30569" i="2"/>
  <c r="B28162" i="2"/>
  <c r="B15188" i="2"/>
  <c r="B25608" i="2"/>
  <c r="B18684" i="2"/>
  <c r="B11262" i="2"/>
  <c r="B4078" i="2"/>
  <c r="B12481" i="2"/>
  <c r="B28601" i="2"/>
  <c r="B17305" i="2"/>
  <c r="B30939" i="2"/>
  <c r="B34158" i="2"/>
  <c r="B18366" i="2"/>
  <c r="B19260" i="2"/>
  <c r="B33982" i="2"/>
  <c r="B16694" i="2"/>
  <c r="B34869" i="2"/>
  <c r="B33997" i="2"/>
  <c r="B34598" i="2"/>
  <c r="B31224" i="2"/>
  <c r="B13852" i="2"/>
  <c r="B15771" i="2"/>
  <c r="B30215" i="2"/>
  <c r="B27533" i="2"/>
  <c r="B21323" i="2"/>
  <c r="B20081" i="2"/>
  <c r="B2084" i="2"/>
  <c r="B28563" i="2"/>
  <c r="B1766" i="2"/>
  <c r="B10395" i="2"/>
  <c r="B15667" i="2"/>
  <c r="B4281" i="2"/>
  <c r="B5381" i="2"/>
  <c r="B3599" i="2"/>
  <c r="B23267" i="2"/>
  <c r="B16786" i="2"/>
  <c r="B22913" i="2"/>
  <c r="B19558" i="2"/>
  <c r="B19510" i="2"/>
  <c r="B3067" i="2"/>
  <c r="B2217" i="2"/>
  <c r="B19935" i="2"/>
  <c r="B17676" i="2"/>
  <c r="B11025" i="2"/>
  <c r="B5218" i="2"/>
  <c r="B13039" i="2"/>
  <c r="B9661" i="2"/>
  <c r="B23284" i="2"/>
  <c r="B27683" i="2"/>
  <c r="B18650" i="2"/>
  <c r="B2429" i="2"/>
  <c r="B16050" i="2"/>
  <c r="B4958" i="2"/>
  <c r="B8294" i="2"/>
  <c r="B16593" i="2"/>
  <c r="B31132" i="2"/>
  <c r="B26284" i="2"/>
  <c r="B26014" i="2"/>
  <c r="B22790" i="2"/>
  <c r="B32714" i="2"/>
  <c r="B21960" i="2"/>
  <c r="B20724" i="2"/>
  <c r="B1009" i="2"/>
  <c r="B483" i="2"/>
  <c r="B35834" i="2"/>
  <c r="B24371" i="2"/>
  <c r="B35383" i="2"/>
  <c r="B13438" i="2"/>
  <c r="B33864" i="2"/>
  <c r="B4882" i="2"/>
  <c r="B396" i="2"/>
  <c r="B31911" i="2"/>
  <c r="B2696" i="2"/>
  <c r="B28959" i="2"/>
  <c r="B9964" i="2"/>
  <c r="B29780" i="2"/>
  <c r="B15198" i="2"/>
  <c r="B18877" i="2"/>
  <c r="B1626" i="2"/>
  <c r="B14442" i="2"/>
  <c r="B13907" i="2"/>
  <c r="B6895" i="2"/>
  <c r="B13069" i="2"/>
  <c r="B27005" i="2"/>
  <c r="B23669" i="2"/>
  <c r="B2091" i="2"/>
  <c r="B4837" i="2"/>
  <c r="B17644" i="2"/>
  <c r="B15986" i="2"/>
  <c r="B36098" i="2"/>
  <c r="B12727" i="2"/>
  <c r="B17344" i="2"/>
  <c r="B25989" i="2"/>
  <c r="B21716" i="2"/>
  <c r="B11639" i="2"/>
  <c r="B23293" i="2"/>
  <c r="B7530" i="2"/>
  <c r="B35933" i="2"/>
  <c r="B529" i="2"/>
  <c r="B16335" i="2"/>
  <c r="B25062" i="2"/>
  <c r="B15377" i="2"/>
  <c r="B23487" i="2"/>
  <c r="B27161" i="2"/>
  <c r="B13387" i="2"/>
  <c r="B17728" i="2"/>
  <c r="B9447" i="2"/>
  <c r="B11386" i="2"/>
  <c r="B598" i="2"/>
  <c r="B21946" i="2"/>
  <c r="B2600" i="2"/>
  <c r="B13706" i="2"/>
  <c r="B32604" i="2"/>
  <c r="B35340" i="2"/>
  <c r="B11953" i="2"/>
  <c r="B16254" i="2"/>
  <c r="B21915" i="2"/>
  <c r="B22450" i="2"/>
  <c r="B19672" i="2"/>
  <c r="B11311" i="2"/>
  <c r="B11407" i="2"/>
  <c r="B31270" i="2"/>
  <c r="B1692" i="2"/>
  <c r="B35623" i="2"/>
  <c r="B21017" i="2"/>
  <c r="B14688" i="2"/>
  <c r="B25184" i="2"/>
  <c r="B19715" i="2"/>
  <c r="B15072" i="2"/>
  <c r="B12226" i="2"/>
  <c r="B25566" i="2"/>
  <c r="B14724" i="2"/>
  <c r="B26240" i="2"/>
  <c r="B33965" i="2"/>
  <c r="B14924" i="2"/>
  <c r="B7753" i="2"/>
  <c r="B20875" i="2"/>
  <c r="B34102" i="2"/>
  <c r="B26082" i="2"/>
  <c r="B843" i="2"/>
  <c r="B22917" i="2"/>
  <c r="B21848" i="2"/>
  <c r="B16657" i="2"/>
  <c r="B22889" i="2"/>
  <c r="B21168" i="2"/>
  <c r="B9040" i="2"/>
  <c r="B27928" i="2"/>
  <c r="B20706" i="2"/>
  <c r="B17767" i="2"/>
  <c r="B25869" i="2"/>
  <c r="B12164" i="2"/>
  <c r="B22598" i="2"/>
  <c r="B32180" i="2"/>
  <c r="B13572" i="2"/>
  <c r="B20245" i="2"/>
  <c r="B8563" i="2"/>
  <c r="B13887" i="2"/>
  <c r="B33369" i="2"/>
  <c r="B35647" i="2"/>
  <c r="B15463" i="2"/>
  <c r="B28141" i="2"/>
  <c r="B1056" i="2"/>
  <c r="B13692" i="2"/>
  <c r="B15014" i="2"/>
  <c r="B13853" i="2"/>
  <c r="B18102" i="2"/>
  <c r="B13770" i="2"/>
  <c r="B33527" i="2"/>
  <c r="B5198" i="2"/>
  <c r="B30792" i="2"/>
  <c r="B9573" i="2"/>
  <c r="B30057" i="2"/>
  <c r="B15966" i="2"/>
  <c r="B25101" i="2"/>
  <c r="B22760" i="2"/>
  <c r="B22101" i="2"/>
  <c r="B24551" i="2"/>
  <c r="B22756" i="2"/>
  <c r="B11709" i="2"/>
  <c r="B13783" i="2"/>
  <c r="B22303" i="2"/>
  <c r="B24947" i="2"/>
  <c r="B24237" i="2"/>
  <c r="B23657" i="2"/>
  <c r="B26441" i="2"/>
  <c r="B14471" i="2"/>
  <c r="B22619" i="2"/>
  <c r="B32371" i="2"/>
  <c r="B9958" i="2"/>
  <c r="B15652" i="2"/>
  <c r="B18000" i="2"/>
  <c r="B6065" i="2"/>
  <c r="B2477" i="2"/>
  <c r="B35215" i="2"/>
  <c r="B27556" i="2"/>
  <c r="B14045" i="2"/>
  <c r="B8084" i="2"/>
  <c r="B6047" i="2"/>
  <c r="B29234" i="2"/>
  <c r="B5391" i="2"/>
  <c r="B29665" i="2"/>
  <c r="B33947" i="2"/>
  <c r="B15237" i="2"/>
  <c r="B19148" i="2"/>
  <c r="B24127" i="2"/>
  <c r="B25375" i="2"/>
  <c r="B14446" i="2"/>
  <c r="B18005" i="2"/>
  <c r="B4124" i="2"/>
  <c r="B34476" i="2"/>
  <c r="B11248" i="2"/>
  <c r="B18097" i="2"/>
  <c r="B28004" i="2"/>
  <c r="B11904" i="2"/>
  <c r="B21062" i="2"/>
  <c r="B5813" i="2"/>
  <c r="B21852" i="2"/>
  <c r="B14685" i="2"/>
  <c r="B35716" i="2"/>
  <c r="B8854" i="2"/>
  <c r="B26436" i="2"/>
  <c r="B1355" i="2"/>
  <c r="B27690" i="2"/>
  <c r="B13399" i="2"/>
  <c r="B23011" i="2"/>
  <c r="B8653" i="2"/>
  <c r="B12368" i="2"/>
  <c r="B12014" i="2"/>
  <c r="B19701" i="2"/>
  <c r="B29387" i="2"/>
  <c r="B10426" i="2"/>
  <c r="B4614" i="2"/>
  <c r="B20714" i="2"/>
  <c r="B28763" i="2"/>
  <c r="B7726" i="2"/>
  <c r="B16595" i="2"/>
  <c r="B5533" i="2"/>
  <c r="B19283" i="2"/>
  <c r="B24440" i="2"/>
  <c r="B7200" i="2"/>
  <c r="B12184" i="2"/>
  <c r="B35603" i="2"/>
  <c r="B6002" i="2"/>
  <c r="B580" i="2"/>
  <c r="B31909" i="2"/>
  <c r="B18873" i="2"/>
  <c r="B24414" i="2"/>
  <c r="B29472" i="2"/>
  <c r="B20055" i="2"/>
  <c r="B26332" i="2"/>
  <c r="B2756" i="2"/>
  <c r="B33315" i="2"/>
  <c r="B6560" i="2"/>
  <c r="B35449" i="2"/>
  <c r="B18855" i="2"/>
  <c r="B25597" i="2"/>
  <c r="B97" i="2"/>
  <c r="B11774" i="2"/>
  <c r="B18023" i="2"/>
  <c r="B17603" i="2"/>
  <c r="B26418" i="2"/>
  <c r="B22294" i="2"/>
  <c r="B8832" i="2"/>
  <c r="B26455" i="2"/>
  <c r="B799" i="2"/>
  <c r="B34835" i="2"/>
  <c r="B19403" i="2"/>
  <c r="B26722" i="2"/>
  <c r="B33358" i="2"/>
  <c r="B17818" i="2"/>
  <c r="B25665" i="2"/>
  <c r="B5379" i="2"/>
  <c r="B24939" i="2"/>
  <c r="B36134" i="2"/>
  <c r="B23513" i="2"/>
  <c r="B26889" i="2"/>
  <c r="B12862" i="2"/>
  <c r="B25193" i="2"/>
  <c r="B25738" i="2"/>
  <c r="B5092" i="2"/>
  <c r="B3828" i="2"/>
  <c r="B28312" i="2"/>
  <c r="B26786" i="2"/>
  <c r="B7663" i="2"/>
  <c r="B18094" i="2"/>
  <c r="B6196" i="2"/>
  <c r="B3187" i="2"/>
  <c r="B22550" i="2"/>
  <c r="B7945" i="2"/>
  <c r="B2614" i="2"/>
  <c r="B21260" i="2"/>
  <c r="B31953" i="2"/>
  <c r="B19570" i="2"/>
  <c r="B14297" i="2"/>
  <c r="B24437" i="2"/>
  <c r="B18029" i="2"/>
  <c r="B10400" i="2"/>
  <c r="B30974" i="2"/>
  <c r="B34185" i="2"/>
  <c r="B10059" i="2"/>
  <c r="B30829" i="2"/>
  <c r="B5336" i="2"/>
  <c r="B17485" i="2"/>
  <c r="B14208" i="2"/>
  <c r="B9207" i="2"/>
  <c r="B4411" i="2"/>
  <c r="B25416" i="2"/>
  <c r="B14793" i="2"/>
  <c r="B10242" i="2"/>
  <c r="B7960" i="2"/>
  <c r="B24358" i="2"/>
  <c r="B30090" i="2"/>
  <c r="B23462" i="2"/>
  <c r="B29333" i="2"/>
  <c r="B27076" i="2"/>
  <c r="B11053" i="2"/>
  <c r="B27090" i="2"/>
  <c r="B6256" i="2"/>
  <c r="B2714" i="2"/>
  <c r="B31564" i="2"/>
  <c r="B9589" i="2"/>
  <c r="B29238" i="2"/>
  <c r="B15183" i="2"/>
  <c r="B4347" i="2"/>
  <c r="B22454" i="2"/>
  <c r="B25729" i="2"/>
  <c r="B5753" i="2"/>
  <c r="B10536" i="2"/>
  <c r="B13365" i="2"/>
  <c r="B25614" i="2"/>
  <c r="B19323" i="2"/>
  <c r="B24927" i="2"/>
  <c r="B16100" i="2"/>
  <c r="B581" i="2"/>
  <c r="B13745" i="2"/>
  <c r="B32505" i="2"/>
  <c r="B14013" i="2"/>
  <c r="B10499" i="2"/>
  <c r="B9116" i="2"/>
  <c r="B27832" i="2"/>
  <c r="B30954" i="2"/>
  <c r="B16445" i="2"/>
  <c r="B6109" i="2"/>
  <c r="B5698" i="2"/>
  <c r="B33016" i="2"/>
  <c r="B6115" i="2"/>
  <c r="B11683" i="2"/>
  <c r="B17864" i="2"/>
  <c r="B23060" i="2"/>
  <c r="B10331" i="2"/>
  <c r="B25164" i="2"/>
  <c r="B20099" i="2"/>
  <c r="B33026" i="2"/>
  <c r="B23874" i="2"/>
  <c r="B495" i="2"/>
  <c r="B23583" i="2"/>
  <c r="B13461" i="2"/>
  <c r="B27013" i="2"/>
  <c r="B27136" i="2"/>
  <c r="B507" i="2"/>
  <c r="B17586" i="2"/>
  <c r="B29784" i="2"/>
  <c r="B30556" i="2"/>
  <c r="B13565" i="2"/>
  <c r="B35311" i="2"/>
  <c r="B33176" i="2"/>
  <c r="B9786" i="2"/>
  <c r="B21289" i="2"/>
  <c r="B35936" i="2"/>
  <c r="B26238" i="2"/>
  <c r="B10481" i="2"/>
  <c r="B5273" i="2"/>
  <c r="B35136" i="2"/>
  <c r="B30990" i="2"/>
  <c r="B29184" i="2"/>
  <c r="B19660" i="2"/>
  <c r="B4715" i="2"/>
  <c r="B24757" i="2"/>
  <c r="B28879" i="2"/>
  <c r="B3813" i="2"/>
  <c r="B19508" i="2"/>
  <c r="B27466" i="2"/>
  <c r="B21746" i="2"/>
  <c r="B14356" i="2"/>
  <c r="B19769" i="2"/>
  <c r="B1499" i="2"/>
  <c r="B15534" i="2"/>
  <c r="B14222" i="2"/>
  <c r="B10220" i="2"/>
  <c r="B9347" i="2"/>
  <c r="B16861" i="2"/>
  <c r="B5405" i="2"/>
  <c r="B24175" i="2"/>
  <c r="B25142" i="2"/>
  <c r="B26683" i="2"/>
  <c r="B19543" i="2"/>
  <c r="B17086" i="2"/>
  <c r="B11976" i="2"/>
  <c r="B4118" i="2"/>
  <c r="B9248" i="2"/>
  <c r="B22948" i="2"/>
  <c r="B26492" i="2"/>
  <c r="B2636" i="2"/>
  <c r="B22222" i="2"/>
  <c r="B21018" i="2"/>
  <c r="B27786" i="2"/>
  <c r="B24138" i="2"/>
  <c r="B1469" i="2"/>
  <c r="B3615" i="2"/>
  <c r="B15630" i="2"/>
  <c r="B1088" i="2"/>
  <c r="B6975" i="2"/>
  <c r="B21132" i="2"/>
  <c r="B12263" i="2"/>
  <c r="B31920" i="2"/>
  <c r="B12341" i="2"/>
  <c r="B33530" i="2"/>
  <c r="B13257" i="2"/>
  <c r="B24716" i="2"/>
  <c r="B32363" i="2"/>
  <c r="B29153" i="2"/>
  <c r="B11251" i="2"/>
  <c r="B21177" i="2"/>
  <c r="B35445" i="2"/>
  <c r="B17753" i="2"/>
  <c r="B14361" i="2"/>
  <c r="B25897" i="2"/>
  <c r="B4905" i="2"/>
  <c r="B7760" i="2"/>
  <c r="B33636" i="2"/>
  <c r="B10845" i="2"/>
  <c r="B10659" i="2"/>
  <c r="B18705" i="2"/>
  <c r="B25779" i="2"/>
  <c r="B6217" i="2"/>
  <c r="B17892" i="2"/>
  <c r="B35562" i="2"/>
  <c r="B20729" i="2"/>
  <c r="B11781" i="2"/>
  <c r="B21036" i="2"/>
  <c r="B2790" i="2"/>
  <c r="B16805" i="2"/>
  <c r="B5809" i="2"/>
  <c r="B25317" i="2"/>
  <c r="B12254" i="2"/>
  <c r="B21296" i="2"/>
  <c r="B34756" i="2"/>
  <c r="B10737" i="2"/>
  <c r="B12236" i="2"/>
  <c r="B8370" i="2"/>
  <c r="B23651" i="2"/>
  <c r="B30361" i="2"/>
  <c r="B13734" i="2"/>
  <c r="B34356" i="2"/>
  <c r="B33607" i="2"/>
  <c r="B25781" i="2"/>
  <c r="B23225" i="2"/>
  <c r="B12333" i="2"/>
  <c r="B19242" i="2"/>
  <c r="B16345" i="2"/>
  <c r="B17057" i="2"/>
  <c r="B20185" i="2"/>
  <c r="B28213" i="2"/>
  <c r="B15636" i="2"/>
  <c r="B26957" i="2"/>
  <c r="B28735" i="2"/>
  <c r="B27515" i="2"/>
  <c r="B27191" i="2"/>
  <c r="B35329" i="2"/>
  <c r="B14033" i="2"/>
  <c r="B22209" i="2"/>
  <c r="B35907" i="2"/>
  <c r="B14186" i="2"/>
  <c r="B13860" i="2"/>
  <c r="B23897" i="2"/>
  <c r="B8085" i="2"/>
  <c r="B35987" i="2"/>
  <c r="B26513" i="2"/>
  <c r="B8706" i="2"/>
  <c r="B14408" i="2"/>
  <c r="B4641" i="2"/>
  <c r="B18597" i="2"/>
  <c r="B25892" i="2"/>
  <c r="B30840" i="2"/>
  <c r="B10938" i="2"/>
  <c r="B4859" i="2"/>
  <c r="B34893" i="2"/>
  <c r="B1236" i="2"/>
  <c r="B9086" i="2"/>
  <c r="B10145" i="2"/>
  <c r="B18482" i="2"/>
  <c r="B33533" i="2"/>
  <c r="B24023" i="2"/>
  <c r="B9200" i="2"/>
  <c r="B25960" i="2"/>
  <c r="B6284" i="2"/>
  <c r="B6215" i="2"/>
  <c r="B20293" i="2"/>
  <c r="B27848" i="2"/>
  <c r="B12015" i="2"/>
  <c r="B22095" i="2"/>
  <c r="B26177" i="2"/>
  <c r="B3779" i="2"/>
  <c r="B16912" i="2"/>
  <c r="B28744" i="2"/>
  <c r="B23458" i="2"/>
  <c r="B23661" i="2"/>
  <c r="B14419" i="2"/>
  <c r="B15775" i="2"/>
  <c r="B11438" i="2"/>
  <c r="B25611" i="2"/>
  <c r="B14152" i="2"/>
  <c r="B26272" i="2"/>
  <c r="B20892" i="2"/>
  <c r="B30020" i="2"/>
  <c r="B17461" i="2"/>
  <c r="B31589" i="2"/>
  <c r="B14976" i="2"/>
  <c r="B3810" i="2"/>
  <c r="B31721" i="2"/>
  <c r="B2856" i="2"/>
  <c r="B31815" i="2"/>
  <c r="B31377" i="2"/>
  <c r="B23514" i="2"/>
  <c r="B16615" i="2"/>
  <c r="B5437" i="2"/>
  <c r="B5525" i="2"/>
  <c r="B36198" i="2"/>
  <c r="B6647" i="2"/>
  <c r="B24888" i="2"/>
  <c r="B35559" i="2"/>
  <c r="B19284" i="2"/>
  <c r="B20826" i="2"/>
  <c r="B14458" i="2"/>
  <c r="B9400" i="2"/>
  <c r="B36241" i="2"/>
  <c r="B16759" i="2"/>
  <c r="B11646" i="2"/>
  <c r="B12291" i="2"/>
  <c r="B20189" i="2"/>
  <c r="B9117" i="2"/>
  <c r="B12359" i="2"/>
  <c r="B3484" i="2"/>
  <c r="B23242" i="2"/>
  <c r="B12848" i="2"/>
  <c r="B26601" i="2"/>
  <c r="B19589" i="2"/>
  <c r="B21050" i="2"/>
  <c r="B31631" i="2"/>
  <c r="B31322" i="2"/>
  <c r="B34534" i="2"/>
  <c r="B23401" i="2"/>
  <c r="B5256" i="2"/>
  <c r="B13112" i="2"/>
  <c r="B22444" i="2"/>
  <c r="B17766" i="2"/>
  <c r="B6457" i="2"/>
  <c r="B22476" i="2"/>
  <c r="B13481" i="2"/>
  <c r="B5850" i="2"/>
  <c r="B20755" i="2"/>
  <c r="B18337" i="2"/>
  <c r="B34885" i="2"/>
  <c r="B21186" i="2"/>
  <c r="B29309" i="2"/>
  <c r="B20798" i="2"/>
  <c r="B8283" i="2"/>
  <c r="B24934" i="2"/>
  <c r="B24953" i="2"/>
  <c r="B31778" i="2"/>
  <c r="B9640" i="2"/>
  <c r="B10013" i="2"/>
  <c r="B5241" i="2"/>
  <c r="B10095" i="2"/>
  <c r="B17906" i="2"/>
  <c r="B17910" i="2"/>
  <c r="B4589" i="2"/>
  <c r="B11539" i="2"/>
  <c r="B5506" i="2"/>
  <c r="B11750" i="2"/>
  <c r="B14406" i="2"/>
  <c r="B26395" i="2"/>
  <c r="B25369" i="2"/>
  <c r="B24280" i="2"/>
  <c r="B1793" i="2"/>
  <c r="B27231" i="2"/>
  <c r="B13108" i="2"/>
  <c r="B16584" i="2"/>
  <c r="B8347" i="2"/>
  <c r="B4793" i="2"/>
  <c r="B12565" i="2"/>
  <c r="B32062" i="2"/>
  <c r="B25762" i="2"/>
  <c r="B9468" i="2"/>
  <c r="B26779" i="2"/>
  <c r="B32563" i="2"/>
  <c r="B34735" i="2"/>
  <c r="B25684" i="2"/>
  <c r="B18343" i="2"/>
  <c r="B17597" i="2"/>
  <c r="B9461" i="2"/>
  <c r="B3331" i="2"/>
  <c r="B5796" i="2"/>
  <c r="B19045" i="2"/>
  <c r="B20203" i="2"/>
  <c r="B13487" i="2"/>
  <c r="B23781" i="2"/>
  <c r="B35800" i="2"/>
  <c r="B22774" i="2"/>
  <c r="B23427" i="2"/>
  <c r="B24912" i="2"/>
  <c r="B15337" i="2"/>
  <c r="B10118" i="2"/>
  <c r="B28927" i="2"/>
  <c r="B26657" i="2"/>
  <c r="B387" i="2"/>
  <c r="B16499" i="2"/>
  <c r="B4992" i="2"/>
  <c r="B30377" i="2"/>
  <c r="B10685" i="2"/>
  <c r="B21460" i="2"/>
  <c r="B1274" i="2"/>
  <c r="B12429" i="2"/>
  <c r="B26515" i="2"/>
  <c r="B130" i="2"/>
  <c r="B16226" i="2"/>
  <c r="B8922" i="2"/>
  <c r="B10493" i="2"/>
  <c r="B14047" i="2"/>
  <c r="B12137" i="2"/>
  <c r="B23671" i="2"/>
  <c r="B9627" i="2"/>
  <c r="B10636" i="2"/>
  <c r="B11430" i="2"/>
  <c r="B11738" i="2"/>
  <c r="B11859" i="2"/>
  <c r="B4872" i="2"/>
  <c r="B19155" i="2"/>
  <c r="B20917" i="2"/>
  <c r="B16171" i="2"/>
  <c r="B21307" i="2"/>
  <c r="B9537" i="2"/>
  <c r="B3680" i="2"/>
  <c r="B4847" i="2"/>
  <c r="B18474" i="2"/>
  <c r="B21945" i="2"/>
  <c r="B23666" i="2"/>
  <c r="B13143" i="2"/>
  <c r="B8456" i="2"/>
  <c r="B13522" i="2"/>
  <c r="B15157" i="2"/>
  <c r="B12304" i="2"/>
  <c r="B27945" i="2"/>
  <c r="B35820" i="2"/>
  <c r="B27264" i="2"/>
  <c r="B22163" i="2"/>
  <c r="B1875" i="2"/>
  <c r="B13419" i="2"/>
  <c r="B24155" i="2"/>
  <c r="B26924" i="2"/>
  <c r="B17420" i="2"/>
  <c r="B21524" i="2"/>
  <c r="B12376" i="2"/>
  <c r="B20811" i="2"/>
  <c r="B26432" i="2"/>
  <c r="B22532" i="2"/>
  <c r="B14210" i="2"/>
  <c r="B13534" i="2"/>
  <c r="B20336" i="2"/>
  <c r="B35152" i="2"/>
  <c r="B7173" i="2"/>
  <c r="B8134" i="2"/>
  <c r="B17830" i="2"/>
  <c r="B11657" i="2"/>
  <c r="B4663" i="2"/>
  <c r="B29386" i="2"/>
  <c r="B9619" i="2"/>
  <c r="B27123" i="2"/>
  <c r="B27320" i="2"/>
  <c r="B16090" i="2"/>
  <c r="B15565" i="2"/>
  <c r="B24078" i="2"/>
  <c r="B25475" i="2"/>
  <c r="B19420" i="2"/>
  <c r="B4732" i="2"/>
  <c r="B19919" i="2"/>
  <c r="B36208" i="2"/>
  <c r="B30440" i="2"/>
  <c r="B9109" i="2"/>
  <c r="B15661" i="2"/>
  <c r="B19954" i="2"/>
  <c r="B23925" i="2"/>
  <c r="B902" i="2"/>
  <c r="B22136" i="2"/>
  <c r="B13896" i="2"/>
  <c r="B16454" i="2"/>
  <c r="B13919" i="2"/>
  <c r="B12370" i="2"/>
  <c r="B10066" i="2"/>
  <c r="B9566" i="2"/>
  <c r="B23959" i="2"/>
  <c r="B13485" i="2"/>
  <c r="B21351" i="2"/>
  <c r="B26262" i="2"/>
  <c r="B4553" i="2"/>
  <c r="B21127" i="2"/>
  <c r="B14342" i="2"/>
  <c r="B1252" i="2"/>
  <c r="B33006" i="2"/>
  <c r="B997" i="2"/>
  <c r="B9762" i="2"/>
  <c r="B15854" i="2"/>
  <c r="B26692" i="2"/>
  <c r="B20511" i="2"/>
  <c r="B29981" i="2"/>
  <c r="B9169" i="2"/>
  <c r="B101" i="2"/>
  <c r="B8606" i="2"/>
  <c r="B11949" i="2"/>
  <c r="B17346" i="2"/>
  <c r="B19783" i="2"/>
  <c r="B26285" i="2"/>
  <c r="B12273" i="2"/>
  <c r="B23913" i="2"/>
  <c r="B31442" i="2"/>
  <c r="B23592" i="2"/>
  <c r="B35670" i="2"/>
  <c r="B20630" i="2"/>
  <c r="B35375" i="2"/>
  <c r="B9546" i="2"/>
  <c r="B14061" i="2"/>
  <c r="B19223" i="2"/>
  <c r="B23443" i="2"/>
  <c r="B18996" i="2"/>
  <c r="B35546" i="2"/>
  <c r="B19567" i="2"/>
  <c r="B15242" i="2"/>
  <c r="B2695" i="2"/>
  <c r="B1507" i="2"/>
  <c r="B14846" i="2"/>
  <c r="B12948" i="2"/>
  <c r="B7561" i="2"/>
  <c r="B12495" i="2"/>
  <c r="B8728" i="2"/>
  <c r="B29441" i="2"/>
  <c r="B28943" i="2"/>
  <c r="B3979" i="2"/>
  <c r="B35063" i="2"/>
  <c r="B28249" i="2"/>
  <c r="B26933" i="2"/>
  <c r="B31588" i="2"/>
  <c r="B22021" i="2"/>
  <c r="B20584" i="2"/>
  <c r="B14317" i="2"/>
  <c r="B5008" i="2"/>
  <c r="B16220" i="2"/>
  <c r="B24154" i="2"/>
  <c r="B20542" i="2"/>
  <c r="B9912" i="2"/>
  <c r="B13050" i="2"/>
  <c r="B4116" i="2"/>
  <c r="B25068" i="2"/>
  <c r="B16907" i="2"/>
  <c r="B20676" i="2"/>
  <c r="B20417" i="2"/>
  <c r="B17448" i="2"/>
  <c r="B12926" i="2"/>
  <c r="B944" i="2"/>
  <c r="B34510" i="2"/>
  <c r="B4190" i="2"/>
  <c r="B19873" i="2"/>
  <c r="B17129" i="2"/>
  <c r="B32173" i="2"/>
  <c r="B16801" i="2"/>
  <c r="B26138" i="2"/>
  <c r="B2839" i="2"/>
  <c r="B29136" i="2"/>
  <c r="B20586" i="2"/>
  <c r="B33005" i="2"/>
  <c r="B17320" i="2"/>
  <c r="B17936" i="2"/>
  <c r="B19885" i="2"/>
  <c r="B4699" i="2"/>
  <c r="B13445" i="2"/>
  <c r="B7432" i="2"/>
  <c r="B23823" i="2"/>
  <c r="B32639" i="2"/>
  <c r="B33620" i="2"/>
  <c r="B27588" i="2"/>
  <c r="B6084" i="2"/>
  <c r="B15568" i="2"/>
  <c r="B13812" i="2"/>
  <c r="B16843" i="2"/>
  <c r="B23765" i="2"/>
  <c r="B7934" i="2"/>
  <c r="B14018" i="2"/>
  <c r="B10521" i="2"/>
  <c r="B24854" i="2"/>
  <c r="B23341" i="2"/>
  <c r="B10564" i="2"/>
  <c r="B33716" i="2"/>
  <c r="B17963" i="2"/>
  <c r="B13876" i="2"/>
  <c r="B10460" i="2"/>
  <c r="B25451" i="2"/>
  <c r="B26403" i="2"/>
  <c r="B29410" i="2"/>
  <c r="B26553" i="2"/>
  <c r="B23939" i="2"/>
  <c r="B16677" i="2"/>
  <c r="B16524" i="2"/>
  <c r="B17011" i="2"/>
  <c r="B33621" i="2"/>
  <c r="B20985" i="2"/>
  <c r="B24420" i="2"/>
  <c r="B22268" i="2"/>
  <c r="B16067" i="2"/>
  <c r="B20880" i="2"/>
  <c r="B15379" i="2"/>
  <c r="B18415" i="2"/>
  <c r="B20211" i="2"/>
  <c r="B13819" i="2"/>
  <c r="B18452" i="2"/>
  <c r="B13877" i="2"/>
  <c r="B1282" i="2"/>
  <c r="B22112" i="2"/>
  <c r="B34297" i="2"/>
  <c r="B2809" i="2"/>
  <c r="B23971" i="2"/>
  <c r="B19870" i="2"/>
  <c r="B23222" i="2"/>
  <c r="B10107" i="2"/>
  <c r="B19626" i="2"/>
  <c r="B12821" i="2"/>
  <c r="B19795" i="2"/>
  <c r="B15066" i="2"/>
  <c r="B2386" i="2"/>
  <c r="B36213" i="2"/>
  <c r="B21721" i="2"/>
  <c r="B25268" i="2"/>
  <c r="B29936" i="2"/>
  <c r="B16289" i="2"/>
  <c r="B27982" i="2"/>
  <c r="B17546" i="2"/>
  <c r="B32861" i="2"/>
  <c r="B23689" i="2"/>
  <c r="B1053" i="2"/>
  <c r="B9715" i="2"/>
  <c r="B25272" i="2"/>
  <c r="B13671" i="2"/>
  <c r="B5943" i="2"/>
  <c r="B16757" i="2"/>
  <c r="B8251" i="2"/>
  <c r="B8650" i="2"/>
  <c r="B8315" i="2"/>
  <c r="B21006" i="2"/>
  <c r="B11538" i="2"/>
  <c r="B14298" i="2"/>
  <c r="B20621" i="2"/>
  <c r="B27638" i="2"/>
  <c r="B16182" i="2"/>
  <c r="B29058" i="2"/>
  <c r="B20563" i="2"/>
  <c r="B13797" i="2"/>
  <c r="B24080" i="2"/>
  <c r="B22625" i="2"/>
  <c r="B17411" i="2"/>
  <c r="B11046" i="2"/>
  <c r="B11773" i="2"/>
  <c r="B6894" i="2"/>
  <c r="B15628" i="2"/>
  <c r="B1503" i="2"/>
  <c r="B19043" i="2"/>
  <c r="B24699" i="2"/>
  <c r="B8981" i="2"/>
  <c r="B36127" i="2"/>
  <c r="B19278" i="2"/>
  <c r="B15731" i="2"/>
  <c r="B10660" i="2"/>
  <c r="B12351" i="2"/>
  <c r="B27332" i="2"/>
  <c r="B12382" i="2"/>
  <c r="B10727" i="2"/>
  <c r="B34443" i="2"/>
  <c r="B6191" i="2"/>
  <c r="B11714" i="2"/>
  <c r="B15154" i="2"/>
  <c r="B27572" i="2"/>
  <c r="B7444" i="2"/>
  <c r="B20657" i="2"/>
  <c r="B9159" i="2"/>
  <c r="B14459" i="2"/>
  <c r="B22099" i="2"/>
  <c r="B957" i="2"/>
  <c r="B7684" i="2"/>
  <c r="B22259" i="2"/>
  <c r="B4724" i="2"/>
  <c r="B8045" i="2"/>
  <c r="B8214" i="2"/>
  <c r="B1014" i="2"/>
  <c r="B16498" i="2"/>
  <c r="B26568" i="2"/>
  <c r="B9707" i="2"/>
  <c r="B14478" i="2"/>
  <c r="B3286" i="2"/>
  <c r="B9048" i="2"/>
  <c r="B8061" i="2"/>
  <c r="B16582" i="2"/>
  <c r="B23575" i="2"/>
  <c r="B25679" i="2"/>
  <c r="B22731" i="2"/>
  <c r="B10080" i="2"/>
  <c r="B12239" i="2"/>
  <c r="B4348" i="2"/>
  <c r="B18433" i="2"/>
  <c r="B20443" i="2"/>
  <c r="B14492" i="2"/>
  <c r="B27574" i="2"/>
  <c r="B27080" i="2"/>
  <c r="B18553" i="2"/>
  <c r="B21487" i="2"/>
  <c r="B11093" i="2"/>
  <c r="B16419" i="2"/>
  <c r="B9841" i="2"/>
  <c r="B2576" i="2"/>
  <c r="B13818" i="2"/>
  <c r="B25656" i="2"/>
  <c r="B14764" i="2"/>
  <c r="B2648" i="2"/>
  <c r="B25553" i="2"/>
  <c r="B32841" i="2"/>
  <c r="B6387" i="2"/>
  <c r="B6219" i="2"/>
  <c r="B35964" i="2"/>
  <c r="B16988" i="2"/>
  <c r="B25030" i="2"/>
  <c r="B24943" i="2"/>
  <c r="B2562" i="2"/>
  <c r="B9497" i="2"/>
  <c r="B2567" i="2"/>
  <c r="B14392" i="2"/>
  <c r="B36015" i="2"/>
  <c r="B18688" i="2"/>
  <c r="B19938" i="2"/>
  <c r="B24546" i="2"/>
  <c r="B4260" i="2"/>
  <c r="B5717" i="2"/>
  <c r="B11385" i="2"/>
  <c r="B26500" i="2"/>
  <c r="B35444" i="2"/>
  <c r="B36338" i="2"/>
  <c r="B23237" i="2"/>
  <c r="B11267" i="2"/>
  <c r="B13713" i="2"/>
  <c r="B25085" i="2"/>
  <c r="B8825" i="2"/>
  <c r="B27053" i="2"/>
  <c r="B34467" i="2"/>
  <c r="B6031" i="2"/>
  <c r="B21515" i="2"/>
  <c r="B3391" i="2"/>
  <c r="B5045" i="2"/>
  <c r="B12168" i="2"/>
  <c r="B27552" i="2"/>
  <c r="B8743" i="2"/>
  <c r="B18431" i="2"/>
  <c r="B2944" i="2"/>
  <c r="B2461" i="2"/>
  <c r="B25381" i="2"/>
  <c r="B25810" i="2"/>
  <c r="B9290" i="2"/>
  <c r="B1843" i="2"/>
  <c r="B10886" i="2"/>
  <c r="B19613" i="2"/>
  <c r="B4546" i="2"/>
  <c r="B16459" i="2"/>
  <c r="B13122" i="2"/>
  <c r="B2505" i="2"/>
  <c r="B9794" i="2"/>
  <c r="B36210" i="2"/>
  <c r="B29640" i="2"/>
  <c r="B10136" i="2"/>
  <c r="B26008" i="2"/>
  <c r="B13410" i="2"/>
  <c r="B23735" i="2"/>
  <c r="B33502" i="2"/>
  <c r="B9955" i="2"/>
  <c r="B19320" i="2"/>
  <c r="B15879" i="2"/>
  <c r="B10263" i="2"/>
  <c r="B17248" i="2"/>
  <c r="B7523" i="2"/>
  <c r="B35508" i="2"/>
  <c r="B6485" i="2"/>
  <c r="B34789" i="2"/>
  <c r="B15506" i="2"/>
  <c r="B28910" i="2"/>
  <c r="B6743" i="2"/>
  <c r="B32186" i="2"/>
  <c r="B2399" i="2"/>
  <c r="B1761" i="2"/>
  <c r="B10843" i="2"/>
  <c r="B30857" i="2"/>
  <c r="B2495" i="2"/>
  <c r="B19464" i="2"/>
  <c r="B34947" i="2"/>
  <c r="B12104" i="2"/>
  <c r="B45" i="2"/>
  <c r="B1694" i="2"/>
  <c r="B9306" i="2"/>
  <c r="B1884" i="2"/>
  <c r="B3765" i="2"/>
  <c r="B31109" i="2"/>
  <c r="B12477" i="2"/>
  <c r="B21464" i="2"/>
  <c r="B31417" i="2"/>
  <c r="B5012" i="2"/>
  <c r="B28369" i="2"/>
  <c r="B12444" i="2"/>
  <c r="B18976" i="2"/>
  <c r="B12947" i="2"/>
  <c r="B23344" i="2"/>
  <c r="B34046" i="2"/>
  <c r="B5183" i="2"/>
  <c r="B27696" i="2"/>
  <c r="B31131" i="2"/>
  <c r="B7953" i="2"/>
  <c r="B29229" i="2"/>
  <c r="B2694" i="2"/>
  <c r="B8465" i="2"/>
  <c r="B5001" i="2"/>
  <c r="B25932" i="2"/>
  <c r="B22498" i="2"/>
  <c r="B31353" i="2"/>
  <c r="B18608" i="2"/>
  <c r="B15666" i="2"/>
  <c r="B16415" i="2"/>
  <c r="B26247" i="2"/>
  <c r="B35937" i="2"/>
  <c r="B5039" i="2"/>
  <c r="B34484" i="2"/>
  <c r="B22425" i="2"/>
  <c r="B21102" i="2"/>
  <c r="B5142" i="2"/>
  <c r="B5077" i="2"/>
  <c r="B93" i="2"/>
  <c r="B11526" i="2"/>
  <c r="B31235" i="2"/>
  <c r="B4860" i="2"/>
  <c r="B28201" i="2"/>
  <c r="B16492" i="2"/>
  <c r="B35308" i="2"/>
  <c r="B20699" i="2"/>
  <c r="B29109" i="2"/>
  <c r="B9696" i="2"/>
  <c r="B1864" i="2"/>
  <c r="B4825" i="2"/>
  <c r="B20488" i="2"/>
  <c r="B31128" i="2"/>
  <c r="B12849" i="2"/>
  <c r="B15681" i="2"/>
  <c r="B2218" i="2"/>
  <c r="B28435" i="2"/>
  <c r="B16028" i="2"/>
  <c r="B4138" i="2"/>
  <c r="B11587" i="2"/>
  <c r="B13202" i="2"/>
  <c r="B5016" i="2"/>
  <c r="B304" i="2"/>
  <c r="B17494" i="2"/>
  <c r="B23134" i="2"/>
  <c r="B16456" i="2"/>
  <c r="B31190" i="2"/>
  <c r="B11175" i="2"/>
  <c r="B12246" i="2"/>
  <c r="B16789" i="2"/>
  <c r="B11318" i="2"/>
  <c r="B31731" i="2"/>
  <c r="B28318" i="2"/>
  <c r="B10931" i="2"/>
  <c r="B35116" i="2"/>
  <c r="B3591" i="2"/>
  <c r="B28703" i="2"/>
  <c r="B29265" i="2"/>
  <c r="B14323" i="2"/>
  <c r="B24038" i="2"/>
  <c r="B26967" i="2"/>
  <c r="B28608" i="2"/>
  <c r="B27660" i="2"/>
  <c r="B15313" i="2"/>
  <c r="B19056" i="2"/>
  <c r="B35220" i="2"/>
  <c r="B1846" i="2"/>
  <c r="B6864" i="2"/>
  <c r="B8870" i="2"/>
  <c r="B28808" i="2"/>
  <c r="B18463" i="2"/>
  <c r="B10027" i="2"/>
  <c r="B33989" i="2"/>
  <c r="B23607" i="2"/>
  <c r="B16422" i="2"/>
  <c r="B2471" i="2"/>
  <c r="B9550" i="2"/>
  <c r="B18021" i="2"/>
  <c r="B17051" i="2"/>
  <c r="B17581" i="2"/>
  <c r="B3017" i="2"/>
  <c r="B19271" i="2"/>
  <c r="B1562" i="2"/>
  <c r="B26368" i="2"/>
  <c r="B16451" i="2"/>
  <c r="B8218" i="2"/>
  <c r="B13634" i="2"/>
  <c r="B9999" i="2"/>
  <c r="B9404" i="2"/>
  <c r="B31106" i="2"/>
  <c r="B28441" i="2"/>
  <c r="B4084" i="2"/>
  <c r="B17101" i="2"/>
  <c r="B20684" i="2"/>
  <c r="B716" i="2"/>
  <c r="B20726" i="2"/>
  <c r="B3727" i="2"/>
  <c r="B18190" i="2"/>
  <c r="B27679" i="2"/>
  <c r="B22324" i="2"/>
  <c r="B2913" i="2"/>
  <c r="B12814" i="2"/>
  <c r="B10388" i="2"/>
  <c r="B32265" i="2"/>
  <c r="B21151" i="2"/>
  <c r="B27171" i="2"/>
  <c r="B26666" i="2"/>
  <c r="B20452" i="2"/>
  <c r="B15077" i="2"/>
  <c r="B2584" i="2"/>
  <c r="B24994" i="2"/>
  <c r="B36028" i="2"/>
  <c r="B17898" i="2"/>
  <c r="B13559" i="2"/>
  <c r="B3643" i="2"/>
  <c r="B21191" i="2"/>
  <c r="B16881" i="2"/>
  <c r="B24346" i="2"/>
  <c r="B422" i="2"/>
  <c r="B28086" i="2"/>
  <c r="B5124" i="2"/>
  <c r="B20291" i="2"/>
  <c r="B26728" i="2"/>
  <c r="B16209" i="2"/>
  <c r="B3354" i="2"/>
  <c r="B34287" i="2"/>
  <c r="B33881" i="2"/>
  <c r="B23206" i="2"/>
  <c r="B35904" i="2"/>
  <c r="B26416" i="2"/>
  <c r="B20263" i="2"/>
  <c r="B30264" i="2"/>
  <c r="B28625" i="2"/>
  <c r="B7107" i="2"/>
  <c r="B24622" i="2"/>
  <c r="B30223" i="2"/>
  <c r="B16925" i="2"/>
  <c r="B17648" i="2"/>
  <c r="B18696" i="2"/>
  <c r="B31173" i="2"/>
  <c r="B15020" i="2"/>
  <c r="B19291" i="2"/>
  <c r="B32120" i="2"/>
  <c r="B16221" i="2"/>
  <c r="B32739" i="2"/>
  <c r="B30875" i="2"/>
  <c r="B8105" i="2"/>
  <c r="B10226" i="2"/>
  <c r="B20069" i="2"/>
  <c r="B30454" i="2"/>
  <c r="B9618" i="2"/>
  <c r="B18761" i="2"/>
  <c r="B32097" i="2"/>
  <c r="B15709" i="2"/>
  <c r="B22022" i="2"/>
  <c r="B3004" i="2"/>
  <c r="B6832" i="2"/>
  <c r="B11425" i="2"/>
  <c r="B12000" i="2"/>
  <c r="B30945" i="2"/>
  <c r="B9508" i="2"/>
  <c r="B24945" i="2"/>
  <c r="B12798" i="2"/>
  <c r="B12979" i="2"/>
  <c r="B29099" i="2"/>
  <c r="B23049" i="2"/>
  <c r="B5248" i="2"/>
  <c r="B7884" i="2"/>
  <c r="B11299" i="2"/>
  <c r="B32572" i="2"/>
  <c r="B6621" i="2"/>
  <c r="B18334" i="2"/>
  <c r="B34838" i="2"/>
  <c r="B27575" i="2"/>
  <c r="B21335" i="2"/>
  <c r="B29436" i="2"/>
  <c r="B18336" i="2"/>
  <c r="B34890" i="2"/>
  <c r="B34172" i="2"/>
  <c r="B1218" i="2"/>
  <c r="B10544" i="2"/>
  <c r="B326" i="2"/>
  <c r="B28541" i="2"/>
  <c r="B8177" i="2"/>
  <c r="B21087" i="2"/>
  <c r="B13883" i="2"/>
  <c r="B21652" i="2"/>
  <c r="B9450" i="2"/>
  <c r="B26791" i="2"/>
  <c r="B2274" i="2"/>
  <c r="B13149" i="2"/>
  <c r="B22780" i="2"/>
  <c r="B16400" i="2"/>
  <c r="B19904" i="2"/>
  <c r="B17700" i="2"/>
  <c r="B32359" i="2"/>
  <c r="B16006" i="2"/>
  <c r="B25" i="2"/>
  <c r="B19039" i="2"/>
  <c r="B10819" i="2"/>
  <c r="B11676" i="2"/>
  <c r="B30483" i="2"/>
  <c r="B7487" i="2"/>
  <c r="B21513" i="2"/>
  <c r="B15119" i="2"/>
  <c r="B3794" i="2"/>
  <c r="B2787" i="2"/>
  <c r="B16429" i="2"/>
  <c r="B1389" i="2"/>
  <c r="B31187" i="2"/>
  <c r="B3344" i="2"/>
  <c r="B31997" i="2"/>
  <c r="B21660" i="2"/>
  <c r="B2766" i="2"/>
  <c r="B30173" i="2"/>
  <c r="B27093" i="2"/>
  <c r="B13535" i="2"/>
  <c r="B33777" i="2"/>
  <c r="B16302" i="2"/>
  <c r="B18581" i="2"/>
  <c r="B19875" i="2"/>
  <c r="B11880" i="2"/>
  <c r="B10514" i="2"/>
  <c r="B10534" i="2"/>
  <c r="B10189" i="2"/>
  <c r="B18240" i="2"/>
  <c r="B30745" i="2"/>
  <c r="B6793" i="2"/>
  <c r="B33950" i="2"/>
  <c r="B28230" i="2"/>
  <c r="B21139" i="2"/>
  <c r="B5496" i="2"/>
  <c r="B2048" i="2"/>
  <c r="B22962" i="2"/>
  <c r="B12408" i="2"/>
  <c r="B1599" i="2"/>
  <c r="B2109" i="2"/>
  <c r="B25716" i="2"/>
  <c r="B12482" i="2"/>
  <c r="B7932" i="2"/>
  <c r="B15170" i="2"/>
  <c r="B11510" i="2"/>
  <c r="B29961" i="2"/>
  <c r="B2753" i="2"/>
  <c r="B28206" i="2"/>
  <c r="B18056" i="2"/>
  <c r="B1558" i="2"/>
  <c r="B9816" i="2"/>
  <c r="B10139" i="2"/>
  <c r="B35934" i="2"/>
  <c r="B7996" i="2"/>
  <c r="B2010" i="2"/>
  <c r="B2842" i="2"/>
  <c r="B18882" i="2"/>
  <c r="B17782" i="2"/>
  <c r="B5655" i="2"/>
  <c r="B15524" i="2"/>
  <c r="B819" i="2"/>
  <c r="B20916" i="2"/>
  <c r="B2616" i="2"/>
  <c r="B30789" i="2"/>
  <c r="B9549" i="2"/>
  <c r="B29939" i="2"/>
  <c r="B18920" i="2"/>
  <c r="B12533" i="2"/>
  <c r="B30567" i="2"/>
  <c r="B28457" i="2"/>
  <c r="B16471" i="2"/>
  <c r="B14697" i="2"/>
  <c r="B21560" i="2"/>
  <c r="B18594" i="2"/>
  <c r="B32310" i="2"/>
  <c r="B16920" i="2"/>
  <c r="B31516" i="2"/>
  <c r="B14093" i="2"/>
  <c r="B30424" i="2"/>
  <c r="B27778" i="2"/>
  <c r="B21329" i="2"/>
  <c r="B893" i="2"/>
  <c r="B24913" i="2"/>
  <c r="B35756" i="2"/>
  <c r="B21226" i="2"/>
  <c r="B17607" i="2"/>
  <c r="B5193" i="2"/>
  <c r="B11990" i="2"/>
  <c r="B18969" i="2"/>
  <c r="B22047" i="2"/>
  <c r="B10873" i="2"/>
  <c r="B17447" i="2"/>
  <c r="B28866" i="2"/>
  <c r="B36280" i="2"/>
  <c r="B14487" i="2"/>
  <c r="B4111" i="2"/>
  <c r="B35688" i="2"/>
  <c r="B1960" i="2"/>
  <c r="B22019" i="2"/>
  <c r="B10222" i="2"/>
  <c r="B29992" i="2"/>
  <c r="B16696" i="2"/>
  <c r="B7265" i="2"/>
  <c r="B16737" i="2"/>
  <c r="B13547" i="2"/>
  <c r="B7190" i="2"/>
  <c r="B15405" i="2"/>
  <c r="B22359" i="2"/>
  <c r="B21074" i="2"/>
  <c r="B25250" i="2"/>
  <c r="B27101" i="2"/>
  <c r="B7743" i="2"/>
  <c r="B3493" i="2"/>
  <c r="B34701" i="2"/>
  <c r="B33561" i="2"/>
  <c r="B22353" i="2"/>
  <c r="B182" i="2"/>
  <c r="B20715" i="2"/>
  <c r="B20024" i="2"/>
  <c r="B30272" i="2"/>
  <c r="B28067" i="2"/>
  <c r="B10813" i="2"/>
  <c r="B2209" i="2"/>
  <c r="B1955" i="2"/>
  <c r="B11328" i="2"/>
  <c r="B23282" i="2"/>
  <c r="B13631" i="2"/>
  <c r="B33720" i="2"/>
  <c r="B10964" i="2"/>
  <c r="B11157" i="2"/>
  <c r="B8974" i="2"/>
  <c r="B34433" i="2"/>
  <c r="B2634" i="2"/>
  <c r="B4968" i="2"/>
  <c r="B12275" i="2"/>
  <c r="B34899" i="2"/>
  <c r="B6210" i="2"/>
  <c r="B7247" i="2"/>
  <c r="B11710" i="2"/>
  <c r="B32074" i="2"/>
  <c r="B4415" i="2"/>
  <c r="B3278" i="2"/>
  <c r="B7051" i="2"/>
  <c r="B3884" i="2"/>
  <c r="B1190" i="2"/>
  <c r="B27207" i="2"/>
  <c r="B28929" i="2"/>
  <c r="B18130" i="2"/>
  <c r="B753" i="2"/>
  <c r="B11688" i="2"/>
  <c r="B10742" i="2"/>
  <c r="B17799" i="2"/>
  <c r="B21689" i="2"/>
  <c r="B1141" i="2"/>
  <c r="B26257" i="2"/>
  <c r="B21506" i="2"/>
  <c r="B5113" i="2"/>
  <c r="B22923" i="2"/>
  <c r="B16300" i="2"/>
  <c r="B12923" i="2"/>
  <c r="B12784" i="2"/>
  <c r="B424" i="2"/>
  <c r="B6860" i="2"/>
  <c r="B15930" i="2"/>
  <c r="B17912" i="2"/>
  <c r="B5456" i="2"/>
  <c r="B14955" i="2"/>
  <c r="B14500" i="2"/>
  <c r="B34961" i="2"/>
  <c r="B965" i="2"/>
  <c r="B851" i="2"/>
  <c r="B528" i="2"/>
  <c r="B908" i="2"/>
  <c r="B10797" i="2"/>
  <c r="B35680" i="2"/>
  <c r="B16395" i="2"/>
  <c r="B28104" i="2"/>
  <c r="B17266" i="2"/>
  <c r="B30534" i="2"/>
  <c r="B21591" i="2"/>
  <c r="B25790" i="2"/>
  <c r="B29173" i="2"/>
  <c r="B21555" i="2"/>
  <c r="B17983" i="2"/>
  <c r="B33883" i="2"/>
  <c r="B11519" i="2"/>
  <c r="B23247" i="2"/>
  <c r="B9359" i="2"/>
  <c r="B12906" i="2"/>
  <c r="B15521" i="2"/>
  <c r="B18461" i="2"/>
  <c r="B16323" i="2"/>
  <c r="B17535" i="2"/>
  <c r="B50" i="2"/>
  <c r="B27306" i="2"/>
  <c r="B9601" i="2"/>
  <c r="B3485" i="2"/>
  <c r="B32407" i="2"/>
  <c r="B28132" i="2"/>
  <c r="B1908" i="2"/>
  <c r="B17548" i="2"/>
  <c r="B11490" i="2"/>
  <c r="B30799" i="2"/>
  <c r="B23518" i="2"/>
  <c r="B25923" i="2"/>
  <c r="B2222" i="2"/>
  <c r="B5713" i="2"/>
  <c r="B14274" i="2"/>
  <c r="B10633" i="2"/>
  <c r="B34942" i="2"/>
  <c r="B2859" i="2"/>
  <c r="B17237" i="2"/>
  <c r="B2063" i="2"/>
  <c r="B4695" i="2"/>
  <c r="B26448" i="2"/>
  <c r="B4464" i="2"/>
  <c r="B5396" i="2"/>
  <c r="B19668" i="2"/>
  <c r="B9009" i="2"/>
  <c r="B3782" i="2"/>
  <c r="B29248" i="2"/>
  <c r="B19675" i="2"/>
  <c r="B32234" i="2"/>
  <c r="B25466" i="2"/>
  <c r="B17166" i="2"/>
  <c r="B20139" i="2"/>
  <c r="B17871" i="2"/>
  <c r="B19947" i="2"/>
  <c r="B14231" i="2"/>
  <c r="B12856" i="2"/>
  <c r="B5269" i="2"/>
  <c r="B5842" i="2"/>
  <c r="B21483" i="2"/>
  <c r="B31641" i="2"/>
  <c r="B33901" i="2"/>
  <c r="B18353" i="2"/>
  <c r="B13667" i="2"/>
  <c r="B33763" i="2"/>
  <c r="B3960" i="2"/>
  <c r="B1993" i="2"/>
  <c r="B35361" i="2"/>
  <c r="B4342" i="2"/>
  <c r="B26560" i="2"/>
  <c r="B4266" i="2"/>
  <c r="B2253" i="2"/>
  <c r="B17321" i="2"/>
  <c r="B11107" i="2"/>
  <c r="B1411" i="2"/>
  <c r="B13089" i="2"/>
  <c r="B16640" i="2"/>
  <c r="B22944" i="2"/>
  <c r="B27777" i="2"/>
  <c r="B19657" i="2"/>
  <c r="B11216" i="2"/>
  <c r="B3248" i="2"/>
  <c r="B3555" i="2"/>
  <c r="B33986" i="2"/>
  <c r="B566" i="2"/>
  <c r="B21126" i="2"/>
  <c r="B31521" i="2"/>
  <c r="B34536" i="2"/>
  <c r="B17646" i="2"/>
  <c r="B35584" i="2"/>
  <c r="B16295" i="2"/>
  <c r="B22221" i="2"/>
  <c r="B10429" i="2"/>
  <c r="B30876" i="2"/>
  <c r="B9985" i="2"/>
  <c r="B14585" i="2"/>
  <c r="B24341" i="2"/>
  <c r="B12886" i="2"/>
  <c r="B13072" i="2"/>
  <c r="B15036" i="2"/>
  <c r="B10251" i="2"/>
  <c r="B27845" i="2"/>
  <c r="B12002" i="2"/>
  <c r="B29110" i="2"/>
  <c r="B31691" i="2"/>
  <c r="B10799" i="2"/>
  <c r="B8173" i="2"/>
  <c r="B13376" i="2"/>
  <c r="B4063" i="2"/>
  <c r="B34903" i="2"/>
  <c r="B26602" i="2"/>
  <c r="B35510" i="2"/>
  <c r="B35255" i="2"/>
  <c r="B8106" i="2"/>
  <c r="B26242" i="2"/>
  <c r="B24121" i="2"/>
  <c r="B3179" i="2"/>
  <c r="B12103" i="2"/>
  <c r="B31557" i="2"/>
  <c r="B28782" i="2"/>
  <c r="B11734" i="2"/>
  <c r="B15479" i="2"/>
  <c r="B36357" i="2"/>
  <c r="B18043" i="2"/>
  <c r="B4866" i="2"/>
  <c r="B21922" i="2"/>
  <c r="B18627" i="2"/>
  <c r="B13121" i="2"/>
  <c r="B10358" i="2"/>
  <c r="B25154" i="2"/>
  <c r="B15723" i="2"/>
  <c r="B27616" i="2"/>
  <c r="B23447" i="2"/>
  <c r="B20073" i="2"/>
  <c r="B28248" i="2"/>
  <c r="B23624" i="2"/>
  <c r="B28482" i="2"/>
  <c r="B30178" i="2"/>
  <c r="B30734" i="2"/>
  <c r="B31088" i="2"/>
  <c r="B18112" i="2"/>
  <c r="B12023" i="2"/>
  <c r="B28522" i="2"/>
  <c r="B7903" i="2"/>
  <c r="B25528" i="2"/>
  <c r="B1366" i="2"/>
  <c r="B22936" i="2"/>
  <c r="B6851" i="2"/>
  <c r="B30351" i="2"/>
  <c r="B23432" i="2"/>
  <c r="B18257" i="2"/>
  <c r="B25813" i="2"/>
  <c r="B6057" i="2"/>
  <c r="B28255" i="2"/>
  <c r="B2039" i="2"/>
  <c r="B1975" i="2"/>
  <c r="B13721" i="2"/>
  <c r="B36200" i="2"/>
  <c r="B393" i="2"/>
  <c r="B1986" i="2"/>
  <c r="B9279" i="2"/>
  <c r="B29422" i="2"/>
  <c r="B16232" i="2"/>
  <c r="B11415" i="2"/>
  <c r="B4874" i="2"/>
  <c r="B2830" i="2"/>
  <c r="B31861" i="2"/>
  <c r="B22193" i="2"/>
  <c r="B60" i="2"/>
  <c r="B19394" i="2"/>
  <c r="B31067" i="2"/>
  <c r="B4253" i="2"/>
  <c r="B13250" i="2"/>
  <c r="B28152" i="2"/>
  <c r="B2421" i="2"/>
  <c r="B14961" i="2"/>
  <c r="B12215" i="2"/>
  <c r="B28488" i="2"/>
  <c r="B14993" i="2"/>
  <c r="B34610" i="2"/>
  <c r="B10571" i="2"/>
  <c r="B9557" i="2"/>
  <c r="B9883" i="2"/>
  <c r="B31094" i="2"/>
  <c r="B19734" i="2"/>
  <c r="B2425" i="2"/>
  <c r="B28947" i="2"/>
  <c r="B436" i="2"/>
  <c r="B5004" i="2"/>
  <c r="B13558" i="2"/>
  <c r="B17885" i="2"/>
  <c r="B34736" i="2"/>
  <c r="B1475" i="2"/>
  <c r="B2189" i="2"/>
  <c r="B15284" i="2"/>
  <c r="B21434" i="2"/>
  <c r="B17713" i="2"/>
  <c r="B15959" i="2"/>
  <c r="B5288" i="2"/>
  <c r="B29823" i="2"/>
  <c r="B13199" i="2"/>
  <c r="B4572" i="2"/>
  <c r="B29776" i="2"/>
  <c r="B17977" i="2"/>
  <c r="B32075" i="2"/>
  <c r="B20668" i="2"/>
  <c r="B17408" i="2"/>
  <c r="B17828" i="2"/>
  <c r="B1817" i="2"/>
  <c r="B13099" i="2"/>
  <c r="B29455" i="2"/>
  <c r="B8698" i="2"/>
  <c r="B10218" i="2"/>
  <c r="B24792" i="2"/>
  <c r="B33622" i="2"/>
  <c r="B1098" i="2"/>
  <c r="B764" i="2"/>
  <c r="B891" i="2"/>
  <c r="B10116" i="2"/>
  <c r="B3213" i="2"/>
  <c r="B28342" i="2"/>
  <c r="B7400" i="2"/>
  <c r="B1855" i="2"/>
  <c r="B16112" i="2"/>
  <c r="B29338" i="2"/>
  <c r="B7584" i="2"/>
  <c r="B30328" i="2"/>
  <c r="B641" i="2"/>
  <c r="B24825" i="2"/>
  <c r="B1825" i="2"/>
  <c r="B30711" i="2"/>
  <c r="B18642" i="2"/>
  <c r="B3007" i="2"/>
  <c r="B661" i="2"/>
  <c r="B22977" i="2"/>
  <c r="B9568" i="2"/>
  <c r="B4177" i="2"/>
  <c r="B25547" i="2"/>
  <c r="B32501" i="2"/>
  <c r="B4144" i="2"/>
  <c r="B35852" i="2"/>
  <c r="B26712" i="2"/>
  <c r="B5649" i="2"/>
  <c r="B7086" i="2"/>
  <c r="B24058" i="2"/>
  <c r="B30547" i="2"/>
  <c r="B968" i="2"/>
  <c r="B16904" i="2"/>
  <c r="B18033" i="2"/>
  <c r="B14552" i="2"/>
  <c r="B4018" i="2"/>
  <c r="B31026" i="2"/>
  <c r="B35008" i="2"/>
  <c r="B24793" i="2"/>
  <c r="B34314" i="2"/>
  <c r="B27176" i="2"/>
  <c r="B14715" i="2"/>
  <c r="B33851" i="2"/>
  <c r="B28487" i="2"/>
  <c r="B11796" i="2"/>
  <c r="B17111" i="2"/>
  <c r="B34107" i="2"/>
  <c r="B10961" i="2"/>
  <c r="B7809" i="2"/>
  <c r="B3607" i="2"/>
  <c r="B22284" i="2"/>
  <c r="B29468" i="2"/>
  <c r="B730" i="2"/>
  <c r="B31776" i="2"/>
  <c r="B19372" i="2"/>
  <c r="B9195" i="2"/>
  <c r="B20461" i="2"/>
  <c r="B33807" i="2"/>
  <c r="B5841" i="2"/>
  <c r="B20692" i="2"/>
  <c r="B11199" i="2"/>
  <c r="B5665" i="2"/>
  <c r="B18499" i="2"/>
  <c r="B24015" i="2"/>
  <c r="B6581" i="2"/>
  <c r="B30475" i="2"/>
  <c r="B14713" i="2"/>
  <c r="B14805" i="2"/>
  <c r="B29498" i="2"/>
  <c r="B25368" i="2"/>
  <c r="B26968" i="2"/>
  <c r="B33948" i="2"/>
  <c r="B2029" i="2"/>
  <c r="B22599" i="2"/>
  <c r="B206" i="2"/>
  <c r="B14865" i="2"/>
  <c r="B9517" i="2"/>
  <c r="B24625" i="2"/>
  <c r="B20471" i="2"/>
  <c r="B9482" i="2"/>
  <c r="B31366" i="2"/>
  <c r="B15180" i="2"/>
  <c r="B32583" i="2"/>
  <c r="B29760" i="2"/>
  <c r="B22814" i="2"/>
  <c r="B29169" i="2"/>
  <c r="B30619" i="2"/>
  <c r="B4278" i="2"/>
  <c r="B25258" i="2"/>
  <c r="B13012" i="2"/>
  <c r="B18661" i="2"/>
  <c r="B25522" i="2"/>
  <c r="B6555" i="2"/>
  <c r="B24796" i="2"/>
  <c r="B15574" i="2"/>
  <c r="B35355" i="2"/>
  <c r="B27075" i="2"/>
  <c r="B34660" i="2"/>
  <c r="B28041" i="2"/>
  <c r="B34812" i="2"/>
  <c r="B12763" i="2"/>
  <c r="B36042" i="2"/>
  <c r="B34895" i="2"/>
  <c r="B25321" i="2"/>
  <c r="B28877" i="2"/>
  <c r="B8270" i="2"/>
  <c r="B34451" i="2"/>
  <c r="B13051" i="2"/>
  <c r="B14931" i="2"/>
  <c r="B20413" i="2"/>
  <c r="B34083" i="2"/>
  <c r="B1069" i="2"/>
  <c r="B32183" i="2"/>
  <c r="B30414" i="2"/>
  <c r="B32871" i="2"/>
  <c r="B33224" i="2"/>
  <c r="B26292" i="2"/>
  <c r="B4919" i="2"/>
  <c r="B9598" i="2"/>
  <c r="B30224" i="2"/>
  <c r="B16265" i="2"/>
  <c r="B649" i="2"/>
  <c r="B9744" i="2"/>
  <c r="B39" i="2"/>
  <c r="B7916" i="2"/>
  <c r="B18546" i="2"/>
  <c r="B32776" i="2"/>
  <c r="B17869" i="2"/>
  <c r="B16599" i="2"/>
  <c r="B24149" i="2"/>
  <c r="B2129" i="2"/>
  <c r="B34939" i="2"/>
  <c r="B30533" i="2"/>
  <c r="B27986" i="2"/>
  <c r="B26160" i="2"/>
  <c r="B14463" i="2"/>
  <c r="B35376" i="2"/>
  <c r="B31956" i="2"/>
  <c r="B15426" i="2"/>
  <c r="B3661" i="2"/>
  <c r="B11705" i="2"/>
  <c r="B22882" i="2"/>
  <c r="B1849" i="2"/>
  <c r="B15713" i="2"/>
  <c r="B24176" i="2"/>
  <c r="B32493" i="2"/>
  <c r="B10506" i="2"/>
  <c r="B11240" i="2"/>
  <c r="B17621" i="2"/>
  <c r="B25488" i="2"/>
  <c r="B17740" i="2"/>
  <c r="B4185" i="2"/>
  <c r="B34980" i="2"/>
  <c r="B22452" i="2"/>
  <c r="B7724" i="2"/>
  <c r="B14116" i="2"/>
  <c r="B23684" i="2"/>
  <c r="B25424" i="2"/>
  <c r="B26083" i="2"/>
  <c r="B3969" i="2"/>
  <c r="B12318" i="2"/>
  <c r="B35046" i="2"/>
  <c r="B24435" i="2"/>
  <c r="B14943" i="2"/>
  <c r="B2871" i="2"/>
  <c r="B17583" i="2"/>
  <c r="B18015" i="2"/>
  <c r="B20720" i="2"/>
  <c r="B21071" i="2"/>
  <c r="B9983" i="2"/>
  <c r="B2326" i="2"/>
  <c r="B12891" i="2"/>
  <c r="B1216" i="2"/>
  <c r="B4488" i="2"/>
  <c r="B5867" i="2"/>
  <c r="B29699" i="2"/>
  <c r="B4683" i="2"/>
  <c r="B10436" i="2"/>
  <c r="B34590" i="2"/>
  <c r="B19563" i="2"/>
  <c r="B10676" i="2"/>
  <c r="B26810" i="2"/>
  <c r="B34858" i="2"/>
  <c r="B23905" i="2"/>
  <c r="B5252" i="2"/>
  <c r="B4873" i="2"/>
  <c r="B15396" i="2"/>
  <c r="B25089" i="2"/>
  <c r="B18268" i="2"/>
  <c r="B330" i="2"/>
  <c r="B18699" i="2"/>
  <c r="B6719" i="2"/>
  <c r="B33236" i="2"/>
  <c r="B3963" i="2"/>
  <c r="B1553" i="2"/>
  <c r="B34743" i="2"/>
  <c r="B34655" i="2"/>
  <c r="B13430" i="2"/>
  <c r="B24402" i="2"/>
  <c r="B21161" i="2"/>
  <c r="B10787" i="2"/>
  <c r="B286" i="2"/>
  <c r="B1140" i="2"/>
  <c r="B32319" i="2"/>
  <c r="B33592" i="2"/>
  <c r="B26117" i="2"/>
  <c r="B11168" i="2"/>
  <c r="B17170" i="2"/>
  <c r="B25568" i="2"/>
  <c r="B6739" i="2"/>
  <c r="B8072" i="2"/>
  <c r="B9102" i="2"/>
  <c r="B15917" i="2"/>
  <c r="B33916" i="2"/>
  <c r="B12027" i="2"/>
  <c r="B34554" i="2"/>
  <c r="B28200" i="2"/>
  <c r="B28030" i="2"/>
  <c r="B21154" i="2"/>
  <c r="B17370" i="2"/>
  <c r="B15416" i="2"/>
  <c r="B25563" i="2"/>
  <c r="B6311" i="2"/>
  <c r="B324" i="2"/>
  <c r="B24377" i="2"/>
  <c r="B18246" i="2"/>
  <c r="B2952" i="2"/>
  <c r="B21136" i="2"/>
  <c r="B26013" i="2"/>
  <c r="B10755" i="2"/>
  <c r="B35782" i="2"/>
  <c r="B1168" i="2"/>
  <c r="B6610" i="2"/>
  <c r="B28548" i="2"/>
  <c r="B11055" i="2"/>
  <c r="B5266" i="2"/>
  <c r="B9298" i="2"/>
  <c r="B35849" i="2"/>
  <c r="B5230" i="2"/>
  <c r="B26675" i="2"/>
  <c r="B34446" i="2"/>
  <c r="B14894" i="2"/>
  <c r="B3563" i="2"/>
  <c r="B20453" i="2"/>
  <c r="B23102" i="2"/>
  <c r="B16091" i="2"/>
  <c r="B17350" i="2"/>
  <c r="B20534" i="2"/>
  <c r="B11518" i="2"/>
  <c r="B15171" i="2"/>
  <c r="B28378" i="2"/>
  <c r="B22572" i="2"/>
  <c r="B11760" i="2"/>
  <c r="B25008" i="2"/>
  <c r="B5846" i="2"/>
  <c r="B7454" i="2"/>
  <c r="B14792" i="2"/>
  <c r="B12446" i="2"/>
  <c r="B14965" i="2"/>
  <c r="B9008" i="2"/>
  <c r="B34375" i="2"/>
  <c r="B11249" i="2"/>
  <c r="B4174" i="2"/>
  <c r="B1828" i="2"/>
  <c r="B32082" i="2"/>
  <c r="B21221" i="2"/>
  <c r="B7241" i="2"/>
  <c r="B22807" i="2"/>
  <c r="B10234" i="2"/>
  <c r="B21902" i="2"/>
  <c r="B24732" i="2"/>
  <c r="B15860" i="2"/>
  <c r="B28711" i="2"/>
  <c r="B19236" i="2"/>
  <c r="B14952" i="2"/>
  <c r="B14959" i="2"/>
  <c r="B18398" i="2"/>
  <c r="B10722" i="2"/>
  <c r="B1716" i="2"/>
  <c r="B19874" i="2"/>
  <c r="B12485" i="2"/>
  <c r="B17838" i="2"/>
  <c r="B12837" i="2"/>
  <c r="B26229" i="2"/>
  <c r="B953" i="2"/>
  <c r="B12191" i="2"/>
  <c r="B35135" i="2"/>
  <c r="B7824" i="2"/>
  <c r="B11542" i="2"/>
  <c r="B3395" i="2"/>
  <c r="B29680" i="2"/>
  <c r="B11847" i="2"/>
  <c r="B16842" i="2"/>
  <c r="B30858" i="2"/>
  <c r="B24296" i="2"/>
  <c r="B3083" i="2"/>
  <c r="B4121" i="2"/>
  <c r="B36067" i="2"/>
  <c r="B35722" i="2"/>
  <c r="B2417" i="2"/>
  <c r="B4181" i="2"/>
  <c r="B35918" i="2"/>
  <c r="B828" i="2"/>
  <c r="B33170" i="2"/>
  <c r="B35249" i="2"/>
  <c r="B15439" i="2"/>
  <c r="B14476" i="2"/>
  <c r="B4307" i="2"/>
  <c r="B11812" i="2"/>
  <c r="B14065" i="2"/>
  <c r="B10531" i="2"/>
  <c r="B23274" i="2"/>
  <c r="B35189" i="2"/>
  <c r="B20524" i="2"/>
  <c r="B807" i="2"/>
  <c r="B145" i="2"/>
  <c r="B35733" i="2"/>
  <c r="B30906" i="2"/>
  <c r="B20478" i="2"/>
  <c r="B32215" i="2"/>
  <c r="B15717" i="2"/>
  <c r="B28332" i="2"/>
  <c r="B31481" i="2"/>
  <c r="B24571" i="2"/>
  <c r="B18748" i="2"/>
  <c r="B4179" i="2"/>
  <c r="B10179" i="2"/>
  <c r="B28922" i="2"/>
  <c r="B18289" i="2"/>
  <c r="B4541" i="2"/>
  <c r="B31869" i="2"/>
  <c r="B18931" i="2"/>
  <c r="B31903" i="2"/>
  <c r="B8514" i="2"/>
  <c r="B10277" i="2"/>
  <c r="B18214" i="2"/>
  <c r="B1441" i="2"/>
  <c r="B26323" i="2"/>
  <c r="B27395" i="2"/>
  <c r="B27835" i="2"/>
  <c r="B32697" i="2"/>
  <c r="B3150" i="2"/>
  <c r="B30333" i="2"/>
  <c r="B4068" i="2"/>
  <c r="B27824" i="2"/>
  <c r="B31263" i="2"/>
  <c r="B17452" i="2"/>
  <c r="B22827" i="2"/>
  <c r="B22043" i="2"/>
  <c r="B30241" i="2"/>
  <c r="B12350" i="2"/>
  <c r="B28847" i="2"/>
  <c r="B34268" i="2"/>
  <c r="B30495" i="2"/>
  <c r="B5956" i="2"/>
  <c r="B9717" i="2"/>
  <c r="B2599" i="2"/>
  <c r="B25889" i="2"/>
  <c r="B25459" i="2"/>
  <c r="B18998" i="2"/>
  <c r="B11782" i="2"/>
  <c r="B23748" i="2"/>
  <c r="B30957" i="2"/>
  <c r="B1902" i="2"/>
  <c r="B13275" i="2"/>
  <c r="B25001" i="2"/>
  <c r="B1938" i="2"/>
  <c r="B3507" i="2"/>
  <c r="B10957" i="2"/>
  <c r="B31837" i="2"/>
  <c r="B24162" i="2"/>
  <c r="B27768" i="2"/>
  <c r="B34797" i="2"/>
  <c r="B11100" i="2"/>
  <c r="B15857" i="2"/>
  <c r="B12280" i="2"/>
  <c r="B11368" i="2"/>
  <c r="B13705" i="2"/>
  <c r="B33254" i="2"/>
  <c r="B14623" i="2"/>
  <c r="B11360" i="2"/>
  <c r="B12854" i="2"/>
  <c r="B29072" i="2"/>
  <c r="B17074" i="2"/>
  <c r="B20005" i="2"/>
  <c r="B36138" i="2"/>
  <c r="B34057" i="2"/>
  <c r="B8146" i="2"/>
  <c r="B20475" i="2"/>
  <c r="B11206" i="2"/>
  <c r="B35557" i="2"/>
  <c r="B31242" i="2"/>
  <c r="B9151" i="2"/>
  <c r="B16700" i="2"/>
  <c r="B17325" i="2"/>
  <c r="B24739" i="2"/>
  <c r="B4788" i="2"/>
  <c r="B4026" i="2"/>
  <c r="B8020" i="2"/>
  <c r="B12834" i="2"/>
  <c r="B26603" i="2"/>
  <c r="B27160" i="2"/>
  <c r="B30399" i="2"/>
  <c r="B16892" i="2"/>
  <c r="B2165" i="2"/>
  <c r="B2103" i="2"/>
  <c r="B14885" i="2"/>
  <c r="B17616" i="2"/>
  <c r="B19776" i="2"/>
  <c r="B3656" i="2"/>
  <c r="B2040" i="2"/>
  <c r="B11413" i="2"/>
  <c r="B20583" i="2"/>
  <c r="B15792" i="2"/>
  <c r="B12524" i="2"/>
  <c r="B11728" i="2"/>
  <c r="B18951" i="2"/>
  <c r="B27839" i="2"/>
  <c r="B26383" i="2"/>
  <c r="B26830" i="2"/>
  <c r="B10140" i="2"/>
  <c r="B17757" i="2"/>
  <c r="B14928" i="2"/>
  <c r="B17375" i="2"/>
  <c r="B32518" i="2"/>
  <c r="B25605" i="2"/>
  <c r="B25746" i="2"/>
  <c r="B9852" i="2"/>
  <c r="B15333" i="2"/>
  <c r="B25660" i="2"/>
  <c r="B15231" i="2"/>
  <c r="B23933" i="2"/>
  <c r="B23809" i="2"/>
  <c r="B19842" i="2"/>
  <c r="B29280" i="2"/>
  <c r="B20032" i="2"/>
  <c r="B33941" i="2"/>
  <c r="B9866" i="2"/>
  <c r="B33134" i="2"/>
  <c r="B33518" i="2"/>
  <c r="B18703" i="2"/>
  <c r="B25453" i="2"/>
  <c r="B17833" i="2"/>
  <c r="B11375" i="2"/>
  <c r="B17806" i="2"/>
  <c r="B11325" i="2"/>
  <c r="B18088" i="2"/>
  <c r="B19970" i="2"/>
  <c r="B32531" i="2"/>
  <c r="B11667" i="2"/>
  <c r="B32758" i="2"/>
  <c r="B11707" i="2"/>
  <c r="B25723" i="2"/>
  <c r="B3677" i="2"/>
  <c r="B4170" i="2"/>
  <c r="B26088" i="2"/>
  <c r="B27589" i="2"/>
  <c r="B19433" i="2"/>
  <c r="B26802" i="2"/>
  <c r="B34176" i="2"/>
  <c r="B1582" i="2"/>
  <c r="B11083" i="2"/>
  <c r="B25944" i="2"/>
  <c r="B5439" i="2"/>
  <c r="B6892" i="2"/>
  <c r="B27017" i="2"/>
  <c r="B32809" i="2"/>
  <c r="B29463" i="2"/>
  <c r="B12842" i="2"/>
  <c r="B18148" i="2"/>
  <c r="B29471" i="2"/>
  <c r="B4389" i="2"/>
  <c r="B3995" i="2"/>
  <c r="B31019" i="2"/>
  <c r="B21508" i="2"/>
  <c r="B4056" i="2"/>
  <c r="B30161" i="2"/>
  <c r="B17417" i="2"/>
  <c r="B33818" i="2"/>
  <c r="B13458" i="2"/>
  <c r="B23273" i="2"/>
  <c r="B30855" i="2"/>
  <c r="B24866" i="2"/>
  <c r="B12879" i="2"/>
  <c r="B25095" i="2"/>
  <c r="B26973" i="2"/>
  <c r="B17821" i="2"/>
  <c r="B29920" i="2"/>
  <c r="B38" i="2"/>
  <c r="B16669" i="2"/>
  <c r="B25917" i="2"/>
  <c r="B16324" i="2"/>
  <c r="B8386" i="2"/>
  <c r="B11520" i="2"/>
  <c r="B28208" i="2"/>
  <c r="B35567" i="2"/>
  <c r="B8642" i="2"/>
  <c r="B15511" i="2"/>
  <c r="B21607" i="2"/>
  <c r="B15071" i="2"/>
  <c r="B34010" i="2"/>
  <c r="B32208" i="2"/>
  <c r="B14267" i="2"/>
  <c r="B10120" i="2"/>
  <c r="B35712" i="2"/>
  <c r="B30318" i="2"/>
  <c r="B24501" i="2"/>
  <c r="B16177" i="2"/>
  <c r="B18955" i="2"/>
  <c r="B646" i="2"/>
  <c r="B2620" i="2"/>
  <c r="B21457" i="2"/>
  <c r="B18582" i="2"/>
  <c r="B22556" i="2"/>
  <c r="B34517" i="2"/>
  <c r="B34259" i="2"/>
  <c r="B9805" i="2"/>
  <c r="B13471" i="2"/>
  <c r="B13716" i="2"/>
  <c r="B23795" i="2"/>
  <c r="B31682" i="2"/>
  <c r="B2032" i="2"/>
  <c r="B11562" i="2"/>
  <c r="B15234" i="2"/>
  <c r="B26205" i="2"/>
  <c r="B16563" i="2"/>
  <c r="B13497" i="2"/>
  <c r="B5106" i="2"/>
  <c r="B12475" i="2"/>
  <c r="B11473" i="2"/>
  <c r="B20050" i="2"/>
  <c r="B20250" i="2"/>
  <c r="B13515" i="2"/>
  <c r="B19171" i="2"/>
  <c r="B21204" i="2"/>
  <c r="B20377" i="2"/>
  <c r="B23636" i="2"/>
  <c r="B1288" i="2"/>
  <c r="B2533" i="2"/>
  <c r="B3423" i="2"/>
  <c r="B12740" i="2"/>
  <c r="B19126" i="2"/>
  <c r="B4757" i="2"/>
  <c r="B11669" i="2"/>
  <c r="B16219" i="2"/>
  <c r="B16386" i="2"/>
  <c r="B9722" i="2"/>
  <c r="B32528" i="2"/>
  <c r="B13546" i="2"/>
  <c r="B10724" i="2"/>
  <c r="B24703" i="2"/>
  <c r="B21043" i="2"/>
  <c r="B1064" i="2"/>
  <c r="B34289" i="2"/>
  <c r="B8338" i="2"/>
  <c r="B1466" i="2"/>
  <c r="B21374" i="2"/>
  <c r="B11899" i="2"/>
  <c r="B23703" i="2"/>
  <c r="B34985" i="2"/>
  <c r="B576" i="2"/>
  <c r="B24110" i="2"/>
  <c r="B11960" i="2"/>
  <c r="B20194" i="2"/>
  <c r="B15403" i="2"/>
  <c r="B18876" i="2"/>
  <c r="B34044" i="2"/>
  <c r="B12809" i="2"/>
  <c r="B28212" i="2"/>
  <c r="B26671" i="2"/>
  <c r="B24187" i="2"/>
  <c r="B25202" i="2"/>
  <c r="B24701" i="2"/>
  <c r="B29543" i="2"/>
  <c r="B18008" i="2"/>
  <c r="B13173" i="2"/>
  <c r="B35960" i="2"/>
  <c r="B26430" i="2"/>
  <c r="B2580" i="2"/>
  <c r="B16364" i="2"/>
  <c r="B29560" i="2"/>
  <c r="B23850" i="2"/>
  <c r="B25497" i="2"/>
  <c r="B3089" i="2"/>
  <c r="B12128" i="2"/>
  <c r="B32315" i="2"/>
  <c r="B16905" i="2"/>
  <c r="B34602" i="2"/>
  <c r="B14532" i="2"/>
  <c r="B28747" i="2"/>
  <c r="B22624" i="2"/>
  <c r="B24432" i="2"/>
  <c r="B34183" i="2"/>
  <c r="B34435" i="2"/>
  <c r="B33568" i="2"/>
  <c r="B27732" i="2"/>
  <c r="B14467" i="2"/>
  <c r="B23142" i="2"/>
  <c r="B32041" i="2"/>
  <c r="B24055" i="2"/>
  <c r="B35825" i="2"/>
  <c r="B21009" i="2"/>
  <c r="B2368" i="2"/>
  <c r="B32297" i="2"/>
  <c r="B17900" i="2"/>
  <c r="B19285" i="2"/>
  <c r="B22586" i="2"/>
  <c r="B6761" i="2"/>
  <c r="B35469" i="2"/>
  <c r="B26104" i="2"/>
  <c r="B11133" i="2"/>
  <c r="B31004" i="2"/>
  <c r="B26548" i="2"/>
  <c r="B13636" i="2"/>
  <c r="B22270" i="2"/>
  <c r="B414" i="2"/>
  <c r="B12059" i="2"/>
  <c r="B35772" i="2"/>
  <c r="B31517" i="2"/>
  <c r="B11112" i="2"/>
  <c r="B18831" i="2"/>
  <c r="B28361" i="2"/>
  <c r="B27244" i="2"/>
  <c r="B20345" i="2"/>
  <c r="B18137" i="2"/>
  <c r="B12825" i="2"/>
  <c r="B10516" i="2"/>
  <c r="B11265" i="2"/>
  <c r="B27544" i="2"/>
  <c r="B18947" i="2"/>
  <c r="B19082" i="2"/>
  <c r="B12915" i="2"/>
  <c r="B34654" i="2"/>
  <c r="B31032" i="2"/>
  <c r="B27447" i="2"/>
  <c r="B9798" i="2"/>
  <c r="B3976" i="2"/>
  <c r="B30940" i="2"/>
  <c r="B30764" i="2"/>
  <c r="B11187" i="2"/>
  <c r="B19514" i="2"/>
  <c r="B30039" i="2"/>
  <c r="B35641" i="2"/>
  <c r="B7213" i="2"/>
  <c r="B33794" i="2"/>
  <c r="B10415" i="2"/>
  <c r="B7152" i="2"/>
  <c r="B12115" i="2"/>
  <c r="B1524" i="2"/>
  <c r="B29090" i="2"/>
  <c r="B7544" i="2"/>
  <c r="B19605" i="2"/>
  <c r="B28865" i="2"/>
  <c r="B31628" i="2"/>
  <c r="B11288" i="2"/>
  <c r="B23431" i="2"/>
  <c r="B7895" i="2"/>
  <c r="B18797" i="2"/>
  <c r="B9988" i="2"/>
  <c r="B24039" i="2"/>
  <c r="B28930" i="2"/>
  <c r="B13251" i="2"/>
  <c r="B15832" i="2"/>
  <c r="B11977" i="2"/>
  <c r="B34684" i="2"/>
  <c r="B32686" i="2"/>
  <c r="B29934" i="2"/>
  <c r="B1978" i="2"/>
  <c r="B18818" i="2"/>
  <c r="B15286" i="2"/>
  <c r="B4899" i="2"/>
  <c r="B24122" i="2"/>
  <c r="B13333" i="2"/>
  <c r="B33612" i="2"/>
  <c r="B21528" i="2"/>
  <c r="B34974" i="2"/>
  <c r="B12855" i="2"/>
  <c r="B21523" i="2"/>
  <c r="B14057" i="2"/>
  <c r="B8462" i="2"/>
  <c r="B489" i="2"/>
  <c r="B18210" i="2"/>
  <c r="B2351" i="2"/>
  <c r="B17125" i="2"/>
  <c r="B6098" i="2"/>
  <c r="B4680" i="2"/>
  <c r="B4726" i="2"/>
  <c r="B35554" i="2"/>
  <c r="B27887" i="2"/>
  <c r="B32971" i="2"/>
  <c r="B1244" i="2"/>
  <c r="B30564" i="2"/>
  <c r="B31742" i="2"/>
  <c r="B299" i="2"/>
  <c r="B639" i="2"/>
  <c r="B20197" i="2"/>
  <c r="B23080" i="2"/>
  <c r="B20243" i="2"/>
  <c r="B34447" i="2"/>
  <c r="B11887" i="2"/>
  <c r="B3910" i="2"/>
  <c r="B19280" i="2"/>
  <c r="B34875" i="2"/>
  <c r="B33898" i="2"/>
  <c r="B30757" i="2"/>
  <c r="B33728" i="2"/>
  <c r="B14229" i="2"/>
  <c r="B4938" i="2"/>
  <c r="B3715" i="2"/>
  <c r="B763" i="2"/>
  <c r="B32727" i="2"/>
  <c r="B35409" i="2"/>
  <c r="B14602" i="2"/>
  <c r="B8829" i="2"/>
  <c r="B15665" i="2"/>
  <c r="B25626" i="2"/>
  <c r="B25140" i="2"/>
  <c r="B34460" i="2"/>
  <c r="B33839" i="2"/>
  <c r="B30239" i="2"/>
  <c r="B14204" i="2"/>
  <c r="B8485" i="2"/>
  <c r="B33002" i="2"/>
  <c r="B4453" i="2"/>
  <c r="B17227" i="2"/>
  <c r="B12688" i="2"/>
  <c r="B27591" i="2"/>
  <c r="B19557" i="2"/>
  <c r="B6051" i="2"/>
  <c r="B33485" i="2"/>
  <c r="B22643" i="2"/>
  <c r="B29959" i="2"/>
  <c r="B23472" i="2"/>
  <c r="B24063" i="2"/>
  <c r="B31097" i="2"/>
  <c r="B6992" i="2"/>
  <c r="B26669" i="2"/>
  <c r="B15431" i="2"/>
  <c r="B7563" i="2"/>
  <c r="B30790" i="2"/>
  <c r="B8858" i="2"/>
  <c r="B32769" i="2"/>
  <c r="B23064" i="2"/>
  <c r="B29142" i="2"/>
  <c r="B24236" i="2"/>
  <c r="B11551" i="2"/>
  <c r="B21986" i="2"/>
  <c r="B33512" i="2"/>
  <c r="B15122" i="2"/>
  <c r="B11263" i="2"/>
  <c r="B16533" i="2"/>
  <c r="B36303" i="2"/>
  <c r="B19473" i="2"/>
  <c r="B29594" i="2"/>
  <c r="B28532" i="2"/>
  <c r="B2342" i="2"/>
  <c r="B29977" i="2"/>
  <c r="B1308" i="2"/>
  <c r="B19383" i="2"/>
  <c r="B9675" i="2"/>
  <c r="B7422" i="2"/>
  <c r="B35058" i="2"/>
  <c r="B7754" i="2"/>
  <c r="B7063" i="2"/>
  <c r="B29420" i="2"/>
  <c r="B10433" i="2"/>
  <c r="B20862" i="2"/>
  <c r="B22999" i="2"/>
  <c r="B15659" i="2"/>
  <c r="B19145" i="2"/>
  <c r="B24856" i="2"/>
  <c r="B845" i="2"/>
  <c r="B16950" i="2"/>
  <c r="B20999" i="2"/>
  <c r="B449" i="2"/>
  <c r="B1131" i="2"/>
  <c r="B25443" i="2"/>
  <c r="B14670" i="2"/>
  <c r="B5383" i="2"/>
  <c r="B1813" i="2"/>
  <c r="B17283" i="2"/>
  <c r="B9592" i="2"/>
  <c r="B8727" i="2"/>
  <c r="B11573" i="2"/>
  <c r="B25111" i="2"/>
  <c r="B10030" i="2"/>
  <c r="B30959" i="2"/>
  <c r="B16140" i="2"/>
  <c r="B34989" i="2"/>
  <c r="B4219" i="2"/>
  <c r="B32784" i="2"/>
  <c r="B7655" i="2"/>
  <c r="B9584" i="2"/>
  <c r="B23005" i="2"/>
  <c r="B23041" i="2"/>
  <c r="B15422" i="2"/>
  <c r="B22257" i="2"/>
  <c r="B870" i="2"/>
  <c r="B34120" i="2"/>
  <c r="B34750" i="2"/>
  <c r="B14958" i="2"/>
  <c r="B14133" i="2"/>
  <c r="B11818" i="2"/>
  <c r="B16272" i="2"/>
  <c r="B8194" i="2"/>
  <c r="B29067" i="2"/>
  <c r="B11815" i="2"/>
  <c r="B17694" i="2"/>
  <c r="B9733" i="2"/>
  <c r="B3971" i="2"/>
  <c r="B26895" i="2"/>
  <c r="B17651" i="2"/>
  <c r="B19972" i="2"/>
  <c r="B4779" i="2"/>
  <c r="B16384" i="2"/>
  <c r="B28528" i="2"/>
  <c r="B27331" i="2"/>
  <c r="B3900" i="2"/>
  <c r="B22255" i="2"/>
  <c r="B27838" i="2"/>
  <c r="B823" i="2"/>
  <c r="B23763" i="2"/>
  <c r="B25435" i="2"/>
  <c r="B24797" i="2"/>
  <c r="B22111" i="2"/>
  <c r="B6755" i="2"/>
  <c r="B4419" i="2"/>
  <c r="B15770" i="2"/>
  <c r="B12660" i="2"/>
  <c r="B16612" i="2"/>
  <c r="B22975" i="2"/>
  <c r="B33798" i="2"/>
  <c r="B475" i="2"/>
  <c r="B18724" i="2"/>
  <c r="B12983" i="2"/>
  <c r="B4349" i="2"/>
  <c r="B16238" i="2"/>
  <c r="B17835" i="2"/>
  <c r="B19002" i="2"/>
  <c r="B24299" i="2"/>
  <c r="B6048" i="2"/>
  <c r="B33250" i="2"/>
  <c r="B2164" i="2"/>
  <c r="B27314" i="2"/>
  <c r="B10760" i="2"/>
  <c r="B30981" i="2"/>
  <c r="B26382" i="2"/>
  <c r="B29101" i="2"/>
  <c r="B15174" i="2"/>
  <c r="B8132" i="2"/>
  <c r="B29518" i="2"/>
  <c r="B1782" i="2"/>
  <c r="B7711" i="2"/>
  <c r="B10329" i="2"/>
  <c r="B26678" i="2"/>
  <c r="B26688" i="2"/>
  <c r="B14957" i="2"/>
  <c r="B27214" i="2"/>
  <c r="B10509" i="2"/>
  <c r="B14867" i="2"/>
  <c r="B19386" i="2"/>
  <c r="B1299" i="2"/>
  <c r="B34304" i="2"/>
  <c r="B30842" i="2"/>
  <c r="B19046" i="2"/>
  <c r="B20251" i="2"/>
  <c r="B19511" i="2"/>
  <c r="B35582" i="2"/>
  <c r="B15596" i="2"/>
  <c r="B35139" i="2"/>
  <c r="B6903" i="2"/>
  <c r="B6578" i="2"/>
  <c r="B34698" i="2"/>
  <c r="B23084" i="2"/>
  <c r="B25020" i="2"/>
  <c r="B19651" i="2"/>
  <c r="B14798" i="2"/>
  <c r="B14972" i="2"/>
  <c r="B13774" i="2"/>
  <c r="B3787" i="2"/>
  <c r="B19973" i="2"/>
  <c r="B17843" i="2"/>
  <c r="B7038" i="2"/>
  <c r="B29084" i="2"/>
  <c r="B18735" i="2"/>
  <c r="B15748" i="2"/>
  <c r="B27163" i="2"/>
  <c r="B26742" i="2"/>
  <c r="B27792" i="2"/>
  <c r="B8644" i="2"/>
  <c r="B20573" i="2"/>
  <c r="B12694" i="2"/>
  <c r="B12628" i="2"/>
  <c r="B22017" i="2"/>
  <c r="B4527" i="2"/>
  <c r="B18547" i="2"/>
  <c r="B8989" i="2"/>
  <c r="B18527" i="2"/>
  <c r="B21094" i="2"/>
  <c r="B34196" i="2"/>
  <c r="B13521" i="2"/>
  <c r="B33976" i="2"/>
  <c r="B18273" i="2"/>
  <c r="B15863" i="2"/>
  <c r="B34240" i="2"/>
  <c r="B10284" i="2"/>
  <c r="B11148" i="2"/>
  <c r="B13722" i="2"/>
  <c r="B28572" i="2"/>
  <c r="B6080" i="2"/>
  <c r="B31181" i="2"/>
  <c r="B4974" i="2"/>
  <c r="B4607" i="2"/>
  <c r="B19943" i="2"/>
  <c r="B8467" i="2"/>
  <c r="B15075" i="2"/>
  <c r="B1998" i="2"/>
  <c r="B17388" i="2"/>
  <c r="B26537" i="2"/>
  <c r="B12319" i="2"/>
  <c r="B10850" i="2"/>
  <c r="B22562" i="2"/>
  <c r="B23321" i="2"/>
  <c r="B29088" i="2"/>
  <c r="B11154" i="2"/>
  <c r="B6268" i="2"/>
  <c r="B1172" i="2"/>
  <c r="B14178" i="2"/>
  <c r="B8238" i="2"/>
  <c r="B9856" i="2"/>
  <c r="B35549" i="2"/>
  <c r="B878" i="2"/>
  <c r="B16326" i="2"/>
  <c r="B25967" i="2"/>
  <c r="B24721" i="2"/>
  <c r="B16240" i="2"/>
  <c r="B6149" i="2"/>
  <c r="B26923" i="2"/>
  <c r="B14744" i="2"/>
  <c r="B17935" i="2"/>
  <c r="B6562" i="2"/>
  <c r="B30759" i="2"/>
  <c r="B22393" i="2"/>
  <c r="B28027" i="2"/>
  <c r="B8212" i="2"/>
  <c r="B1138" i="2"/>
  <c r="B12286" i="2"/>
  <c r="B9764" i="2"/>
  <c r="B30989" i="2"/>
  <c r="B35947" i="2"/>
  <c r="B9942" i="2"/>
  <c r="B27673" i="2"/>
  <c r="B9356" i="2"/>
  <c r="B25965" i="2"/>
  <c r="B24504" i="2"/>
  <c r="B32198" i="2"/>
  <c r="B11006" i="2"/>
  <c r="B12057" i="2"/>
  <c r="B27205" i="2"/>
  <c r="B13886" i="2"/>
  <c r="B29931" i="2"/>
  <c r="B22835" i="2"/>
  <c r="B28519" i="2"/>
  <c r="B7269" i="2"/>
  <c r="B27976" i="2"/>
  <c r="B10805" i="2"/>
  <c r="B7775" i="2"/>
  <c r="B13642" i="2"/>
  <c r="B30661" i="2"/>
  <c r="B11244" i="2"/>
  <c r="B29831" i="2"/>
  <c r="B32191" i="2"/>
  <c r="B36030" i="2"/>
  <c r="B34065" i="2"/>
  <c r="B19194" i="2"/>
  <c r="B28040" i="2"/>
  <c r="B12791" i="2"/>
  <c r="B3466" i="2"/>
  <c r="B28269" i="2"/>
  <c r="B14139" i="2"/>
  <c r="B4085" i="2"/>
  <c r="B19340" i="2"/>
  <c r="B5782" i="2"/>
  <c r="B14939" i="2"/>
  <c r="B26829" i="2"/>
  <c r="B261" i="2"/>
  <c r="B31422" i="2"/>
  <c r="B21614" i="2"/>
  <c r="B33631" i="2"/>
  <c r="B22187" i="2"/>
  <c r="B18019" i="2"/>
  <c r="B5201" i="2"/>
  <c r="B3111" i="2"/>
  <c r="B131" i="2"/>
  <c r="B17376" i="2"/>
  <c r="B36182" i="2"/>
  <c r="B33190" i="2"/>
  <c r="B20653" i="2"/>
  <c r="B27158" i="2"/>
  <c r="B10672" i="2"/>
  <c r="B28469" i="2"/>
  <c r="B23857" i="2"/>
  <c r="B19517" i="2"/>
  <c r="B5029" i="2"/>
  <c r="B22371" i="2"/>
  <c r="B18513" i="2"/>
  <c r="B11605" i="2"/>
  <c r="B9892" i="2"/>
  <c r="B29656" i="2"/>
  <c r="B31761" i="2"/>
  <c r="B10940" i="2"/>
  <c r="B9848" i="2"/>
  <c r="B21083" i="2"/>
  <c r="B1193" i="2"/>
  <c r="B9142" i="2"/>
  <c r="B3695" i="2"/>
  <c r="B3158" i="2"/>
  <c r="B34458" i="2"/>
  <c r="B3340" i="2"/>
  <c r="B31982" i="2"/>
  <c r="B15150" i="2"/>
  <c r="B2423" i="2"/>
  <c r="B14012" i="2"/>
  <c r="B18427" i="2"/>
  <c r="B20100" i="2"/>
  <c r="B32262" i="2"/>
  <c r="B36167" i="2"/>
  <c r="B29051" i="2"/>
  <c r="B36267" i="2"/>
  <c r="B10959" i="2"/>
  <c r="B28574" i="2"/>
  <c r="B9280" i="2"/>
  <c r="B27476" i="2"/>
  <c r="B9234" i="2"/>
  <c r="B9082" i="2"/>
  <c r="B1795" i="2"/>
  <c r="B12025" i="2"/>
  <c r="B1949" i="2"/>
  <c r="B18151" i="2"/>
  <c r="B12249" i="2"/>
  <c r="B32019" i="2"/>
  <c r="B17181" i="2"/>
  <c r="B2121" i="2"/>
  <c r="B21512" i="2"/>
  <c r="B16575" i="2"/>
  <c r="B13684" i="2"/>
  <c r="B31905" i="2"/>
  <c r="B20947" i="2"/>
  <c r="B15727" i="2"/>
  <c r="B6250" i="2"/>
  <c r="B25824" i="2"/>
  <c r="B887" i="2"/>
  <c r="B24765" i="2"/>
  <c r="B15925" i="2"/>
  <c r="B19425" i="2"/>
  <c r="B23392" i="2"/>
  <c r="B6953" i="2"/>
  <c r="B16768" i="2"/>
  <c r="B23182" i="2"/>
  <c r="B25161" i="2"/>
  <c r="B24683" i="2"/>
  <c r="B22307" i="2"/>
  <c r="B15194" i="2"/>
  <c r="B22092" i="2"/>
  <c r="B26894" i="2"/>
  <c r="B16814" i="2"/>
  <c r="B19090" i="2"/>
  <c r="B22558" i="2"/>
  <c r="B32107" i="2"/>
  <c r="B16161" i="2"/>
  <c r="B2832" i="2"/>
  <c r="B19397" i="2"/>
  <c r="B1956" i="2"/>
  <c r="B15314" i="2"/>
  <c r="B1658" i="2"/>
  <c r="B16105" i="2"/>
  <c r="B3174" i="2"/>
  <c r="B9994" i="2"/>
  <c r="B14512" i="2"/>
  <c r="B610" i="2"/>
  <c r="B8716" i="2"/>
  <c r="B574" i="2"/>
  <c r="B29993" i="2"/>
  <c r="B8779" i="2"/>
  <c r="B24072" i="2"/>
  <c r="B16691" i="2"/>
  <c r="B20549" i="2"/>
  <c r="B5349" i="2"/>
  <c r="B12314" i="2"/>
  <c r="B17224" i="2"/>
  <c r="B12152" i="2"/>
  <c r="B26663" i="2"/>
  <c r="B29948" i="2"/>
  <c r="B28814" i="2"/>
  <c r="B4153" i="2"/>
  <c r="B26826" i="2"/>
  <c r="B27292" i="2"/>
  <c r="B32597" i="2"/>
  <c r="B1889" i="2"/>
  <c r="B23555" i="2"/>
  <c r="B12890" i="2"/>
  <c r="B5580" i="2"/>
  <c r="B18880" i="2"/>
  <c r="B15262" i="2"/>
  <c r="B19388" i="2"/>
  <c r="B18310" i="2"/>
  <c r="B18717" i="2"/>
  <c r="B25619" i="2"/>
  <c r="B34918" i="2"/>
  <c r="B919" i="2"/>
  <c r="B3630" i="2"/>
  <c r="B27603" i="2"/>
  <c r="B32252" i="2"/>
  <c r="B5033" i="2"/>
  <c r="B16891" i="2"/>
  <c r="B30205" i="2"/>
  <c r="B26301" i="2"/>
  <c r="B25502" i="2"/>
  <c r="B14725" i="2"/>
  <c r="B5135" i="2"/>
  <c r="B22342" i="2"/>
  <c r="B6532" i="2"/>
  <c r="B3247" i="2"/>
  <c r="B13985" i="2"/>
  <c r="B29815" i="2"/>
  <c r="B23916" i="2"/>
  <c r="B28311" i="2"/>
  <c r="B18968" i="2"/>
  <c r="B11125" i="2"/>
  <c r="B22642" i="2"/>
  <c r="B1796" i="2"/>
  <c r="B557" i="2"/>
  <c r="B26503" i="2"/>
  <c r="B21056" i="2"/>
  <c r="B26171" i="2"/>
  <c r="B15465" i="2"/>
  <c r="B32586" i="2"/>
  <c r="B23366" i="2"/>
  <c r="B4120" i="2"/>
  <c r="B1924" i="2"/>
  <c r="B25241" i="2"/>
  <c r="B882" i="2"/>
  <c r="B10625" i="2"/>
  <c r="B17611" i="2"/>
  <c r="B20624" i="2"/>
  <c r="B8894" i="2"/>
  <c r="B27806" i="2"/>
  <c r="B30755" i="2"/>
  <c r="B19439" i="2"/>
  <c r="B148" i="2"/>
  <c r="B83" i="2"/>
  <c r="B35485" i="2"/>
  <c r="B34374" i="2"/>
  <c r="B10860" i="2"/>
  <c r="B9863" i="2"/>
  <c r="B1054" i="2"/>
  <c r="B10510" i="2"/>
  <c r="B17944" i="2"/>
  <c r="B28108" i="2"/>
  <c r="B5688" i="2"/>
  <c r="B34266" i="2"/>
  <c r="B24369" i="2"/>
  <c r="B36165" i="2"/>
  <c r="B29942" i="2"/>
  <c r="B27431" i="2"/>
  <c r="B2076" i="2"/>
  <c r="B31469" i="2"/>
  <c r="B18009" i="2"/>
  <c r="B29393" i="2"/>
  <c r="B22315" i="2"/>
  <c r="B12715" i="2"/>
  <c r="B35543" i="2"/>
  <c r="B4828" i="2"/>
  <c r="B23787" i="2"/>
  <c r="B22984" i="2"/>
  <c r="B28667" i="2"/>
  <c r="B13872" i="2"/>
  <c r="B6644" i="2"/>
  <c r="B22108" i="2"/>
  <c r="B6663" i="2"/>
  <c r="B2882" i="2"/>
  <c r="B35707" i="2"/>
  <c r="B20962" i="2"/>
  <c r="B33103" i="2"/>
  <c r="B34498" i="2"/>
  <c r="B24036" i="2"/>
  <c r="B7805" i="2"/>
  <c r="B31933" i="2"/>
  <c r="B13042" i="2"/>
  <c r="B13236" i="2"/>
  <c r="B26060" i="2"/>
  <c r="B36237" i="2"/>
  <c r="B28690" i="2"/>
  <c r="B15035" i="2"/>
  <c r="B29796" i="2"/>
  <c r="B35991" i="2"/>
  <c r="B6732" i="2"/>
  <c r="B5393" i="2"/>
  <c r="B3186" i="2"/>
  <c r="B23034" i="2"/>
  <c r="B18348" i="2"/>
  <c r="B11183" i="2"/>
  <c r="B3143" i="2"/>
  <c r="B10255" i="2"/>
  <c r="B20638" i="2"/>
  <c r="B17426" i="2"/>
  <c r="B4081" i="2"/>
  <c r="B23249" i="2"/>
  <c r="B33125" i="2"/>
  <c r="B25549" i="2"/>
  <c r="B3027" i="2"/>
  <c r="B16671" i="2"/>
  <c r="B34519" i="2"/>
  <c r="B1164" i="2"/>
  <c r="B33817" i="2"/>
  <c r="B4343" i="2"/>
  <c r="B14640" i="2"/>
  <c r="B4323" i="2"/>
  <c r="B32438" i="2"/>
  <c r="B13780" i="2"/>
  <c r="B5235" i="2"/>
  <c r="B28969" i="2"/>
  <c r="B25385" i="2"/>
  <c r="B29859" i="2"/>
  <c r="B35305" i="2"/>
  <c r="B15130" i="2"/>
  <c r="B25186" i="2"/>
  <c r="B25911" i="2"/>
  <c r="B21476" i="2"/>
  <c r="B32278" i="2"/>
  <c r="B925" i="2"/>
  <c r="B6421" i="2"/>
  <c r="B27521" i="2"/>
  <c r="B36141" i="2"/>
  <c r="B4364" i="2"/>
  <c r="B35109" i="2"/>
  <c r="B14496" i="2"/>
  <c r="B30247" i="2"/>
  <c r="B11151" i="2"/>
  <c r="B27972" i="2"/>
  <c r="B19542" i="2"/>
  <c r="B31202" i="2"/>
  <c r="B21626" i="2"/>
  <c r="B27995" i="2"/>
  <c r="B21918" i="2"/>
  <c r="B10788" i="2"/>
  <c r="B33772" i="2"/>
  <c r="B11447" i="2"/>
  <c r="B4586" i="2"/>
  <c r="B20867" i="2"/>
  <c r="B4522" i="2"/>
  <c r="B28837" i="2"/>
  <c r="B33234" i="2"/>
  <c r="B35500" i="2"/>
  <c r="B28772" i="2"/>
  <c r="B16334" i="2"/>
  <c r="B17901" i="2"/>
  <c r="B2811" i="2"/>
  <c r="B11889" i="2"/>
  <c r="B7298" i="2"/>
  <c r="B26065" i="2"/>
  <c r="B21928" i="2"/>
  <c r="B27899" i="2"/>
  <c r="B29186" i="2"/>
  <c r="B14157" i="2"/>
  <c r="B24857" i="2"/>
  <c r="B329" i="2"/>
  <c r="B28158" i="2"/>
  <c r="B21916" i="2"/>
  <c r="B5335" i="2"/>
  <c r="B14141" i="2"/>
  <c r="B22263" i="2"/>
  <c r="B15079" i="2"/>
  <c r="B16118" i="2"/>
  <c r="B10701" i="2"/>
  <c r="B18751" i="2"/>
  <c r="B27218" i="2"/>
  <c r="B23967" i="2"/>
  <c r="B18991" i="2"/>
  <c r="B33617" i="2"/>
  <c r="B32149" i="2"/>
  <c r="B10090" i="2"/>
  <c r="B10919" i="2"/>
  <c r="B22031" i="2"/>
  <c r="B30426" i="2"/>
  <c r="B28502" i="2"/>
  <c r="B13454" i="2"/>
  <c r="B9706" i="2"/>
  <c r="B24890" i="2"/>
  <c r="B25818" i="2"/>
  <c r="B34696" i="2"/>
  <c r="B13423" i="2"/>
  <c r="B16389" i="2"/>
  <c r="B2555" i="2"/>
  <c r="B15285" i="2"/>
  <c r="B17324" i="2"/>
  <c r="B24557" i="2"/>
  <c r="B15998" i="2"/>
  <c r="B23725" i="2"/>
  <c r="B33535" i="2"/>
  <c r="B21152" i="2"/>
  <c r="B32274" i="2"/>
  <c r="B34757" i="2"/>
  <c r="B16971" i="2"/>
  <c r="B2645" i="2"/>
  <c r="B14294" i="2"/>
  <c r="B23677" i="2"/>
  <c r="B24123" i="2"/>
  <c r="B19387" i="2"/>
  <c r="B10613" i="2"/>
  <c r="B35422" i="2"/>
  <c r="B14232" i="2"/>
  <c r="B12106" i="2"/>
  <c r="B20785" i="2"/>
  <c r="B14475" i="2"/>
  <c r="B13003" i="2"/>
  <c r="B27307" i="2"/>
  <c r="B17293" i="2"/>
  <c r="B4753" i="2"/>
  <c r="B7188" i="2"/>
  <c r="B16120" i="2"/>
  <c r="B7927" i="2"/>
  <c r="B5788" i="2"/>
  <c r="B28347" i="2"/>
  <c r="B15301" i="2"/>
  <c r="B4312" i="2"/>
  <c r="B20079" i="2"/>
  <c r="B24634" i="2"/>
  <c r="B17210" i="2"/>
  <c r="B11092" i="2"/>
  <c r="B40" i="2"/>
  <c r="B14200" i="2"/>
  <c r="B27525" i="2"/>
  <c r="B8052" i="2"/>
  <c r="B10572" i="2"/>
  <c r="B11762" i="2"/>
  <c r="B13806" i="2"/>
  <c r="B23610" i="2"/>
  <c r="B23460" i="2"/>
  <c r="B23840" i="2"/>
  <c r="B4146" i="2"/>
  <c r="B33460" i="2"/>
  <c r="B11218" i="2"/>
  <c r="B18806" i="2"/>
  <c r="B7033" i="2"/>
  <c r="B22983" i="2"/>
  <c r="B12354" i="2"/>
  <c r="B19549" i="2"/>
  <c r="B5331" i="2"/>
  <c r="B7220" i="2"/>
  <c r="B26016" i="2"/>
  <c r="B2000" i="2"/>
  <c r="B4981" i="2"/>
  <c r="B35753" i="2"/>
  <c r="B3920" i="2"/>
  <c r="B29862" i="2"/>
  <c r="B30488" i="2"/>
  <c r="B35983" i="2"/>
  <c r="B10449" i="2"/>
  <c r="B26074" i="2"/>
  <c r="B33694" i="2"/>
  <c r="B18392" i="2"/>
  <c r="B3274" i="2"/>
  <c r="B32710" i="2"/>
  <c r="B881" i="2"/>
  <c r="B24347" i="2"/>
  <c r="B6551" i="2"/>
  <c r="B20169" i="2"/>
  <c r="B13914" i="2"/>
  <c r="B16099" i="2"/>
  <c r="B25078" i="2"/>
  <c r="B22196" i="2"/>
  <c r="B26574" i="2"/>
  <c r="B4235" i="2"/>
  <c r="B5150" i="2"/>
  <c r="B25169" i="2"/>
  <c r="B5792" i="2"/>
  <c r="B26029" i="2"/>
  <c r="B22388" i="2"/>
  <c r="B7716" i="2"/>
  <c r="B10651" i="2"/>
  <c r="B21237" i="2"/>
  <c r="B14042" i="2"/>
  <c r="B21390" i="2"/>
  <c r="B5554" i="2"/>
  <c r="B23322" i="2"/>
  <c r="B12986" i="2"/>
  <c r="B16651" i="2"/>
  <c r="B31330" i="2"/>
  <c r="B25387" i="2"/>
  <c r="B17764" i="2"/>
  <c r="B35856" i="2"/>
  <c r="B12257" i="2"/>
  <c r="B28561" i="2"/>
  <c r="B8286" i="2"/>
  <c r="B16155" i="2"/>
  <c r="B15566" i="2"/>
  <c r="B32323" i="2"/>
  <c r="B33825" i="2"/>
  <c r="B25649" i="2"/>
  <c r="B5606" i="2"/>
  <c r="B18422" i="2"/>
  <c r="B28582" i="2"/>
  <c r="B6493" i="2"/>
  <c r="B15270" i="2"/>
  <c r="B16733" i="2"/>
  <c r="B24195" i="2"/>
  <c r="B9052" i="2"/>
  <c r="B10378" i="2"/>
  <c r="B21577" i="2"/>
  <c r="B9166" i="2"/>
  <c r="B25847" i="2"/>
  <c r="B13574" i="2"/>
  <c r="B29945" i="2"/>
  <c r="B10865" i="2"/>
  <c r="B36179" i="2"/>
  <c r="B11105" i="2"/>
  <c r="B10978" i="2"/>
  <c r="B244" i="2"/>
  <c r="B21963" i="2"/>
  <c r="B28714" i="2"/>
  <c r="B26015" i="2"/>
  <c r="B27210" i="2"/>
  <c r="B14997" i="2"/>
  <c r="B3808" i="2"/>
  <c r="B23255" i="2"/>
  <c r="B31501" i="2"/>
  <c r="B6252" i="2"/>
  <c r="B13343" i="2"/>
  <c r="B16774" i="2"/>
  <c r="B23818" i="2"/>
  <c r="B2805" i="2"/>
  <c r="B2285" i="2"/>
  <c r="B18318" i="2"/>
  <c r="B16764" i="2"/>
  <c r="B18953" i="2"/>
  <c r="B20200" i="2"/>
  <c r="B4076" i="2"/>
  <c r="B10467" i="2"/>
  <c r="B28614" i="2"/>
  <c r="B2283" i="2"/>
  <c r="B4004" i="2"/>
  <c r="B9700" i="2"/>
  <c r="B23101" i="2"/>
  <c r="B28706" i="2"/>
  <c r="B29199" i="2"/>
  <c r="B14681" i="2"/>
  <c r="B23068" i="2"/>
  <c r="B16486" i="2"/>
  <c r="B13223" i="2"/>
  <c r="B2611" i="2"/>
  <c r="B1394" i="2"/>
  <c r="B3384" i="2"/>
  <c r="B25330" i="2"/>
  <c r="B8516" i="2"/>
  <c r="B27246" i="2"/>
  <c r="B5225" i="2"/>
  <c r="B35956" i="2"/>
  <c r="B6452" i="2"/>
  <c r="B24104" i="2"/>
  <c r="B18835" i="2"/>
  <c r="B35237" i="2"/>
  <c r="B2232" i="2"/>
  <c r="B12007" i="2"/>
  <c r="B12056" i="2"/>
  <c r="B11496" i="2"/>
  <c r="B28450" i="2"/>
  <c r="B8149" i="2"/>
  <c r="B35382" i="2"/>
  <c r="B3372" i="2"/>
  <c r="B1371" i="2"/>
  <c r="B30212" i="2"/>
  <c r="B664" i="2"/>
  <c r="B35984" i="2"/>
  <c r="B5912" i="2"/>
  <c r="B5786" i="2"/>
  <c r="B31401" i="2"/>
  <c r="B9774" i="2"/>
  <c r="B4034" i="2"/>
  <c r="B9703" i="2"/>
  <c r="B22965" i="2"/>
  <c r="B12" i="2"/>
  <c r="B30217" i="2"/>
  <c r="B486" i="2"/>
  <c r="B29605" i="2"/>
  <c r="B6668" i="2"/>
  <c r="B12652" i="2"/>
  <c r="B29395" i="2"/>
  <c r="B25998" i="2"/>
  <c r="B11008" i="2"/>
  <c r="B3065" i="2"/>
  <c r="B7384" i="2"/>
  <c r="B9140" i="2"/>
  <c r="B16054" i="2"/>
  <c r="B20633" i="2"/>
  <c r="B25355" i="2"/>
  <c r="B2324" i="2"/>
  <c r="B2660" i="2"/>
  <c r="B198" i="2"/>
  <c r="B30097" i="2"/>
  <c r="B32767" i="2"/>
  <c r="B9544" i="2"/>
  <c r="B9478" i="2"/>
  <c r="B30308" i="2"/>
  <c r="B20625" i="2"/>
  <c r="B23075" i="2"/>
  <c r="B11837" i="2"/>
  <c r="B25970" i="2"/>
  <c r="B4142" i="2"/>
  <c r="B4365" i="2"/>
  <c r="B10970" i="2"/>
  <c r="B20023" i="2"/>
  <c r="B4583" i="2"/>
  <c r="B711" i="2"/>
  <c r="B10859" i="2"/>
  <c r="B21593" i="2"/>
  <c r="B24003" i="2"/>
  <c r="B19299" i="2"/>
  <c r="B20732" i="2"/>
  <c r="B3421" i="2"/>
  <c r="B2997" i="2"/>
  <c r="B958" i="2"/>
  <c r="B1212" i="2"/>
  <c r="B16953" i="2"/>
  <c r="B5567" i="2"/>
  <c r="B2894" i="2"/>
  <c r="B33712" i="2"/>
  <c r="B11449" i="2"/>
  <c r="B7966" i="2"/>
  <c r="B28687" i="2"/>
  <c r="B33157" i="2"/>
  <c r="B18825" i="2"/>
  <c r="B470" i="2"/>
  <c r="B17884" i="2"/>
  <c r="B32347" i="2"/>
  <c r="B32388" i="2"/>
  <c r="B13829" i="2"/>
  <c r="B29684" i="2"/>
  <c r="B8660" i="2"/>
  <c r="B9244" i="2"/>
  <c r="B16202" i="2"/>
  <c r="B30819" i="2"/>
  <c r="B35020" i="2"/>
  <c r="B22156" i="2"/>
  <c r="B4432" i="2"/>
  <c r="B24139" i="2"/>
  <c r="B2347" i="2"/>
  <c r="B29340" i="2"/>
  <c r="B11075" i="2"/>
  <c r="B21146" i="2"/>
  <c r="B30898" i="2"/>
  <c r="B30335" i="2"/>
  <c r="B11004" i="2"/>
  <c r="B29995" i="2"/>
  <c r="B14652" i="2"/>
  <c r="B15939" i="2"/>
  <c r="B35682" i="2"/>
  <c r="B27302" i="2"/>
  <c r="B16074" i="2"/>
  <c r="B26415" i="2"/>
  <c r="B11824" i="2"/>
  <c r="B30795" i="2"/>
  <c r="B16227" i="2"/>
  <c r="B34828" i="2"/>
  <c r="B14364" i="2"/>
  <c r="B19269" i="2"/>
  <c r="B24167" i="2"/>
  <c r="B35571" i="2"/>
  <c r="B26549" i="2"/>
  <c r="B12899" i="2"/>
  <c r="B33826" i="2"/>
  <c r="B16858" i="2"/>
  <c r="B33974" i="2"/>
  <c r="B1831" i="2"/>
  <c r="B16511" i="2"/>
  <c r="B9383" i="2"/>
  <c r="B19063" i="2"/>
  <c r="B18121" i="2"/>
  <c r="B608" i="2"/>
  <c r="B23221" i="2"/>
  <c r="B2228" i="2"/>
  <c r="B34282" i="2"/>
  <c r="B18923" i="2"/>
  <c r="B11103" i="2"/>
  <c r="B4020" i="2"/>
  <c r="B24481" i="2"/>
  <c r="B1744" i="2"/>
  <c r="B16333" i="2"/>
  <c r="B28888" i="2"/>
  <c r="B5271" i="2"/>
  <c r="B613" i="2"/>
  <c r="B2768" i="2"/>
  <c r="B19914" i="2"/>
  <c r="B30815" i="2"/>
  <c r="B10652" i="2"/>
  <c r="B35783" i="2"/>
  <c r="B6054" i="2"/>
  <c r="B3891" i="2"/>
  <c r="B20705" i="2"/>
  <c r="B27083" i="2"/>
  <c r="B32373" i="2"/>
  <c r="B26958" i="2"/>
  <c r="B227" i="2"/>
  <c r="B17927" i="2"/>
  <c r="B2169" i="2"/>
  <c r="B15938" i="2"/>
  <c r="B12071" i="2"/>
  <c r="B22982" i="2"/>
  <c r="B4821" i="2"/>
  <c r="B23114" i="2"/>
  <c r="B20698" i="2"/>
  <c r="B15029" i="2"/>
  <c r="B21557" i="2"/>
  <c r="B33594" i="2"/>
  <c r="B17345" i="2"/>
  <c r="B3988" i="2"/>
  <c r="B32533" i="2"/>
  <c r="B29048" i="2"/>
  <c r="B6659" i="2"/>
  <c r="B3691" i="2"/>
  <c r="B30873" i="2"/>
  <c r="B24991" i="2"/>
  <c r="B34464" i="2"/>
  <c r="B21573" i="2"/>
  <c r="B13566" i="2"/>
  <c r="B23308" i="2"/>
  <c r="B8314" i="2"/>
  <c r="B35309" i="2"/>
  <c r="B25275" i="2"/>
  <c r="B25953" i="2"/>
  <c r="B1634" i="2"/>
  <c r="B10464" i="2"/>
  <c r="B18850" i="2"/>
  <c r="B35118" i="2"/>
  <c r="B8842" i="2"/>
  <c r="B16281" i="2"/>
  <c r="B36052" i="2"/>
  <c r="B16720" i="2"/>
  <c r="B6794" i="2"/>
  <c r="B12815" i="2"/>
  <c r="B2543" i="2"/>
  <c r="B9273" i="2"/>
  <c r="B13641" i="2"/>
  <c r="B3268" i="2"/>
  <c r="B14836" i="2"/>
  <c r="B7917" i="2"/>
  <c r="B249" i="2"/>
  <c r="B14891" i="2"/>
  <c r="B31398" i="2"/>
  <c r="B26812" i="2"/>
  <c r="B599" i="2"/>
  <c r="B10039" i="2"/>
  <c r="B22006" i="2"/>
  <c r="B16252" i="2"/>
  <c r="B15006" i="2"/>
  <c r="B5120" i="2"/>
  <c r="B6519" i="2"/>
  <c r="B34690" i="2"/>
  <c r="B18116" i="2"/>
  <c r="B10750" i="2"/>
  <c r="B23831" i="2"/>
  <c r="B35031" i="2"/>
  <c r="B10402" i="2"/>
  <c r="B7657" i="2"/>
  <c r="B29894" i="2"/>
  <c r="B2397" i="2"/>
  <c r="B24630" i="2"/>
  <c r="B28008" i="2"/>
  <c r="B5988" i="2"/>
  <c r="B1812" i="2"/>
  <c r="B23752" i="2"/>
  <c r="B12577" i="2"/>
  <c r="B13426" i="2"/>
  <c r="B16319" i="2"/>
  <c r="B21332" i="2"/>
  <c r="B31078" i="2"/>
  <c r="B11" i="2"/>
  <c r="B1107" i="2"/>
  <c r="B14887" i="2"/>
  <c r="B29230" i="2"/>
  <c r="B30469" i="2"/>
  <c r="B18790" i="2"/>
  <c r="B17379" i="2"/>
  <c r="B15159" i="2"/>
  <c r="B8430" i="2"/>
  <c r="B27099" i="2"/>
  <c r="B17364" i="2"/>
  <c r="B4509" i="2"/>
  <c r="B1385" i="2"/>
  <c r="B12210" i="2"/>
  <c r="B8082" i="2"/>
  <c r="B10484" i="2"/>
  <c r="B7937" i="2"/>
  <c r="B32309" i="2"/>
  <c r="B6461" i="2"/>
  <c r="B11754" i="2"/>
  <c r="B26135" i="2"/>
  <c r="B17538" i="2"/>
  <c r="B19060" i="2"/>
  <c r="B29973" i="2"/>
  <c r="B11217" i="2"/>
  <c r="B35251" i="2"/>
  <c r="B1461" i="2"/>
  <c r="B683" i="2"/>
  <c r="B34047" i="2"/>
  <c r="B25233" i="2"/>
  <c r="B12004" i="2"/>
  <c r="B28534" i="2"/>
  <c r="B918" i="2"/>
  <c r="B3370" i="2"/>
  <c r="B32326" i="2"/>
  <c r="B12728" i="2"/>
  <c r="B32883" i="2"/>
  <c r="B2683" i="2"/>
  <c r="B12935" i="2"/>
  <c r="B1166" i="2"/>
  <c r="B35267" i="2"/>
  <c r="B7604" i="2"/>
  <c r="B34592" i="2"/>
  <c r="B17108" i="2"/>
  <c r="B22392" i="2"/>
  <c r="B12602" i="2"/>
  <c r="B32822" i="2"/>
  <c r="B3265" i="2"/>
  <c r="B16355" i="2"/>
  <c r="B28645" i="2"/>
  <c r="B9944" i="2"/>
  <c r="B10875" i="2"/>
  <c r="B2439" i="2"/>
  <c r="B17463" i="2"/>
  <c r="B14035" i="2"/>
  <c r="B3389" i="2"/>
  <c r="B30988" i="2"/>
  <c r="B21371" i="2"/>
  <c r="B17029" i="2"/>
  <c r="B12497" i="2"/>
  <c r="B35885" i="2"/>
  <c r="B25975" i="2"/>
  <c r="B19907" i="2"/>
  <c r="B4554" i="2"/>
  <c r="B33012" i="2"/>
  <c r="B10631" i="2"/>
  <c r="B31291" i="2"/>
  <c r="B32242" i="2"/>
  <c r="B8180" i="2"/>
  <c r="B22584" i="2"/>
  <c r="B2142" i="2"/>
  <c r="B30165" i="2"/>
  <c r="B20671" i="2"/>
  <c r="B12051" i="2"/>
  <c r="B4037" i="2"/>
  <c r="B7031" i="2"/>
  <c r="B28380" i="2"/>
  <c r="B2177" i="2"/>
  <c r="B1644" i="2"/>
  <c r="B30887" i="2"/>
  <c r="B8521" i="2"/>
  <c r="B3804" i="2"/>
  <c r="B11693" i="2"/>
  <c r="B34404" i="2"/>
  <c r="B1969" i="2"/>
  <c r="B27709" i="2"/>
  <c r="B24113" i="2"/>
  <c r="B20368" i="2"/>
  <c r="B2282" i="2"/>
  <c r="B34098" i="2"/>
  <c r="B2857" i="2"/>
  <c r="B9806" i="2"/>
  <c r="B33723" i="2"/>
  <c r="B34465" i="2"/>
  <c r="B26703" i="2"/>
  <c r="B18774" i="2"/>
  <c r="B32937" i="2"/>
  <c r="B19321" i="2"/>
  <c r="B31705" i="2"/>
  <c r="B19699" i="2"/>
  <c r="B22320" i="2"/>
  <c r="B8057" i="2"/>
  <c r="B578" i="2"/>
  <c r="B21245" i="2"/>
  <c r="B13352" i="2"/>
  <c r="B8116" i="2"/>
  <c r="B21756" i="2"/>
  <c r="B10902" i="2"/>
  <c r="B18712" i="2"/>
  <c r="B19461" i="2"/>
  <c r="B6385" i="2"/>
  <c r="B17998" i="2"/>
  <c r="B16637" i="2"/>
  <c r="B2497" i="2"/>
  <c r="B26218" i="2"/>
  <c r="B36315" i="2"/>
  <c r="B32461" i="2"/>
  <c r="B8584" i="2"/>
  <c r="B27879" i="2"/>
  <c r="B20602" i="2"/>
  <c r="B35437" i="2"/>
  <c r="B20020" i="2"/>
  <c r="B31500" i="2"/>
  <c r="B5504" i="2"/>
  <c r="B4379" i="2"/>
  <c r="B27726" i="2"/>
  <c r="B12456" i="2"/>
  <c r="B24467" i="2"/>
  <c r="B29324" i="2"/>
  <c r="B9954" i="2"/>
  <c r="B26005" i="2"/>
  <c r="B26267" i="2"/>
  <c r="B24388" i="2"/>
  <c r="B12364" i="2"/>
  <c r="B34031" i="2"/>
  <c r="B28965" i="2"/>
  <c r="B11601" i="2"/>
  <c r="B17006" i="2"/>
  <c r="B5157" i="2"/>
  <c r="B3683" i="2"/>
  <c r="B24898" i="2"/>
  <c r="B7393" i="2"/>
  <c r="B20672" i="2"/>
  <c r="B11421" i="2"/>
  <c r="B6378" i="2"/>
  <c r="B23380" i="2"/>
  <c r="B15145" i="2"/>
  <c r="B17208" i="2"/>
  <c r="B10444" i="2"/>
  <c r="B22703" i="2"/>
  <c r="B29990" i="2"/>
  <c r="B10202" i="2"/>
  <c r="B1373" i="2"/>
  <c r="B27813" i="2"/>
  <c r="B26137" i="2"/>
  <c r="B12454" i="2"/>
  <c r="B20517" i="2"/>
  <c r="B22308" i="2"/>
  <c r="B16647" i="2"/>
  <c r="B11984" i="2"/>
  <c r="B25959" i="2"/>
  <c r="B1078" i="2"/>
  <c r="B12781" i="2"/>
  <c r="B10734" i="2"/>
  <c r="B33042" i="2"/>
  <c r="B34419" i="2"/>
  <c r="B28621" i="2"/>
  <c r="B18841" i="2"/>
  <c r="B19527" i="2"/>
  <c r="B17576" i="2"/>
  <c r="B13560" i="2"/>
  <c r="B30022" i="2"/>
  <c r="B20365" i="2"/>
  <c r="B19172" i="2"/>
  <c r="B25500" i="2"/>
  <c r="B21556" i="2"/>
  <c r="B26539" i="2"/>
  <c r="B15591" i="2"/>
  <c r="B7440" i="2"/>
  <c r="B31553" i="2"/>
  <c r="B22181" i="2"/>
  <c r="B25219" i="2"/>
  <c r="B4391" i="2"/>
  <c r="B11536" i="2"/>
  <c r="B18501" i="2"/>
  <c r="B30042" i="2"/>
  <c r="B12974" i="2"/>
  <c r="B31205" i="2"/>
  <c r="B26980" i="2"/>
  <c r="B21045" i="2"/>
  <c r="B34693" i="2"/>
  <c r="B8416" i="2"/>
  <c r="B22014" i="2"/>
  <c r="B29538" i="2"/>
  <c r="B11882" i="2"/>
  <c r="B19396" i="2"/>
  <c r="B10452" i="2"/>
  <c r="B20076" i="2"/>
  <c r="B33342" i="2"/>
  <c r="B30187" i="2"/>
  <c r="B12033" i="2"/>
  <c r="B19779" i="2"/>
  <c r="B13760" i="2"/>
  <c r="B194" i="2"/>
  <c r="B8776" i="2"/>
  <c r="B25685" i="2"/>
  <c r="B18984" i="2"/>
  <c r="B1977" i="2"/>
  <c r="B29734" i="2"/>
  <c r="B4506" i="2"/>
  <c r="B494" i="2"/>
  <c r="B30746" i="2"/>
  <c r="B36160" i="2"/>
  <c r="B17888" i="2"/>
  <c r="B1925" i="2"/>
  <c r="B5774" i="2"/>
  <c r="B31014" i="2"/>
  <c r="B25548" i="2"/>
  <c r="B21293" i="2"/>
  <c r="B16961" i="2"/>
  <c r="B27266" i="2"/>
  <c r="B12553" i="2"/>
  <c r="B13513" i="2"/>
  <c r="B28555" i="2"/>
  <c r="B12976" i="2"/>
  <c r="B29728" i="2"/>
  <c r="B12586" i="2"/>
  <c r="B13895" i="2"/>
  <c r="B16426" i="2"/>
  <c r="B9367" i="2"/>
  <c r="B10104" i="2"/>
  <c r="B25083" i="2"/>
  <c r="B22089" i="2"/>
  <c r="B17637" i="2"/>
  <c r="B18844" i="2"/>
  <c r="B11842" i="2"/>
  <c r="B29460" i="2"/>
  <c r="B5465" i="2"/>
  <c r="B3251" i="2"/>
  <c r="B24132" i="2"/>
  <c r="B18296" i="2"/>
  <c r="B22793" i="2"/>
  <c r="B210" i="2"/>
  <c r="B74" i="2"/>
  <c r="B9775" i="2"/>
  <c r="B32888" i="2"/>
  <c r="B4403" i="2"/>
  <c r="B26231" i="2"/>
  <c r="B31061" i="2"/>
  <c r="B18838" i="2"/>
  <c r="B25117" i="2"/>
  <c r="B8190" i="2"/>
  <c r="B1235" i="2"/>
  <c r="B30627" i="2"/>
  <c r="B27534" i="2"/>
  <c r="B18049" i="2"/>
  <c r="B27118" i="2"/>
  <c r="B5724" i="2"/>
  <c r="B32203" i="2"/>
  <c r="B17144" i="2"/>
  <c r="B4335" i="2"/>
  <c r="B3418" i="2"/>
  <c r="B94" i="2"/>
  <c r="B27559" i="2"/>
  <c r="B27294" i="2"/>
  <c r="B9473" i="2"/>
  <c r="B24525" i="2"/>
  <c r="B6337" i="2"/>
  <c r="B1325" i="2"/>
  <c r="B25529" i="2"/>
  <c r="B24808" i="2"/>
  <c r="B28760" i="2"/>
  <c r="B1376" i="2"/>
  <c r="B3289" i="2"/>
  <c r="B26191" i="2"/>
  <c r="B2447" i="2"/>
  <c r="B21991" i="2"/>
  <c r="B7056" i="2"/>
  <c r="B22150" i="2"/>
  <c r="B18561" i="2"/>
  <c r="B9686" i="2"/>
  <c r="B27435" i="2"/>
  <c r="B17393" i="2"/>
  <c r="B8665" i="2"/>
  <c r="B28144" i="2"/>
  <c r="B9607" i="2"/>
  <c r="B12145" i="2"/>
  <c r="B12871" i="2"/>
  <c r="B1005" i="2"/>
  <c r="B32543" i="2"/>
  <c r="B1559" i="2"/>
  <c r="B12387" i="2"/>
  <c r="B26031" i="2"/>
  <c r="B33880" i="2"/>
  <c r="B31184" i="2"/>
  <c r="B27748" i="2"/>
  <c r="B9908" i="2"/>
  <c r="B12511" i="2"/>
  <c r="B26090" i="2"/>
  <c r="B5595" i="2"/>
  <c r="B17894" i="2"/>
  <c r="B11908" i="2"/>
  <c r="B26038" i="2"/>
  <c r="B10898" i="2"/>
  <c r="B23890" i="2"/>
  <c r="B18305" i="2"/>
  <c r="B23110" i="2"/>
  <c r="B13152" i="2"/>
  <c r="B32922" i="2"/>
  <c r="B9272" i="2"/>
  <c r="B20823" i="2"/>
  <c r="B9042" i="2"/>
  <c r="B12679" i="2"/>
  <c r="B11016" i="2"/>
  <c r="B1028" i="2"/>
  <c r="B4985" i="2"/>
  <c r="B16039" i="2"/>
  <c r="B11677" i="2"/>
  <c r="B21890" i="2"/>
  <c r="B17439" i="2"/>
  <c r="B9421" i="2"/>
  <c r="B12649" i="2"/>
  <c r="B21810" i="2"/>
  <c r="B30487" i="2"/>
  <c r="B30306" i="2"/>
  <c r="B30504" i="2"/>
  <c r="B27269" i="2"/>
  <c r="B15341" i="2"/>
  <c r="B28575" i="2"/>
  <c r="B14469" i="2"/>
  <c r="B7879" i="2"/>
  <c r="B16635" i="2"/>
  <c r="B6826" i="2"/>
  <c r="B30905" i="2"/>
  <c r="B19805" i="2"/>
  <c r="B27646" i="2"/>
  <c r="B23811" i="2"/>
  <c r="B1952" i="2"/>
  <c r="B33663" i="2"/>
  <c r="B12941" i="2"/>
  <c r="B28928" i="2"/>
  <c r="B11443" i="2"/>
  <c r="B1621" i="2"/>
  <c r="B898" i="2"/>
  <c r="B26158" i="2"/>
  <c r="B20683" i="2"/>
  <c r="B13735" i="2"/>
  <c r="B16346" i="2"/>
  <c r="B14218" i="2"/>
  <c r="B17816" i="2"/>
  <c r="B35871" i="2"/>
  <c r="B20320" i="2"/>
  <c r="B30462" i="2"/>
  <c r="B34565" i="2"/>
  <c r="B13665" i="2"/>
  <c r="B17981" i="2"/>
  <c r="B20505" i="2"/>
  <c r="B33018" i="2"/>
  <c r="B16488" i="2"/>
  <c r="B26604" i="2"/>
  <c r="B10176" i="2"/>
  <c r="B34305" i="2"/>
  <c r="B30296" i="2"/>
  <c r="B22905" i="2"/>
  <c r="B29492" i="2"/>
  <c r="B21343" i="2"/>
  <c r="B21688" i="2"/>
  <c r="B5203" i="2"/>
  <c r="B6990" i="2"/>
  <c r="B16428" i="2"/>
  <c r="B27516" i="2"/>
  <c r="B15162" i="2"/>
  <c r="B30268" i="2"/>
  <c r="B12646" i="2"/>
  <c r="B5661" i="2"/>
  <c r="B25826" i="2"/>
  <c r="B25805" i="2"/>
  <c r="B29982" i="2"/>
  <c r="B34637" i="2"/>
  <c r="B27629" i="2"/>
  <c r="B22195" i="2"/>
  <c r="B23062" i="2"/>
  <c r="B29206" i="2"/>
  <c r="B31125" i="2"/>
  <c r="B18535" i="2"/>
  <c r="B15540" i="2"/>
  <c r="B18316" i="2"/>
  <c r="B15355" i="2"/>
  <c r="B29663" i="2"/>
  <c r="B32163" i="2"/>
  <c r="B27861" i="2"/>
  <c r="B1130" i="2"/>
  <c r="B21455" i="2"/>
  <c r="B20182" i="2"/>
  <c r="B18719" i="2"/>
  <c r="B18555" i="2"/>
  <c r="B18202" i="2"/>
  <c r="B8179" i="2"/>
  <c r="B27511" i="2"/>
  <c r="B4576" i="2"/>
  <c r="B29968" i="2"/>
  <c r="B33469" i="2"/>
  <c r="B13842" i="2"/>
  <c r="B28797" i="2"/>
  <c r="B26935" i="2"/>
  <c r="B1471" i="2"/>
  <c r="B808" i="2"/>
  <c r="B14751" i="2"/>
  <c r="B9629" i="2"/>
  <c r="B12470" i="2"/>
  <c r="B32591" i="2"/>
  <c r="B6079" i="2"/>
  <c r="B1444" i="2"/>
  <c r="B11030" i="2"/>
  <c r="B13154" i="2"/>
  <c r="B18957" i="2"/>
  <c r="B28466" i="2"/>
  <c r="B1841" i="2"/>
  <c r="B1606" i="2"/>
  <c r="B20902" i="2"/>
  <c r="B28414" i="2"/>
  <c r="B21066" i="2"/>
  <c r="B2333" i="2"/>
  <c r="B16680" i="2"/>
  <c r="B30847" i="2"/>
  <c r="B3653" i="2"/>
  <c r="B27934" i="2"/>
  <c r="B10379" i="2"/>
  <c r="B18963" i="2"/>
  <c r="B33857" i="2"/>
  <c r="B18896" i="2"/>
  <c r="B7367" i="2"/>
  <c r="B9820" i="2"/>
  <c r="B27715" i="2"/>
  <c r="B13810" i="2"/>
  <c r="B34175" i="2"/>
  <c r="B11446" i="2"/>
  <c r="B34449" i="2"/>
  <c r="B28755" i="2"/>
  <c r="B2870" i="2"/>
  <c r="B25941" i="2"/>
  <c r="B28544" i="2"/>
  <c r="B561" i="2"/>
  <c r="B6839" i="2"/>
  <c r="B455" i="2"/>
  <c r="B30471" i="2"/>
  <c r="B34955" i="2"/>
  <c r="B35922" i="2"/>
  <c r="B32435" i="2"/>
  <c r="B25150" i="2"/>
  <c r="B20091" i="2"/>
  <c r="B17294" i="2"/>
  <c r="B20801" i="2"/>
  <c r="B28338" i="2"/>
  <c r="B22127" i="2"/>
  <c r="B685" i="2"/>
  <c r="B36020" i="2"/>
  <c r="B34383" i="2"/>
  <c r="B34742" i="2"/>
  <c r="B22738" i="2"/>
  <c r="B15808" i="2"/>
  <c r="B36298" i="2"/>
  <c r="B17381" i="2"/>
  <c r="B12632" i="2"/>
  <c r="B31141" i="2"/>
  <c r="B1847" i="2"/>
  <c r="B10758" i="2"/>
  <c r="B11324" i="2"/>
  <c r="B21693" i="2"/>
  <c r="B6766" i="2"/>
  <c r="B4889" i="2"/>
  <c r="B4911" i="2"/>
  <c r="B30295" i="2"/>
  <c r="B20138" i="2"/>
  <c r="B31978" i="2"/>
  <c r="B33805" i="2"/>
  <c r="B7744" i="2"/>
  <c r="B5979" i="2"/>
  <c r="B1240" i="2"/>
  <c r="B17793" i="2"/>
  <c r="B12001" i="2"/>
  <c r="B30297" i="2"/>
  <c r="B16947" i="2"/>
  <c r="B8524" i="2"/>
  <c r="B20909" i="2"/>
  <c r="B14849" i="2"/>
  <c r="B15331" i="2"/>
  <c r="B10662" i="2"/>
  <c r="B9821" i="2"/>
  <c r="B32094" i="2"/>
  <c r="B19312" i="2"/>
  <c r="B20986" i="2"/>
  <c r="B24392" i="2"/>
  <c r="B16585" i="2"/>
  <c r="B29817" i="2"/>
  <c r="B33313" i="2"/>
  <c r="B32004" i="2"/>
  <c r="B33198" i="2"/>
  <c r="B17738" i="2"/>
  <c r="B3966" i="2"/>
  <c r="B9572" i="2"/>
  <c r="B14907" i="2"/>
  <c r="B14145" i="2"/>
  <c r="B24203" i="2"/>
  <c r="B30552" i="2"/>
  <c r="B20803" i="2"/>
  <c r="B9028" i="2"/>
  <c r="B5535" i="2"/>
  <c r="B35162" i="2"/>
  <c r="B7519" i="2"/>
  <c r="B11002" i="2"/>
  <c r="B32819" i="2"/>
  <c r="B24535" i="2"/>
  <c r="B16614" i="2"/>
  <c r="B32181" i="2"/>
  <c r="B31791" i="2"/>
  <c r="B1483" i="2"/>
  <c r="B16742" i="2"/>
  <c r="B26391" i="2"/>
  <c r="B27449" i="2"/>
  <c r="B13754" i="2"/>
  <c r="B17427" i="2"/>
  <c r="B22069" i="2"/>
  <c r="B32667" i="2"/>
  <c r="B9024" i="2"/>
  <c r="B13358" i="2"/>
  <c r="B30830" i="2"/>
  <c r="B20688" i="2"/>
  <c r="B20335" i="2"/>
  <c r="B22752" i="2"/>
  <c r="B7156" i="2"/>
  <c r="B16763" i="2"/>
  <c r="B4306" i="2"/>
  <c r="B32357" i="2"/>
  <c r="B8878" i="2"/>
  <c r="B2173" i="2"/>
  <c r="B32285" i="2"/>
  <c r="B20857" i="2"/>
  <c r="B421" i="2"/>
  <c r="B16" i="2"/>
  <c r="B6507" i="2"/>
  <c r="B27825" i="2"/>
  <c r="B17297" i="2"/>
  <c r="B30144" i="2"/>
  <c r="B35389" i="2"/>
  <c r="B25244" i="2"/>
  <c r="B8895" i="2"/>
  <c r="B33905" i="2"/>
  <c r="B6791" i="2"/>
  <c r="B11651" i="2"/>
  <c r="B29452" i="2"/>
  <c r="B19521" i="2"/>
  <c r="B13124" i="2"/>
  <c r="B24987" i="2"/>
  <c r="B18517" i="2"/>
  <c r="B28023" i="2"/>
  <c r="B16332" i="2"/>
  <c r="B10082" i="2"/>
  <c r="B493" i="2"/>
  <c r="B19164" i="2"/>
  <c r="B931" i="2"/>
  <c r="B20761" i="2"/>
  <c r="B30854" i="2"/>
  <c r="B28442" i="2"/>
  <c r="B18251" i="2"/>
  <c r="B28376" i="2"/>
  <c r="B13650" i="2"/>
  <c r="B7195" i="2"/>
  <c r="B26367" i="2"/>
  <c r="B21881" i="2"/>
  <c r="B9824" i="2"/>
  <c r="B18940" i="2"/>
  <c r="B19548" i="2"/>
  <c r="B26249" i="2"/>
  <c r="B1958" i="2"/>
  <c r="B16405" i="2"/>
  <c r="B19199" i="2"/>
  <c r="B11260" i="2"/>
  <c r="B3408" i="2"/>
  <c r="B34200" i="2"/>
  <c r="B29456" i="2"/>
  <c r="B1520" i="2"/>
  <c r="B27316" i="2"/>
  <c r="B7184" i="2"/>
  <c r="B17499" i="2"/>
  <c r="B21699" i="2"/>
  <c r="B1027" i="2"/>
  <c r="B13448" i="2"/>
  <c r="B29633" i="2"/>
  <c r="B12490" i="2"/>
  <c r="B18759" i="2"/>
  <c r="B20498" i="2"/>
  <c r="B10335" i="2"/>
  <c r="B273" i="2"/>
  <c r="B1081" i="2"/>
  <c r="B18708" i="2"/>
  <c r="B13532" i="2"/>
  <c r="B30614" i="2"/>
  <c r="B5102" i="2"/>
  <c r="B30773" i="2"/>
  <c r="B34439" i="2"/>
  <c r="B13366" i="2"/>
  <c r="B29031" i="2"/>
  <c r="B16462" i="2"/>
  <c r="B11036" i="2"/>
  <c r="B24495" i="2"/>
  <c r="B13617" i="2"/>
  <c r="B30067" i="2"/>
  <c r="B26739" i="2"/>
  <c r="B24536" i="2"/>
  <c r="B14786" i="2"/>
  <c r="B27148" i="2"/>
  <c r="B35286" i="2"/>
  <c r="B15117" i="2"/>
  <c r="B28335" i="2"/>
  <c r="B23299" i="2"/>
  <c r="B31023" i="2"/>
  <c r="B20539" i="2"/>
  <c r="B15970" i="2"/>
  <c r="B1472" i="2"/>
  <c r="B5015" i="2"/>
  <c r="B29950" i="2"/>
  <c r="B11426" i="2"/>
  <c r="B30710" i="2"/>
  <c r="B31606" i="2"/>
  <c r="B29020" i="2"/>
  <c r="B16175" i="2"/>
  <c r="B17721" i="2"/>
  <c r="B26852" i="2"/>
  <c r="B20201" i="2"/>
  <c r="B20582" i="2"/>
  <c r="B17466" i="2"/>
  <c r="B23298" i="2"/>
  <c r="B16339" i="2"/>
  <c r="B21656" i="2"/>
  <c r="B4047" i="2"/>
  <c r="B33549" i="2"/>
  <c r="B27630" i="2"/>
  <c r="B27256" i="2"/>
  <c r="B12539" i="2"/>
  <c r="B29829" i="2"/>
  <c r="B3081" i="2"/>
  <c r="B21870" i="2"/>
  <c r="B28843" i="2"/>
  <c r="B20820" i="2"/>
  <c r="B13981" i="2"/>
  <c r="B23663" i="2"/>
  <c r="B4998" i="2"/>
  <c r="B10576" i="2"/>
  <c r="B32368" i="2"/>
  <c r="B27402" i="2"/>
  <c r="B1383" i="2"/>
  <c r="B29130" i="2"/>
  <c r="B23524" i="2"/>
  <c r="B15530" i="2"/>
  <c r="B16631" i="2"/>
  <c r="B4482" i="2"/>
  <c r="B10849" i="2"/>
  <c r="B28301" i="2"/>
  <c r="B16726" i="2"/>
  <c r="B28300" i="2"/>
  <c r="B19793" i="2"/>
  <c r="B15656" i="2"/>
  <c r="B34507" i="2"/>
  <c r="B15982" i="2"/>
  <c r="B21966" i="2"/>
  <c r="B22898" i="2"/>
  <c r="B28834" i="2"/>
  <c r="B25165" i="2"/>
  <c r="B9334" i="2"/>
  <c r="B18602" i="2"/>
  <c r="B32213" i="2"/>
  <c r="B14329" i="2"/>
  <c r="B18652" i="2"/>
  <c r="B12708" i="2"/>
  <c r="B31655" i="2"/>
  <c r="B30973" i="2"/>
  <c r="B1518" i="2"/>
  <c r="B3367" i="2"/>
  <c r="B1755" i="2"/>
  <c r="B17236" i="2"/>
  <c r="B28446" i="2"/>
  <c r="B20074" i="2"/>
  <c r="B12881" i="2"/>
  <c r="B7781" i="2"/>
  <c r="B14167" i="2"/>
  <c r="B22863" i="2"/>
  <c r="B25717" i="2"/>
  <c r="B852" i="2"/>
  <c r="B16868" i="2"/>
  <c r="B18840" i="2"/>
  <c r="B8952" i="2"/>
  <c r="B10001" i="2"/>
  <c r="B5315" i="2"/>
  <c r="B3870" i="2"/>
  <c r="B16066" i="2"/>
  <c r="B28274" i="2"/>
  <c r="B35343" i="2"/>
  <c r="B21029" i="2"/>
  <c r="B30208" i="2"/>
  <c r="B5110" i="2"/>
  <c r="B24986" i="2"/>
  <c r="B24877" i="2"/>
  <c r="B14287" i="2"/>
  <c r="B12939" i="2"/>
  <c r="B26554" i="2"/>
  <c r="B26550" i="2"/>
  <c r="B21785" i="2"/>
  <c r="B14570" i="2"/>
  <c r="B4297" i="2"/>
  <c r="B10595" i="2"/>
  <c r="B7610" i="2"/>
  <c r="B1753" i="2"/>
  <c r="B26244" i="2"/>
  <c r="B20441" i="2"/>
  <c r="B18902" i="2"/>
  <c r="B9623" i="2"/>
  <c r="B4040" i="2"/>
  <c r="B19881" i="2"/>
  <c r="B28063" i="2"/>
  <c r="B11912" i="2"/>
  <c r="B22338" i="2"/>
  <c r="B17973" i="2"/>
  <c r="B27098" i="2"/>
  <c r="B29527" i="2"/>
  <c r="B21106" i="2"/>
  <c r="B20031" i="2"/>
  <c r="B36283" i="2"/>
  <c r="B1833" i="2"/>
  <c r="B955" i="2"/>
  <c r="B21659" i="2"/>
  <c r="B876" i="2"/>
  <c r="B14409" i="2"/>
  <c r="B26297" i="2"/>
  <c r="B22868" i="2"/>
  <c r="B20513" i="2"/>
  <c r="B16736" i="2"/>
  <c r="B24407" i="2"/>
  <c r="B18142" i="2"/>
  <c r="B20277" i="2"/>
  <c r="B4129" i="2"/>
  <c r="B23312" i="2"/>
  <c r="B15692" i="2"/>
  <c r="B10028" i="2"/>
  <c r="B9778" i="2"/>
  <c r="B18641" i="2"/>
  <c r="B10603" i="2"/>
  <c r="B24172" i="2"/>
  <c r="B2383" i="2"/>
  <c r="B28098" i="2"/>
  <c r="B18753" i="2"/>
  <c r="B14327" i="2"/>
  <c r="B4200" i="2"/>
  <c r="B29783" i="2"/>
  <c r="B12398" i="2"/>
  <c r="B14358" i="2"/>
  <c r="B25590" i="2"/>
  <c r="B35353" i="2"/>
  <c r="B29266" i="2"/>
  <c r="B23529" i="2"/>
  <c r="B10137" i="2"/>
  <c r="B12648" i="2"/>
  <c r="B29540" i="2"/>
  <c r="B11104" i="2"/>
  <c r="B27971" i="2"/>
  <c r="B24996" i="2"/>
  <c r="B30016" i="2"/>
  <c r="B16885" i="2"/>
  <c r="B35362" i="2"/>
  <c r="B22399" i="2"/>
  <c r="B15397" i="2"/>
  <c r="B30023" i="2"/>
  <c r="B3949" i="2"/>
  <c r="B2770" i="2"/>
  <c r="B1531" i="2"/>
  <c r="B27621" i="2"/>
  <c r="B22384" i="2"/>
  <c r="B35364" i="2"/>
  <c r="B32450" i="2"/>
  <c r="B4227" i="2"/>
  <c r="B1588" i="2"/>
  <c r="B9608" i="2"/>
  <c r="B34679" i="2"/>
  <c r="B35669" i="2"/>
  <c r="B8620" i="2"/>
  <c r="B10420" i="2"/>
  <c r="B8975" i="2"/>
  <c r="B21461" i="2"/>
  <c r="B16520" i="2"/>
  <c r="B34235" i="2"/>
  <c r="B6297" i="2"/>
  <c r="B14608" i="2"/>
  <c r="B9245" i="2"/>
  <c r="B18360" i="2"/>
  <c r="B9734" i="2"/>
  <c r="B11034" i="2"/>
  <c r="B3557" i="2"/>
  <c r="B18492" i="2"/>
  <c r="B17682" i="2"/>
  <c r="B21131" i="2"/>
  <c r="B28515" i="2"/>
  <c r="B6132" i="2"/>
  <c r="B1840" i="2"/>
  <c r="B31669" i="2"/>
  <c r="B13078" i="2"/>
  <c r="B15459" i="2"/>
  <c r="B3890" i="2"/>
  <c r="B24331" i="2"/>
  <c r="B10417" i="2"/>
  <c r="B30311" i="2"/>
  <c r="B4891" i="2"/>
  <c r="B22784" i="2"/>
  <c r="B7420" i="2"/>
  <c r="B4747" i="2"/>
  <c r="B16542" i="2"/>
  <c r="B26043" i="2"/>
  <c r="B16055" i="2"/>
  <c r="B17232" i="2"/>
  <c r="B18674" i="2"/>
  <c r="B11720" i="2"/>
  <c r="B30134" i="2"/>
  <c r="B6504" i="2"/>
  <c r="B23665" i="2"/>
  <c r="B6921" i="2"/>
  <c r="B23013" i="2"/>
  <c r="B34019" i="2"/>
  <c r="B33461" i="2"/>
  <c r="B3255" i="2"/>
  <c r="B9197" i="2"/>
  <c r="B9317" i="2"/>
  <c r="B20042" i="2"/>
  <c r="B10341" i="2"/>
  <c r="B35952" i="2"/>
  <c r="B11790" i="2"/>
  <c r="B29282" i="2"/>
  <c r="B13054" i="2"/>
  <c r="B20642" i="2"/>
  <c r="B34143" i="2"/>
  <c r="B22065" i="2"/>
  <c r="B27957" i="2"/>
  <c r="B9850" i="2"/>
  <c r="B32023" i="2"/>
  <c r="B23945" i="2"/>
  <c r="B29008" i="2"/>
  <c r="B16341" i="2"/>
  <c r="B19980" i="2"/>
  <c r="B2013" i="2"/>
  <c r="B34095" i="2"/>
  <c r="B13475" i="2"/>
  <c r="B29486" i="2"/>
  <c r="B3841" i="2"/>
  <c r="B17474" i="2"/>
  <c r="B26317" i="2"/>
  <c r="B31456" i="2"/>
  <c r="B33863" i="2"/>
  <c r="B2503" i="2"/>
  <c r="B13536" i="2"/>
  <c r="B1437" i="2"/>
  <c r="B2145" i="2"/>
  <c r="B14464" i="2"/>
  <c r="B3063" i="2"/>
  <c r="B9971" i="2"/>
  <c r="B15507" i="2"/>
  <c r="B1898" i="2"/>
  <c r="B29938" i="2"/>
  <c r="B31248" i="2"/>
  <c r="B30750" i="2"/>
  <c r="B30915" i="2"/>
  <c r="B26068" i="2"/>
  <c r="B4538" i="2"/>
  <c r="B34379" i="2"/>
  <c r="B18179" i="2"/>
  <c r="B17920" i="2"/>
  <c r="B24156" i="2"/>
  <c r="B2884" i="2"/>
  <c r="B22995" i="2"/>
  <c r="B28777" i="2"/>
  <c r="B9683" i="2"/>
  <c r="B2502" i="2"/>
  <c r="B429" i="2"/>
  <c r="B13271" i="2"/>
  <c r="B1428" i="2"/>
  <c r="B20967" i="2"/>
  <c r="B21384" i="2"/>
  <c r="B1522" i="2"/>
  <c r="B32835" i="2"/>
  <c r="B34816" i="2"/>
  <c r="B35648" i="2"/>
  <c r="B21198" i="2"/>
  <c r="B21402" i="2"/>
  <c r="B12217" i="2"/>
  <c r="B18807" i="2"/>
  <c r="B6977" i="2"/>
  <c r="B8934" i="2"/>
  <c r="B14119" i="2"/>
  <c r="B27109" i="2"/>
  <c r="B6991" i="2"/>
  <c r="B288" i="2"/>
  <c r="B32786" i="2"/>
  <c r="B14072" i="2"/>
  <c r="B29752" i="2"/>
  <c r="B18234" i="2"/>
  <c r="B32927" i="2"/>
  <c r="B34239" i="2"/>
  <c r="B19962" i="2"/>
  <c r="B7238" i="2"/>
  <c r="B27910" i="2"/>
  <c r="B670" i="2"/>
  <c r="B5770" i="2"/>
  <c r="B19478" i="2"/>
  <c r="B25785" i="2"/>
  <c r="B30731" i="2"/>
  <c r="B6403" i="2"/>
  <c r="B16194" i="2"/>
  <c r="B2112" i="2"/>
  <c r="B3091" i="2"/>
  <c r="B16162" i="2"/>
  <c r="B26865" i="2"/>
  <c r="B15362" i="2"/>
  <c r="B15254" i="2"/>
  <c r="B16755" i="2"/>
  <c r="B22401" i="2"/>
  <c r="B11038" i="2"/>
  <c r="B1665" i="2"/>
  <c r="B30996" i="2"/>
  <c r="B7236" i="2"/>
  <c r="B8718" i="2"/>
  <c r="B5693" i="2"/>
  <c r="B9642" i="2"/>
  <c r="B28876" i="2"/>
  <c r="B24285" i="2"/>
  <c r="B23164" i="2"/>
  <c r="B23218" i="2"/>
  <c r="B28140" i="2"/>
  <c r="B14404" i="2"/>
  <c r="B35290" i="2"/>
  <c r="B8274" i="2"/>
  <c r="B18682" i="2"/>
  <c r="B35542" i="2"/>
  <c r="B32210" i="2"/>
  <c r="B28184" i="2"/>
  <c r="B31345" i="2"/>
  <c r="B28478" i="2"/>
  <c r="B10854" i="2"/>
  <c r="B21605" i="2"/>
  <c r="B25766" i="2"/>
  <c r="B9978" i="2"/>
  <c r="B15989" i="2"/>
  <c r="B7484" i="2"/>
  <c r="B18842" i="2"/>
  <c r="B30092" i="2"/>
  <c r="B10089" i="2"/>
  <c r="B22705" i="2"/>
  <c r="B17593" i="2"/>
  <c r="B20053" i="2"/>
  <c r="B9674" i="2"/>
  <c r="B35040" i="2"/>
  <c r="B7833" i="2"/>
  <c r="B6088" i="2"/>
  <c r="B112" i="2"/>
  <c r="B31798" i="2"/>
  <c r="B19632" i="2"/>
  <c r="B12442" i="2"/>
  <c r="B21014" i="2"/>
  <c r="B8850" i="2"/>
  <c r="B8144" i="2"/>
  <c r="B35208" i="2"/>
  <c r="B16540" i="2"/>
  <c r="B23815" i="2"/>
  <c r="B23476" i="2"/>
  <c r="B14350" i="2"/>
  <c r="B19100" i="2"/>
  <c r="B20370" i="2"/>
  <c r="B16863" i="2"/>
  <c r="B21401" i="2"/>
  <c r="B20838" i="2"/>
  <c r="B20595" i="2"/>
  <c r="B17100" i="2"/>
  <c r="B34992" i="2"/>
  <c r="B6866" i="2"/>
  <c r="B34965" i="2"/>
  <c r="B22372" i="2"/>
  <c r="B17725" i="2"/>
  <c r="B15779" i="2"/>
  <c r="B26212" i="2"/>
  <c r="B3873" i="2"/>
  <c r="B15548" i="2"/>
  <c r="B31299" i="2"/>
  <c r="B26966" i="2"/>
  <c r="B998" i="2"/>
  <c r="B27407" i="2"/>
  <c r="B2598" i="2"/>
  <c r="B10794" i="2"/>
  <c r="B6809" i="2"/>
  <c r="B10864" i="2"/>
  <c r="B22146" i="2"/>
  <c r="B26009" i="2"/>
  <c r="B8784" i="2"/>
  <c r="B31267" i="2"/>
  <c r="B35073" i="2"/>
  <c r="B22488" i="2"/>
  <c r="B9796" i="2"/>
  <c r="B10410" i="2"/>
  <c r="B17760" i="2"/>
  <c r="B35982" i="2"/>
  <c r="B32414" i="2"/>
  <c r="B20685" i="2"/>
  <c r="B17169" i="2"/>
  <c r="B30073" i="2"/>
  <c r="B28039" i="2"/>
  <c r="B32333" i="2"/>
  <c r="B32805" i="2"/>
  <c r="B35479" i="2"/>
  <c r="B35184" i="2"/>
  <c r="B20095" i="2"/>
  <c r="B19832" i="2"/>
  <c r="B20677" i="2"/>
  <c r="B10956" i="2"/>
  <c r="B3445" i="2"/>
  <c r="B27226" i="2"/>
  <c r="B33876" i="2"/>
  <c r="B27165" i="2"/>
  <c r="B8827" i="2"/>
  <c r="B23510" i="2"/>
  <c r="B16738" i="2"/>
  <c r="B10900" i="2"/>
  <c r="B1495" i="2"/>
  <c r="B33769" i="2"/>
  <c r="B21363" i="2"/>
  <c r="B15391" i="2"/>
  <c r="B21877" i="2"/>
  <c r="B13231" i="2"/>
  <c r="B19226" i="2"/>
  <c r="B21551" i="2"/>
  <c r="B4809" i="2"/>
  <c r="B15247" i="2"/>
  <c r="B1351" i="2"/>
  <c r="B19130" i="2"/>
  <c r="B14638" i="2"/>
  <c r="B28258" i="2"/>
  <c r="B5789" i="2"/>
  <c r="B13179" i="2"/>
  <c r="B22188" i="2"/>
  <c r="B32521" i="2"/>
  <c r="B19777" i="2"/>
  <c r="B18812" i="2"/>
  <c r="B11548" i="2"/>
  <c r="B18444" i="2"/>
  <c r="B1869" i="2"/>
  <c r="B27441" i="2"/>
  <c r="B36054" i="2"/>
  <c r="B26485" i="2"/>
  <c r="B2935" i="2"/>
  <c r="B14372" i="2"/>
  <c r="B21663" i="2"/>
  <c r="B4842" i="2"/>
  <c r="B32266" i="2"/>
  <c r="B700" i="2"/>
  <c r="B17312" i="2"/>
  <c r="B24700" i="2"/>
  <c r="B12505" i="2"/>
  <c r="B21837" i="2"/>
  <c r="B4668" i="2"/>
  <c r="B26788" i="2"/>
  <c r="B34145" i="2"/>
  <c r="B26928" i="2"/>
  <c r="B21934" i="2"/>
  <c r="B5705" i="2"/>
  <c r="B14515" i="2"/>
  <c r="B17099" i="2"/>
  <c r="B34295" i="2"/>
  <c r="B12450" i="2"/>
  <c r="B26825" i="2"/>
  <c r="B1344" i="2"/>
  <c r="B19809" i="2"/>
  <c r="B10249" i="2"/>
  <c r="B17242" i="2"/>
  <c r="B10889" i="2"/>
  <c r="B15883" i="2"/>
  <c r="B25812" i="2"/>
  <c r="B7446" i="2"/>
  <c r="B7810" i="2"/>
  <c r="B8494" i="2"/>
  <c r="B14679" i="2"/>
  <c r="B4357" i="2"/>
  <c r="B7369" i="2"/>
  <c r="B117" i="2"/>
  <c r="B22581" i="2"/>
  <c r="B3140" i="2"/>
  <c r="B33666" i="2"/>
  <c r="B18369" i="2"/>
  <c r="B1094" i="2"/>
  <c r="B29919" i="2"/>
  <c r="B15999" i="2"/>
  <c r="B8546" i="2"/>
  <c r="B19290" i="2"/>
  <c r="B21346" i="2"/>
  <c r="B22469" i="2"/>
  <c r="B23418" i="2"/>
  <c r="B11323" i="2"/>
  <c r="B4102" i="2"/>
  <c r="B17472" i="2"/>
  <c r="B21879" i="2"/>
  <c r="B16104" i="2"/>
  <c r="B392" i="2"/>
  <c r="B34204" i="2"/>
  <c r="B4077" i="2"/>
  <c r="B6187" i="2"/>
  <c r="B35625" i="2"/>
  <c r="B13038" i="2"/>
  <c r="B27289" i="2"/>
  <c r="B12197" i="2"/>
  <c r="B16852" i="2"/>
  <c r="B7057" i="2"/>
  <c r="B24307" i="2"/>
  <c r="B31012" i="2"/>
  <c r="B32466" i="2"/>
  <c r="B26250" i="2"/>
  <c r="B31977" i="2"/>
  <c r="B24743" i="2"/>
  <c r="B24834" i="2"/>
  <c r="B12938" i="2"/>
  <c r="B8464" i="2"/>
  <c r="B19098" i="2"/>
  <c r="B27088" i="2"/>
  <c r="B29127" i="2"/>
  <c r="B16314" i="2"/>
  <c r="B9375" i="2"/>
  <c r="B34004" i="2"/>
  <c r="B32768" i="2"/>
  <c r="B28012" i="2"/>
  <c r="B36007" i="2"/>
  <c r="B15310" i="2"/>
  <c r="B36356" i="2"/>
  <c r="B36242" i="2"/>
  <c r="B17937" i="2"/>
  <c r="B26557" i="2"/>
  <c r="B904" i="2"/>
  <c r="B18919" i="2"/>
  <c r="B12203" i="2"/>
  <c r="B30131" i="2"/>
  <c r="B24278" i="2"/>
  <c r="B4907" i="2"/>
  <c r="B24920" i="2"/>
  <c r="B18780" i="2"/>
  <c r="B18161" i="2"/>
  <c r="B29091" i="2"/>
  <c r="B8220" i="2"/>
  <c r="B9906" i="2"/>
  <c r="B29211" i="2"/>
  <c r="B15260" i="2"/>
  <c r="B5250" i="2"/>
  <c r="B88" i="2"/>
  <c r="B26843" i="2"/>
  <c r="B26908" i="2"/>
  <c r="B15769" i="2"/>
  <c r="B13699" i="2"/>
  <c r="B27489" i="2"/>
  <c r="B11537" i="2"/>
  <c r="B830" i="2"/>
  <c r="B6114" i="2"/>
  <c r="B20959" i="2"/>
  <c r="B2824" i="2"/>
  <c r="B9141" i="2"/>
  <c r="B17056" i="2"/>
  <c r="B2435" i="2"/>
  <c r="B10532" i="2"/>
  <c r="B34675" i="2"/>
  <c r="B3950" i="2"/>
  <c r="B15087" i="2"/>
  <c r="B28281" i="2"/>
  <c r="B35052" i="2"/>
  <c r="B21854" i="2"/>
  <c r="B15279" i="2"/>
  <c r="B6067" i="2"/>
  <c r="B28153" i="2"/>
  <c r="B23676" i="2"/>
  <c r="B22158" i="2"/>
  <c r="B6110" i="2"/>
  <c r="B11367" i="2"/>
  <c r="B41" i="2"/>
  <c r="B16516" i="2"/>
  <c r="B8792" i="2"/>
  <c r="B24607" i="2"/>
  <c r="B13635" i="2"/>
  <c r="B10326" i="2"/>
  <c r="B1082" i="2"/>
  <c r="B450" i="2"/>
  <c r="B22719" i="2"/>
  <c r="B18119" i="2"/>
  <c r="B5569" i="2"/>
  <c r="B25774" i="2"/>
  <c r="B13006" i="2"/>
  <c r="B9180" i="2"/>
  <c r="B19862" i="2"/>
  <c r="B15485" i="2"/>
  <c r="B33665" i="2"/>
  <c r="B4334" i="2"/>
  <c r="B1375" i="2"/>
  <c r="B19122" i="2"/>
  <c r="B24336" i="2"/>
  <c r="B26087" i="2"/>
  <c r="B17259" i="2"/>
  <c r="B32619" i="2"/>
  <c r="B5236" i="2"/>
  <c r="B26378" i="2"/>
  <c r="B5018" i="2"/>
  <c r="B16849" i="2"/>
  <c r="B13759" i="2"/>
  <c r="B22365" i="2"/>
  <c r="B12422" i="2"/>
  <c r="B2835" i="2"/>
  <c r="B35440" i="2"/>
  <c r="B913" i="2"/>
  <c r="B35564" i="2"/>
  <c r="B28809" i="2"/>
  <c r="B13086" i="2"/>
  <c r="B13422" i="2"/>
  <c r="B36255" i="2"/>
  <c r="B8593" i="2"/>
  <c r="B19509" i="2"/>
  <c r="B6128" i="2"/>
  <c r="B12772" i="2"/>
  <c r="B5017" i="2"/>
  <c r="B33146" i="2"/>
  <c r="B17492" i="2"/>
  <c r="B10837" i="2"/>
  <c r="B1757" i="2"/>
  <c r="B11442" i="2"/>
  <c r="B9962" i="2"/>
  <c r="B19349" i="2"/>
  <c r="B6130" i="2"/>
  <c r="B10346" i="2"/>
  <c r="B29222" i="2"/>
  <c r="B18610" i="2"/>
  <c r="B2377" i="2"/>
  <c r="B22190" i="2"/>
  <c r="B17780" i="2"/>
  <c r="B28352" i="2"/>
  <c r="B1690" i="2"/>
  <c r="B23346" i="2"/>
  <c r="B33786" i="2"/>
  <c r="B35769" i="2"/>
  <c r="B35363" i="2"/>
  <c r="B10679" i="2"/>
  <c r="B29635" i="2"/>
  <c r="B12437" i="2"/>
  <c r="B11638" i="2"/>
  <c r="B13031" i="2"/>
  <c r="B30227" i="2"/>
  <c r="B35735" i="2"/>
  <c r="B32549" i="2"/>
  <c r="B27211" i="2"/>
  <c r="B11077" i="2"/>
  <c r="B4534" i="2"/>
  <c r="B25450" i="2"/>
  <c r="B25427" i="2"/>
  <c r="B28688" i="2"/>
  <c r="B5430" i="2"/>
  <c r="B19159" i="2"/>
  <c r="B26265" i="2"/>
  <c r="B1662" i="2"/>
  <c r="B565" i="2"/>
  <c r="B1329" i="2"/>
  <c r="B5129" i="2"/>
  <c r="B20284" i="2"/>
  <c r="B31740" i="2"/>
  <c r="B1915" i="2"/>
  <c r="B22279" i="2"/>
  <c r="B29219" i="2"/>
  <c r="B32576" i="2"/>
  <c r="B35411" i="2"/>
  <c r="B23975" i="2"/>
  <c r="B14140" i="2"/>
  <c r="B7229" i="2"/>
  <c r="B4197" i="2"/>
  <c r="B423" i="2"/>
  <c r="B2151" i="2"/>
  <c r="B4579" i="2"/>
  <c r="B2297" i="2"/>
  <c r="B14090" i="2"/>
  <c r="B1482" i="2"/>
  <c r="B1811" i="2"/>
  <c r="B13184" i="2"/>
  <c r="B6786" i="2"/>
  <c r="B4935" i="2"/>
  <c r="B27627" i="2"/>
  <c r="B22765" i="2"/>
  <c r="B9959" i="2"/>
  <c r="B14215" i="2"/>
  <c r="B14632" i="2"/>
  <c r="B12543" i="2"/>
  <c r="B9531" i="2"/>
  <c r="B17441" i="2"/>
  <c r="B21805" i="2"/>
  <c r="B33263" i="2"/>
  <c r="B8818" i="2"/>
  <c r="B10236" i="2"/>
  <c r="B11897" i="2"/>
  <c r="B34677" i="2"/>
  <c r="B3984" i="2"/>
  <c r="B13033" i="2"/>
  <c r="B3392" i="2"/>
  <c r="B14034" i="2"/>
  <c r="B32842" i="2"/>
  <c r="B4993" i="2"/>
  <c r="B35133" i="2"/>
  <c r="B28401" i="2"/>
  <c r="B19005" i="2"/>
  <c r="B23385" i="2"/>
  <c r="B31499" i="2"/>
  <c r="B5382" i="2"/>
  <c r="B16098" i="2"/>
  <c r="B11395" i="2"/>
  <c r="B22261" i="2"/>
  <c r="B7717" i="2"/>
  <c r="B15670" i="2"/>
  <c r="B17404" i="2"/>
  <c r="B20459" i="2"/>
  <c r="B1195" i="2"/>
  <c r="B21301" i="2"/>
  <c r="B12138" i="2"/>
  <c r="B13952" i="2"/>
  <c r="B17669" i="2"/>
  <c r="B26454" i="2"/>
  <c r="B590" i="2"/>
  <c r="B10694" i="2"/>
  <c r="B27644" i="2"/>
  <c r="B3703" i="2"/>
  <c r="B34635" i="2"/>
  <c r="B13987" i="2"/>
  <c r="B27764" i="2"/>
  <c r="B14451" i="2"/>
  <c r="B23071" i="2"/>
  <c r="B12062" i="2"/>
  <c r="B34573" i="2"/>
  <c r="B20439" i="2"/>
  <c r="B36373" i="2"/>
  <c r="B20977" i="2"/>
  <c r="B25437" i="2"/>
  <c r="B5222" i="2"/>
  <c r="B35055" i="2"/>
  <c r="B35339" i="2"/>
  <c r="B8901" i="2"/>
  <c r="B32538" i="2"/>
  <c r="B10505" i="2"/>
  <c r="B35935" i="2"/>
  <c r="B6777" i="2"/>
  <c r="B2878" i="2"/>
  <c r="B15229" i="2"/>
  <c r="B10421" i="2"/>
  <c r="B11409" i="2"/>
  <c r="B21369" i="2"/>
  <c r="B34824" i="2"/>
  <c r="B34171" i="2"/>
  <c r="B14690" i="2"/>
  <c r="B16128" i="2"/>
  <c r="B16908" i="2"/>
  <c r="B20512" i="2"/>
  <c r="B35291" i="2"/>
  <c r="B3970" i="2"/>
  <c r="B30029" i="2"/>
  <c r="B32374" i="2"/>
  <c r="B12052" i="2"/>
  <c r="B21290" i="2"/>
  <c r="B31135" i="2"/>
  <c r="B12990" i="2"/>
  <c r="B15934" i="2"/>
  <c r="B3533" i="2"/>
  <c r="B21098" i="2"/>
  <c r="B22591" i="2"/>
  <c r="B10640" i="2"/>
  <c r="B33984" i="2"/>
  <c r="B14403" i="2"/>
  <c r="B21397" i="2"/>
  <c r="B33692" i="2"/>
  <c r="B27491" i="2"/>
  <c r="B8761" i="2"/>
  <c r="B20102" i="2"/>
  <c r="B1826" i="2"/>
  <c r="B29732" i="2"/>
  <c r="B23553" i="2"/>
  <c r="B32698" i="2"/>
  <c r="B16564" i="2"/>
  <c r="B13440" i="2"/>
  <c r="B22434" i="2"/>
  <c r="B8808" i="2"/>
  <c r="B13239" i="2"/>
  <c r="B22318" i="2"/>
  <c r="B15715" i="2"/>
  <c r="B11672" i="2"/>
  <c r="B27440" i="2"/>
  <c r="B15440" i="2"/>
  <c r="B27283" i="2"/>
  <c r="B569" i="2"/>
  <c r="B23993" i="2"/>
  <c r="B28500" i="2"/>
  <c r="B28816" i="2"/>
  <c r="B729" i="2"/>
  <c r="B33869" i="2"/>
  <c r="B25969" i="2"/>
  <c r="B25079" i="2"/>
  <c r="B34140" i="2"/>
  <c r="B8" i="2"/>
  <c r="B25539" i="2"/>
  <c r="B26580" i="2"/>
  <c r="B20592" i="2"/>
  <c r="B35161" i="2"/>
  <c r="B29889" i="2"/>
  <c r="B152" i="2"/>
  <c r="B8130" i="2"/>
  <c r="B12631" i="2"/>
  <c r="B7835" i="2"/>
  <c r="B35774" i="2"/>
  <c r="B20174" i="2"/>
  <c r="B121" i="2"/>
  <c r="B33879" i="2"/>
  <c r="B7649" i="2"/>
  <c r="B27858" i="2"/>
  <c r="B22073" i="2"/>
  <c r="B11023" i="2"/>
  <c r="B29285" i="2"/>
  <c r="B18358" i="2"/>
  <c r="B26447" i="2"/>
  <c r="B4645" i="2"/>
  <c r="B26754" i="2"/>
  <c r="B2157" i="2"/>
  <c r="B9518" i="2"/>
  <c r="B15215" i="2"/>
  <c r="B19277" i="2"/>
  <c r="B8821" i="2"/>
  <c r="B21179" i="2"/>
  <c r="B27463" i="2"/>
  <c r="B31494" i="2"/>
  <c r="B5205" i="2"/>
  <c r="B26733" i="2"/>
  <c r="B36321" i="2"/>
  <c r="B29137" i="2"/>
  <c r="B11418" i="2"/>
  <c r="B27906" i="2"/>
  <c r="B31826" i="2"/>
  <c r="B31153" i="2"/>
  <c r="B17788" i="2"/>
  <c r="B18632" i="2"/>
  <c r="B11372" i="2"/>
  <c r="B24479" i="2"/>
  <c r="B35318" i="2"/>
  <c r="B5303" i="2"/>
  <c r="B25949" i="2"/>
  <c r="B10340" i="2"/>
  <c r="B759" i="2"/>
  <c r="B35456" i="2"/>
  <c r="B22377" i="2"/>
  <c r="B5969" i="2"/>
  <c r="B33442" i="2"/>
  <c r="B14397" i="2"/>
  <c r="B13948" i="2"/>
  <c r="B7337" i="2"/>
  <c r="B34491" i="2"/>
  <c r="B4678" i="2"/>
  <c r="B11933" i="2"/>
  <c r="B6518" i="2"/>
  <c r="B8137" i="2"/>
  <c r="B32662" i="2"/>
  <c r="B34223" i="2"/>
  <c r="B25905" i="2"/>
  <c r="B1459" i="2"/>
  <c r="B14014" i="2"/>
  <c r="B28345" i="2"/>
  <c r="B13551" i="2"/>
  <c r="B21438" i="2"/>
  <c r="B1026" i="2"/>
  <c r="B34973" i="2"/>
  <c r="B25643" i="2"/>
  <c r="B18796" i="2"/>
  <c r="B29344" i="2"/>
  <c r="B16195" i="2"/>
  <c r="B8983" i="2"/>
  <c r="B987" i="2"/>
  <c r="B27815" i="2"/>
  <c r="B16413" i="2"/>
  <c r="B33699" i="2"/>
  <c r="B9155" i="2"/>
  <c r="B24007" i="2"/>
  <c r="B44" i="2"/>
  <c r="B1629" i="2"/>
  <c r="B2395" i="2"/>
  <c r="B5293" i="2"/>
  <c r="B2850" i="2"/>
  <c r="B26333" i="2"/>
  <c r="B7204" i="2"/>
  <c r="B10368" i="2"/>
  <c r="B31" i="2"/>
  <c r="B5582" i="2"/>
  <c r="B28752" i="2"/>
  <c r="B18658" i="2"/>
  <c r="B2038" i="2"/>
  <c r="B32011" i="2"/>
  <c r="B26545" i="2"/>
  <c r="B19942" i="2"/>
  <c r="B18486" i="2"/>
  <c r="B14815" i="2"/>
  <c r="B25677" i="2"/>
  <c r="B12770" i="2"/>
  <c r="B18122" i="2"/>
  <c r="B23297" i="2"/>
  <c r="B19059" i="2"/>
  <c r="B29207" i="2"/>
  <c r="B15529" i="2"/>
  <c r="B13175" i="2"/>
  <c r="B2441" i="2"/>
  <c r="B30141" i="2"/>
  <c r="B5221" i="2"/>
  <c r="B6207" i="2"/>
  <c r="B19123" i="2"/>
  <c r="B20273" i="2"/>
  <c r="B6037" i="2"/>
  <c r="B24604" i="2"/>
  <c r="B9348" i="2"/>
  <c r="B15724" i="2"/>
  <c r="B30956" i="2"/>
  <c r="B27278" i="2"/>
  <c r="B16023" i="2"/>
  <c r="B959" i="2"/>
  <c r="B11834" i="2"/>
  <c r="B21903" i="2"/>
  <c r="B32644" i="2"/>
  <c r="B20515" i="2"/>
  <c r="B32899" i="2"/>
  <c r="B18127" i="2"/>
  <c r="B14722" i="2"/>
  <c r="B7772" i="2"/>
  <c r="B29246" i="2"/>
  <c r="B10087" i="2"/>
  <c r="B28694" i="2"/>
  <c r="B30078" i="2"/>
  <c r="B18534" i="2"/>
  <c r="B3645" i="2"/>
  <c r="B15016" i="2"/>
  <c r="B15557" i="2"/>
  <c r="B1050" i="2"/>
  <c r="B11396" i="2"/>
  <c r="B29840" i="2"/>
  <c r="B36258" i="2"/>
  <c r="B17399" i="2"/>
  <c r="B13580" i="2"/>
  <c r="B28657" i="2"/>
  <c r="B4455" i="2"/>
  <c r="B21499" i="2"/>
  <c r="B17551" i="2"/>
  <c r="B18580" i="2"/>
  <c r="B33724" i="2"/>
  <c r="B28648" i="2"/>
  <c r="B10757" i="2"/>
  <c r="B27510" i="2"/>
  <c r="B15375" i="2"/>
  <c r="B12743" i="2"/>
  <c r="B8911" i="2"/>
  <c r="B32378" i="2"/>
  <c r="B36254" i="2"/>
  <c r="B20690" i="2"/>
  <c r="B15051" i="2"/>
  <c r="B20832" i="2"/>
  <c r="B12673" i="2"/>
  <c r="B15933" i="2"/>
  <c r="B20864" i="2"/>
  <c r="B16903" i="2"/>
  <c r="B23266" i="2"/>
  <c r="B9373" i="2"/>
  <c r="B21779" i="2"/>
  <c r="B11626" i="2"/>
  <c r="B34526" i="2"/>
  <c r="B4884" i="2"/>
  <c r="B26146" i="2"/>
  <c r="B35092" i="2"/>
  <c r="B18710" i="2"/>
  <c r="B12944" i="2"/>
  <c r="B19448" i="2"/>
  <c r="B21366" i="2"/>
  <c r="B31883" i="2"/>
  <c r="B14524" i="2"/>
  <c r="B34613" i="2"/>
  <c r="B18713" i="2"/>
  <c r="B4792" i="2"/>
  <c r="B33088" i="2"/>
  <c r="B28742" i="2"/>
  <c r="B20615" i="2"/>
  <c r="B4015" i="2"/>
  <c r="B28651" i="2"/>
  <c r="B6558" i="2"/>
  <c r="B23397" i="2"/>
  <c r="B30204" i="2"/>
  <c r="B2638" i="2"/>
  <c r="B14310" i="2"/>
  <c r="B247" i="2"/>
  <c r="B16444" i="2"/>
  <c r="B18799" i="2"/>
  <c r="B27260" i="2"/>
  <c r="B2230" i="2"/>
  <c r="B15211" i="2"/>
  <c r="B19073" i="2"/>
  <c r="B7110" i="2"/>
  <c r="B20749" i="2"/>
  <c r="B9371" i="2"/>
  <c r="B24124" i="2"/>
  <c r="B16708" i="2"/>
  <c r="B12808" i="2"/>
  <c r="B15046" i="2"/>
  <c r="B11706" i="2"/>
  <c r="B9032" i="2"/>
  <c r="B1624" i="2"/>
  <c r="B14190" i="2"/>
  <c r="B32993" i="2"/>
  <c r="B30836" i="2"/>
  <c r="B1246" i="2"/>
  <c r="B13691" i="2"/>
  <c r="B2279" i="2"/>
  <c r="B20283" i="2"/>
  <c r="B33004" i="2"/>
  <c r="B34740" i="2"/>
  <c r="B24758" i="2"/>
  <c r="B18391" i="2"/>
  <c r="B21395" i="2"/>
  <c r="B17504" i="2"/>
  <c r="B28725" i="2"/>
  <c r="B4336" i="2"/>
  <c r="B12302" i="2"/>
  <c r="B31822" i="2"/>
  <c r="B25861" i="2"/>
  <c r="B20108" i="2"/>
  <c r="B6295" i="2"/>
  <c r="B1205" i="2"/>
  <c r="B24675" i="2"/>
  <c r="B6476" i="2"/>
  <c r="B10411" i="2"/>
  <c r="B32161" i="2"/>
  <c r="B20362" i="2"/>
  <c r="B938" i="2"/>
  <c r="B10560" i="2"/>
  <c r="B22816" i="2"/>
  <c r="B12892" i="2"/>
  <c r="B3517" i="2"/>
  <c r="B6246" i="2"/>
  <c r="B32399" i="2"/>
  <c r="B8573" i="2"/>
  <c r="B19498" i="2"/>
  <c r="B25699" i="2"/>
  <c r="B27456" i="2"/>
  <c r="B1167" i="2"/>
  <c r="B1631" i="2"/>
  <c r="B11501" i="2"/>
  <c r="B2181" i="2"/>
  <c r="B29318" i="2"/>
  <c r="B9484" i="2"/>
  <c r="B11698" i="2"/>
  <c r="B32496" i="2"/>
  <c r="B26243" i="2"/>
  <c r="B20448" i="2"/>
  <c r="B7502" i="2"/>
  <c r="B35520" i="2"/>
  <c r="B3456" i="2"/>
  <c r="B22305" i="2"/>
  <c r="B1158" i="2"/>
  <c r="B12067" i="2"/>
  <c r="B29855" i="2"/>
  <c r="B11450" i="2"/>
  <c r="B3930" i="2"/>
  <c r="B19251" i="2"/>
  <c r="B17993" i="2"/>
  <c r="B25400" i="2"/>
  <c r="B28912" i="2"/>
  <c r="B21484" i="2"/>
  <c r="B35082" i="2"/>
  <c r="B1776" i="2"/>
  <c r="B25132" i="2"/>
  <c r="B23692" i="2"/>
  <c r="B16853" i="2"/>
  <c r="B348" i="2"/>
  <c r="B5951" i="2"/>
  <c r="B29032" i="2"/>
  <c r="B7391" i="2"/>
  <c r="B28412" i="2"/>
  <c r="B17550" i="2"/>
  <c r="B12271" i="2"/>
  <c r="B12335" i="2"/>
  <c r="B30321" i="2"/>
  <c r="B1941" i="2"/>
  <c r="B18354" i="2"/>
  <c r="B23535" i="2"/>
  <c r="B15960" i="2"/>
  <c r="B12160" i="2"/>
  <c r="B14763" i="2"/>
  <c r="B16580" i="2"/>
  <c r="B16522" i="2"/>
  <c r="B35177" i="2"/>
  <c r="B12994" i="2"/>
  <c r="B15022" i="2"/>
  <c r="B8074" i="2"/>
  <c r="B32569" i="2"/>
  <c r="B30225" i="2"/>
  <c r="B32061" i="2"/>
  <c r="B23207" i="2"/>
  <c r="B10893" i="2"/>
  <c r="B24426" i="2"/>
  <c r="B4028" i="2"/>
  <c r="B25415" i="2"/>
  <c r="B19899" i="2"/>
  <c r="B24033" i="2"/>
  <c r="B24967" i="2"/>
  <c r="B19816" i="2"/>
  <c r="B8781" i="2"/>
  <c r="B11349" i="2"/>
  <c r="B16636" i="2"/>
  <c r="B23318" i="2"/>
  <c r="B291" i="2"/>
  <c r="B21467" i="2"/>
  <c r="B15716" i="2"/>
  <c r="B15793" i="2"/>
  <c r="B11668" i="2"/>
  <c r="B8480" i="2"/>
  <c r="B35047" i="2"/>
  <c r="B20915" i="2"/>
  <c r="B1443" i="2"/>
  <c r="B24741" i="2"/>
  <c r="B19104" i="2"/>
  <c r="B18775" i="2"/>
  <c r="B35600" i="2"/>
  <c r="B20183" i="2"/>
  <c r="B243" i="2"/>
  <c r="B35833" i="2"/>
  <c r="B24635" i="2"/>
  <c r="B8786" i="2"/>
  <c r="B11223" i="2"/>
  <c r="B19399" i="2"/>
  <c r="B929" i="2"/>
  <c r="B23352" i="2"/>
  <c r="B30191" i="2"/>
  <c r="B13922" i="2"/>
  <c r="B4154" i="2"/>
  <c r="B1184" i="2"/>
  <c r="B19977" i="2"/>
  <c r="B35874" i="2"/>
  <c r="B13971" i="2"/>
  <c r="B21670" i="2"/>
  <c r="B19427" i="2"/>
  <c r="B5370" i="2"/>
  <c r="B8129" i="2"/>
  <c r="B14799" i="2"/>
  <c r="B30290" i="2"/>
  <c r="B31684" i="2"/>
  <c r="B802" i="2"/>
  <c r="B22664" i="2"/>
  <c r="B27834" i="2"/>
  <c r="B20331" i="2"/>
  <c r="B10841" i="2"/>
  <c r="B1048" i="2"/>
  <c r="B24984" i="2"/>
  <c r="B26024" i="2"/>
  <c r="B28602" i="2"/>
  <c r="B31397" i="2"/>
  <c r="B16664" i="2"/>
  <c r="B18743" i="2"/>
  <c r="B36155" i="2"/>
  <c r="B9055" i="2"/>
  <c r="B8890" i="2"/>
  <c r="B3797" i="2"/>
  <c r="B14154" i="2"/>
  <c r="B32256" i="2"/>
  <c r="B24088" i="2"/>
  <c r="B19994" i="2"/>
  <c r="B27707" i="2"/>
  <c r="B13669" i="2"/>
  <c r="B16248" i="2"/>
  <c r="B23417" i="2"/>
  <c r="B1910" i="2"/>
  <c r="B2068" i="2"/>
  <c r="B14663" i="2"/>
  <c r="B9616" i="2"/>
  <c r="B36275" i="2"/>
  <c r="B26357" i="2"/>
  <c r="B17231" i="2"/>
  <c r="B20311" i="2"/>
  <c r="B17553" i="2"/>
  <c r="B6565" i="2"/>
  <c r="B24404" i="2"/>
  <c r="B10254" i="2"/>
  <c r="B30094" i="2"/>
  <c r="B34561" i="2"/>
  <c r="B16699" i="2"/>
  <c r="B6850" i="2"/>
  <c r="B21462" i="2"/>
  <c r="B25743" i="2"/>
  <c r="B6849" i="2"/>
  <c r="B33703" i="2"/>
  <c r="B19917" i="2"/>
  <c r="B806" i="2"/>
  <c r="B20385" i="2"/>
  <c r="B5042" i="2"/>
  <c r="B10622" i="2"/>
  <c r="B29236" i="2"/>
  <c r="B35279" i="2"/>
  <c r="B12540" i="2"/>
  <c r="B24197" i="2"/>
  <c r="B17687" i="2"/>
  <c r="B21620" i="2"/>
  <c r="B32218" i="2"/>
  <c r="B11966" i="2"/>
  <c r="B24133" i="2"/>
  <c r="B19080" i="2"/>
  <c r="B1555" i="2"/>
  <c r="B10196" i="2"/>
  <c r="B36161" i="2"/>
  <c r="B2774" i="2"/>
  <c r="B11849" i="2"/>
  <c r="B4810" i="2"/>
  <c r="B17205" i="2"/>
  <c r="B19582" i="2"/>
  <c r="B19541" i="2"/>
  <c r="B23197" i="2"/>
  <c r="B4458" i="2"/>
  <c r="B2764" i="2"/>
  <c r="B17942" i="2"/>
  <c r="B34560" i="2"/>
  <c r="B19619" i="2"/>
  <c r="B10162" i="2"/>
  <c r="B11682" i="2"/>
  <c r="B15762" i="2"/>
  <c r="B7235" i="2"/>
  <c r="B2642" i="2"/>
  <c r="B26195" i="2"/>
  <c r="B3128" i="2"/>
  <c r="B6954" i="2"/>
  <c r="B2445" i="2"/>
  <c r="B34059" i="2"/>
  <c r="B33751" i="2"/>
  <c r="B28266" i="2"/>
  <c r="B25615" i="2"/>
  <c r="B30226" i="2"/>
  <c r="B13096" i="2"/>
  <c r="B29255" i="2"/>
  <c r="B34015" i="2"/>
  <c r="B19944" i="2"/>
  <c r="B22082" i="2"/>
  <c r="B30396" i="2"/>
  <c r="B10895" i="2"/>
  <c r="B31767" i="2"/>
  <c r="B26147" i="2"/>
  <c r="B32124" i="2"/>
  <c r="B28875" i="2"/>
  <c r="B2465" i="2"/>
  <c r="B553" i="2"/>
  <c r="B13973" i="2"/>
  <c r="B31659" i="2"/>
  <c r="B21941" i="2"/>
  <c r="B13562" i="2"/>
  <c r="B9294" i="2"/>
  <c r="B16926" i="2"/>
  <c r="B8513" i="2"/>
  <c r="B4101" i="2"/>
  <c r="B26785" i="2"/>
  <c r="B22349" i="2"/>
  <c r="B23756" i="2"/>
  <c r="B32773" i="2"/>
  <c r="B6127" i="2"/>
  <c r="B7352" i="2"/>
  <c r="B33587" i="2"/>
  <c r="B5975" i="2"/>
  <c r="B35081" i="2"/>
  <c r="B24505" i="2"/>
  <c r="B24242" i="2"/>
  <c r="B28371" i="2"/>
  <c r="B32389" i="2"/>
  <c r="B1546" i="2"/>
  <c r="B6712" i="2"/>
  <c r="B18698" i="2"/>
  <c r="B943" i="2"/>
  <c r="B8736" i="2"/>
  <c r="B23023" i="2"/>
  <c r="B32322" i="2"/>
  <c r="B21215" i="2"/>
  <c r="B32153" i="2"/>
  <c r="B28909" i="2"/>
  <c r="B14704" i="2"/>
  <c r="B22893" i="2"/>
  <c r="B33110" i="2"/>
  <c r="B8813" i="2"/>
  <c r="B18166" i="2"/>
  <c r="B21333" i="2"/>
  <c r="B19503" i="2"/>
  <c r="B15993" i="2"/>
  <c r="B34490" i="2"/>
  <c r="B20650" i="2"/>
  <c r="B35094" i="2"/>
  <c r="B2823" i="2"/>
  <c r="B28710" i="2"/>
  <c r="B24294" i="2"/>
  <c r="B35980" i="2"/>
  <c r="B34009" i="2"/>
  <c r="B15754" i="2"/>
  <c r="B24979" i="2"/>
  <c r="B3859" i="2"/>
  <c r="B32860" i="2"/>
  <c r="B20797" i="2"/>
  <c r="B27304" i="2"/>
  <c r="B35344" i="2"/>
  <c r="B20256" i="2"/>
  <c r="B20226" i="2"/>
  <c r="B28669" i="2"/>
  <c r="B15033" i="2"/>
  <c r="B4100" i="2"/>
  <c r="B32889" i="2"/>
  <c r="B11886" i="2"/>
  <c r="B17241" i="2"/>
  <c r="B24946" i="2"/>
  <c r="B28081" i="2"/>
  <c r="B14651" i="2"/>
  <c r="B12066" i="2"/>
  <c r="B1061" i="2"/>
  <c r="B29454" i="2"/>
  <c r="B15167" i="2"/>
  <c r="B11717" i="2"/>
  <c r="B34727" i="2"/>
  <c r="B7251" i="2"/>
  <c r="B10789" i="2"/>
  <c r="B25546" i="2"/>
  <c r="B11146" i="2"/>
  <c r="B15369" i="2"/>
  <c r="B30372" i="2"/>
  <c r="B35171" i="2"/>
  <c r="B35768" i="2"/>
  <c r="B23552" i="2"/>
  <c r="B18540" i="2"/>
  <c r="B7150" i="2"/>
  <c r="B19889" i="2"/>
  <c r="B11161" i="2"/>
  <c r="B1047" i="2"/>
  <c r="B15856" i="2"/>
  <c r="B27016" i="2"/>
  <c r="B31743" i="2"/>
  <c r="B29257" i="2"/>
  <c r="B11392" i="2"/>
  <c r="B9563" i="2"/>
  <c r="B30106" i="2"/>
  <c r="B28233" i="2"/>
  <c r="B11464" i="2"/>
  <c r="B1364" i="2"/>
  <c r="B14936" i="2"/>
  <c r="B21408" i="2"/>
  <c r="B624" i="2"/>
  <c r="B29548" i="2"/>
  <c r="B7941" i="2"/>
  <c r="B21908" i="2"/>
  <c r="B1263" i="2"/>
  <c r="B8342" i="2"/>
  <c r="B8213" i="2"/>
  <c r="B26792" i="2"/>
  <c r="B35433" i="2"/>
  <c r="B19014" i="2"/>
  <c r="B23519" i="2"/>
  <c r="B14115" i="2"/>
  <c r="B25384" i="2"/>
  <c r="B2078" i="2"/>
  <c r="B15263" i="2"/>
  <c r="B26955" i="2"/>
  <c r="B5030" i="2"/>
  <c r="B35071" i="2"/>
  <c r="B29430" i="2"/>
  <c r="B8184" i="2"/>
  <c r="B25885" i="2"/>
  <c r="B24962" i="2"/>
  <c r="B10950" i="2"/>
  <c r="B23608" i="2"/>
  <c r="B899" i="2"/>
  <c r="B11631" i="2"/>
  <c r="B31113" i="2"/>
  <c r="B1851" i="2"/>
  <c r="B128" i="2"/>
  <c r="B29655" i="2"/>
  <c r="B9708" i="2"/>
  <c r="B20043" i="2"/>
  <c r="B14266" i="2"/>
  <c r="B15191" i="2"/>
  <c r="B22367" i="2"/>
  <c r="B32512" i="2"/>
  <c r="B24268" i="2"/>
  <c r="B3454" i="2"/>
  <c r="B35708" i="2"/>
  <c r="B34252" i="2"/>
  <c r="B3359" i="2"/>
  <c r="B27321" i="2"/>
  <c r="B22103" i="2"/>
  <c r="B35750" i="2"/>
  <c r="B29505" i="2"/>
  <c r="B32603" i="2"/>
  <c r="B11885" i="2"/>
  <c r="B18131" i="2"/>
  <c r="B25820" i="2"/>
  <c r="B30403" i="2"/>
  <c r="B35597" i="2"/>
  <c r="B816" i="2"/>
  <c r="B18961" i="2"/>
  <c r="B34585" i="2"/>
  <c r="B11290" i="2"/>
  <c r="B2159" i="2"/>
  <c r="B8434" i="2"/>
  <c r="B5911" i="2"/>
  <c r="B26558" i="2"/>
  <c r="B29735" i="2"/>
  <c r="B31492" i="2"/>
  <c r="B20037" i="2"/>
  <c r="B23446" i="2"/>
  <c r="B15707" i="2"/>
  <c r="B21478" i="2"/>
  <c r="B33781" i="2"/>
  <c r="B17018" i="2"/>
  <c r="B14257" i="2"/>
  <c r="B23849" i="2"/>
  <c r="B32941" i="2"/>
  <c r="B6267" i="2"/>
  <c r="B4532" i="2"/>
  <c r="B15068" i="2"/>
  <c r="B4708" i="2"/>
  <c r="B12766" i="2"/>
  <c r="B17678" i="2"/>
  <c r="B28741" i="2"/>
  <c r="B3382" i="2"/>
  <c r="B29141" i="2"/>
  <c r="B2994" i="2"/>
  <c r="B23377" i="2"/>
  <c r="B18183" i="2"/>
  <c r="B25373" i="2"/>
  <c r="B4957" i="2"/>
  <c r="B10777" i="2"/>
  <c r="B27580" i="2"/>
  <c r="B20707" i="2"/>
  <c r="B35320" i="2"/>
  <c r="B30891" i="2"/>
  <c r="B23873" i="2"/>
  <c r="B18223" i="2"/>
  <c r="B8741" i="2"/>
  <c r="B30037" i="2"/>
  <c r="B24853" i="2"/>
  <c r="B5010" i="2"/>
  <c r="B36168" i="2"/>
  <c r="B3486" i="2"/>
  <c r="B34316" i="2"/>
  <c r="B5035" i="2"/>
  <c r="B4090" i="2"/>
  <c r="B4571" i="2"/>
  <c r="B9023" i="2"/>
  <c r="B21065" i="2"/>
  <c r="B28235" i="2"/>
  <c r="B2146" i="2"/>
  <c r="B16817" i="2"/>
  <c r="B13622" i="2"/>
  <c r="B18229" i="2"/>
  <c r="B14657" i="2"/>
  <c r="B9135" i="2"/>
  <c r="B4756" i="2"/>
  <c r="B3488" i="2"/>
  <c r="B22007" i="2"/>
  <c r="B16478" i="2"/>
  <c r="B12205" i="2"/>
  <c r="B16604" i="2"/>
  <c r="B29061" i="2"/>
  <c r="B9105" i="2"/>
  <c r="B2240" i="2"/>
  <c r="B14173" i="2"/>
  <c r="B21668" i="2"/>
  <c r="B35893" i="2"/>
  <c r="B347" i="2"/>
  <c r="B9561" i="2"/>
  <c r="B15204" i="2"/>
  <c r="B27411" i="2"/>
  <c r="B32709" i="2"/>
  <c r="B23161" i="2"/>
  <c r="B11215" i="2"/>
  <c r="B23599" i="2"/>
  <c r="B13778" i="2"/>
  <c r="B14198" i="2"/>
  <c r="B30542" i="2"/>
  <c r="B24378" i="2"/>
  <c r="B54" i="2"/>
  <c r="B8951" i="2"/>
  <c r="B23982" i="2"/>
  <c r="B10810" i="2"/>
  <c r="B23941" i="2"/>
  <c r="B21765" i="2"/>
  <c r="B36018" i="2"/>
  <c r="B2440" i="2"/>
  <c r="B18537" i="2"/>
  <c r="B26062" i="2"/>
  <c r="B14904" i="2"/>
  <c r="B2360" i="2"/>
  <c r="B15644" i="2"/>
  <c r="B11525" i="2"/>
  <c r="B14348" i="2"/>
  <c r="B20933" i="2"/>
  <c r="B22397" i="2"/>
  <c r="B25199" i="2"/>
  <c r="B4625" i="2"/>
  <c r="B203" i="2"/>
  <c r="B30260" i="2"/>
  <c r="B11478" i="2"/>
  <c r="B14750" i="2"/>
  <c r="B21309" i="2"/>
  <c r="B29138" i="2"/>
  <c r="B28164" i="2"/>
  <c r="B33503" i="2"/>
  <c r="B21081" i="2"/>
  <c r="B25562" i="2"/>
  <c r="B19482" i="2"/>
  <c r="B13494" i="2"/>
  <c r="B10782" i="2"/>
  <c r="B27524" i="2"/>
  <c r="B2897" i="2"/>
  <c r="B15726" i="2"/>
  <c r="B11062" i="2"/>
  <c r="B6810" i="2"/>
  <c r="B24066" i="2"/>
  <c r="B18605" i="2"/>
  <c r="B28001" i="2"/>
  <c r="B35788" i="2"/>
  <c r="B21929" i="2"/>
  <c r="B19132" i="2"/>
  <c r="B14136" i="2"/>
  <c r="B16348" i="2"/>
  <c r="B12230" i="2"/>
  <c r="B7543" i="2"/>
  <c r="B35294" i="2"/>
  <c r="B14385" i="2"/>
  <c r="B7210" i="2"/>
  <c r="B3829" i="2"/>
  <c r="B35336" i="2"/>
  <c r="B12328" i="2"/>
  <c r="B11924" i="2"/>
  <c r="B23921" i="2"/>
  <c r="B28417" i="2"/>
  <c r="B34905" i="2"/>
  <c r="B34682" i="2"/>
  <c r="B14946" i="2"/>
  <c r="B32246" i="2"/>
  <c r="B29158" i="2"/>
  <c r="B25196" i="2"/>
  <c r="B6584" i="2"/>
  <c r="B31719" i="2"/>
  <c r="B4642" i="2"/>
  <c r="B31777" i="2"/>
  <c r="B21218" i="2"/>
  <c r="B32810" i="2"/>
  <c r="B3510" i="2"/>
  <c r="B13026" i="2"/>
  <c r="B16649" i="2"/>
  <c r="B1685" i="2"/>
  <c r="B17957" i="2"/>
  <c r="B31932" i="2"/>
  <c r="B34321" i="2"/>
  <c r="B30524" i="2"/>
  <c r="B35182" i="2"/>
  <c r="B12220" i="2"/>
  <c r="B31757" i="2"/>
  <c r="B28913" i="2"/>
  <c r="B33627" i="2"/>
  <c r="B27677" i="2"/>
  <c r="B8536" i="2"/>
  <c r="B4446" i="2"/>
  <c r="B13304" i="2"/>
  <c r="B34581" i="2"/>
  <c r="B6597" i="2"/>
  <c r="B18677" i="2"/>
  <c r="B30428" i="2"/>
  <c r="B33875" i="2"/>
  <c r="B21856" i="2"/>
  <c r="B14520" i="2"/>
  <c r="B29403" i="2"/>
  <c r="B33820" i="2"/>
  <c r="B4112" i="2"/>
  <c r="B865" i="2"/>
  <c r="B25298" i="2"/>
  <c r="B10583" i="2"/>
  <c r="B3674" i="2"/>
  <c r="B18319" i="2"/>
  <c r="B22220" i="2"/>
  <c r="B21821" i="2"/>
  <c r="B18866" i="2"/>
  <c r="B28678" i="2"/>
  <c r="B33298" i="2"/>
  <c r="B31575" i="2"/>
  <c r="B18521" i="2"/>
  <c r="B14273" i="2"/>
  <c r="B10549" i="2"/>
  <c r="B26027" i="2"/>
  <c r="B6420" i="2"/>
  <c r="B27990" i="2"/>
  <c r="B16369" i="2"/>
  <c r="B3876" i="2"/>
  <c r="B31660" i="2"/>
  <c r="B14399" i="2"/>
  <c r="B29824" i="2"/>
  <c r="B26011" i="2"/>
  <c r="B20423" i="2"/>
  <c r="B2069" i="2"/>
  <c r="B31257" i="2"/>
  <c r="B24091" i="2"/>
  <c r="B22956" i="2"/>
  <c r="B6259" i="2"/>
  <c r="B23609" i="2"/>
  <c r="B8948" i="2"/>
  <c r="B32405" i="2"/>
  <c r="B4397" i="2"/>
  <c r="B21409" i="2"/>
  <c r="B7799" i="2"/>
  <c r="B6846" i="2"/>
  <c r="B4830" i="2"/>
  <c r="B30650" i="2"/>
  <c r="B10342" i="2"/>
  <c r="B34085" i="2"/>
  <c r="B8415" i="2"/>
  <c r="B23885" i="2"/>
  <c r="B32606" i="2"/>
  <c r="B612" i="2"/>
  <c r="B14043" i="2"/>
  <c r="B34768" i="2"/>
  <c r="B22870" i="2"/>
  <c r="B33706" i="2"/>
  <c r="B14806" i="2"/>
  <c r="B21124" i="2"/>
  <c r="B315" i="2"/>
  <c r="B3570" i="2"/>
  <c r="B35684" i="2"/>
  <c r="B12532" i="2"/>
  <c r="B30785" i="2"/>
  <c r="B1964" i="2"/>
  <c r="B20956" i="2"/>
  <c r="B14258" i="2"/>
  <c r="B26056" i="2"/>
  <c r="B24487" i="2"/>
  <c r="B26695" i="2"/>
  <c r="B11690" i="2"/>
  <c r="B274" i="2"/>
  <c r="B9158" i="2"/>
  <c r="B5600" i="2"/>
  <c r="B18255" i="2"/>
  <c r="B34958" i="2"/>
  <c r="B12601" i="2"/>
  <c r="B33680" i="2"/>
  <c r="B25894" i="2"/>
  <c r="B31622" i="2"/>
  <c r="B20680" i="2"/>
  <c r="B2927" i="2"/>
  <c r="B26643" i="2"/>
  <c r="B27448" i="2"/>
  <c r="B34639" i="2"/>
  <c r="B34177" i="2"/>
  <c r="B13719" i="2"/>
  <c r="B14773" i="2"/>
  <c r="B21209" i="2"/>
  <c r="B36103" i="2"/>
  <c r="B35954" i="2"/>
  <c r="B20955" i="2"/>
  <c r="B18108" i="2"/>
  <c r="B4191" i="2"/>
  <c r="B29106" i="2"/>
  <c r="B35167" i="2"/>
  <c r="B25669" i="2"/>
  <c r="B27558" i="2"/>
  <c r="B28205" i="2"/>
  <c r="B28946" i="2"/>
  <c r="B16303" i="2"/>
  <c r="B2303" i="2"/>
  <c r="B20158" i="2"/>
  <c r="B34317" i="2"/>
  <c r="B7777" i="2"/>
  <c r="B10915" i="2"/>
  <c r="B29804" i="2"/>
  <c r="B14669" i="2"/>
  <c r="B12930" i="2"/>
  <c r="B34086" i="2"/>
  <c r="B28827" i="2"/>
  <c r="B19974" i="2"/>
  <c r="B30516" i="2"/>
  <c r="B14211" i="2"/>
  <c r="B10208" i="2"/>
  <c r="B7206" i="2"/>
  <c r="B18861" i="2"/>
  <c r="B14994" i="2"/>
  <c r="B5791" i="2"/>
  <c r="B3471" i="2"/>
  <c r="B30044" i="2"/>
  <c r="B7549" i="2"/>
  <c r="B24958" i="2"/>
  <c r="B34218" i="2"/>
  <c r="B10068" i="2"/>
  <c r="B18364" i="2"/>
  <c r="B9990" i="2"/>
  <c r="B2612" i="2"/>
  <c r="B7020" i="2"/>
  <c r="B28868" i="2"/>
  <c r="B8758" i="2"/>
  <c r="B26499" i="2"/>
  <c r="B1585" i="2"/>
  <c r="B21741" i="2"/>
  <c r="B29292" i="2"/>
  <c r="B18040" i="2"/>
  <c r="B7323" i="2"/>
  <c r="B32959" i="2"/>
  <c r="B1655" i="2"/>
  <c r="B13681" i="2"/>
  <c r="B21795" i="2"/>
  <c r="B12605" i="2"/>
  <c r="B829" i="2"/>
  <c r="B11630" i="2"/>
  <c r="B9386" i="2"/>
  <c r="B26283" i="2"/>
  <c r="B18635" i="2"/>
  <c r="B2305" i="2"/>
  <c r="B11640" i="2"/>
  <c r="B214" i="2"/>
  <c r="B34711" i="2"/>
  <c r="B9315" i="2"/>
  <c r="B14491" i="2"/>
  <c r="B6137" i="2"/>
  <c r="B21998" i="2"/>
  <c r="B31965" i="2"/>
  <c r="B12332" i="2"/>
  <c r="B17952" i="2"/>
  <c r="B29341" i="2"/>
  <c r="B10700" i="2"/>
  <c r="B6813" i="2"/>
  <c r="B35486" i="2"/>
  <c r="B30874" i="2"/>
  <c r="B9381" i="2"/>
  <c r="B35165" i="2"/>
  <c r="B4117" i="2"/>
  <c r="B22553" i="2"/>
  <c r="B3399" i="2"/>
  <c r="B20629" i="2"/>
  <c r="B21989" i="2"/>
  <c r="B14847" i="2"/>
  <c r="B34998" i="2"/>
  <c r="B3801" i="2"/>
  <c r="B33852" i="2"/>
  <c r="B7834" i="2"/>
  <c r="B28806" i="2"/>
  <c r="B10702" i="2"/>
  <c r="B28265" i="2"/>
  <c r="B4104" i="2"/>
  <c r="B28842" i="2"/>
  <c r="B14156" i="2"/>
  <c r="B5013" i="2"/>
  <c r="B2236" i="2"/>
  <c r="B27570" i="2"/>
  <c r="B1750" i="2"/>
  <c r="B3929" i="2"/>
  <c r="B10428" i="2"/>
  <c r="B30586" i="2"/>
  <c r="B24295" i="2"/>
  <c r="B8923" i="2"/>
  <c r="B19446" i="2"/>
  <c r="B20612" i="2"/>
  <c r="B3232" i="2"/>
  <c r="B32455" i="2"/>
  <c r="B34285" i="2"/>
  <c r="B34805" i="2"/>
  <c r="B18839" i="2"/>
  <c r="B503" i="2"/>
  <c r="B19109" i="2"/>
  <c r="B32154" i="2"/>
  <c r="B4271" i="2"/>
  <c r="B21727" i="2"/>
  <c r="B9769" i="2"/>
  <c r="B35644" i="2"/>
  <c r="B6955" i="2"/>
  <c r="B4852" i="2"/>
  <c r="B27336" i="2"/>
  <c r="B4328" i="2"/>
  <c r="B4521" i="2"/>
  <c r="B22409" i="2"/>
  <c r="B21480" i="2"/>
  <c r="B17449" i="2"/>
  <c r="B24769" i="2"/>
  <c r="B6043" i="2"/>
  <c r="B6011" i="2"/>
  <c r="B29290" i="2"/>
  <c r="B18941" i="2"/>
  <c r="B22102" i="2"/>
  <c r="B29999" i="2"/>
  <c r="B1506" i="2"/>
  <c r="B13611" i="2"/>
  <c r="B726" i="2"/>
  <c r="B24345" i="2"/>
  <c r="B2070" i="2"/>
  <c r="B4368" i="2"/>
  <c r="B16127" i="2"/>
  <c r="B15217" i="2"/>
  <c r="B27102" i="2"/>
  <c r="B11928" i="2"/>
  <c r="B2261" i="2"/>
  <c r="B17105" i="2"/>
  <c r="B35281" i="2"/>
  <c r="B21199" i="2"/>
  <c r="B6568" i="2"/>
  <c r="B30929" i="2"/>
  <c r="B13160" i="2"/>
  <c r="B21396" i="2"/>
  <c r="B35524" i="2"/>
  <c r="B19571" i="2"/>
  <c r="B34182" i="2"/>
  <c r="B12072" i="2"/>
  <c r="B15865" i="2"/>
  <c r="B17709" i="2"/>
  <c r="B20479" i="2"/>
  <c r="B23817" i="2"/>
  <c r="B18080" i="2"/>
  <c r="B15098" i="2"/>
  <c r="B22551" i="2"/>
  <c r="B24047" i="2"/>
  <c r="B13941" i="2"/>
  <c r="B27473" i="2"/>
  <c r="B323" i="2"/>
  <c r="B12252" i="2"/>
  <c r="B13553" i="2"/>
  <c r="B10494" i="2"/>
  <c r="B18645" i="2"/>
  <c r="B14248" i="2"/>
  <c r="B21159" i="2"/>
  <c r="B9682" i="2"/>
  <c r="B3687" i="2"/>
  <c r="B10711" i="2"/>
  <c r="B17444" i="2"/>
  <c r="B24659" i="2"/>
  <c r="B12183" i="2"/>
  <c r="B26947" i="2"/>
  <c r="B3915" i="2"/>
  <c r="B23693" i="2"/>
  <c r="B13244" i="2"/>
  <c r="B29516" i="2"/>
  <c r="B17829" i="2"/>
  <c r="B9448" i="2"/>
  <c r="B11534" i="2"/>
  <c r="B8764" i="2"/>
  <c r="B30620" i="2"/>
  <c r="B6702" i="2"/>
  <c r="B1702" i="2"/>
  <c r="B20525" i="2"/>
  <c r="B13292" i="2"/>
  <c r="B12732" i="2"/>
  <c r="B21530" i="2"/>
  <c r="B10455" i="2"/>
  <c r="B25392" i="2"/>
  <c r="B4009" i="2"/>
  <c r="B12721" i="2"/>
  <c r="B26107" i="2"/>
  <c r="B19704" i="2"/>
  <c r="B31098" i="2"/>
  <c r="B29279" i="2"/>
  <c r="B30019" i="2"/>
  <c r="B33194" i="2"/>
  <c r="B15658" i="2"/>
  <c r="B14314" i="2"/>
  <c r="B4073" i="2"/>
  <c r="B20958" i="2"/>
  <c r="B29898" i="2"/>
  <c r="B28254" i="2"/>
  <c r="B19587" i="2"/>
  <c r="B19408" i="2"/>
  <c r="B21170" i="2"/>
  <c r="B23887" i="2"/>
  <c r="B28629" i="2"/>
  <c r="B24694" i="2"/>
  <c r="B25055" i="2"/>
  <c r="B30370" i="2"/>
  <c r="B17083" i="2"/>
  <c r="B26487" i="2"/>
  <c r="B14316" i="2"/>
  <c r="B874" i="2"/>
  <c r="B3134" i="2"/>
  <c r="B27736" i="2"/>
  <c r="B545" i="2"/>
  <c r="B26945" i="2"/>
  <c r="B35015" i="2"/>
  <c r="B26887" i="2"/>
  <c r="B28019" i="2"/>
  <c r="B23622" i="2"/>
  <c r="B31421" i="2"/>
  <c r="B9609" i="2"/>
  <c r="B24788" i="2"/>
  <c r="B11892" i="2"/>
  <c r="B20012" i="2"/>
  <c r="B20433" i="2"/>
  <c r="B27279" i="2"/>
  <c r="B31849" i="2"/>
  <c r="B33929" i="2"/>
  <c r="B5119" i="2"/>
  <c r="B30508" i="2"/>
  <c r="B18220" i="2"/>
  <c r="B32761" i="2"/>
  <c r="B7407" i="2"/>
  <c r="B1888" i="2"/>
  <c r="B34751" i="2"/>
  <c r="B11999" i="2"/>
  <c r="B9462" i="2"/>
  <c r="B13618" i="2"/>
  <c r="B31374" i="2"/>
  <c r="B29654" i="2"/>
  <c r="B35556" i="2"/>
  <c r="B35002" i="2"/>
  <c r="B33557" i="2"/>
  <c r="B24833" i="2"/>
  <c r="B8359" i="2"/>
  <c r="B13041" i="2"/>
  <c r="B16253" i="2"/>
  <c r="B10071" i="2"/>
  <c r="B5722" i="2"/>
  <c r="B5643" i="2"/>
  <c r="B36261" i="2"/>
  <c r="B30499" i="2"/>
  <c r="B20147" i="2"/>
  <c r="B8153" i="2"/>
  <c r="B26611" i="2"/>
  <c r="B5224" i="2"/>
  <c r="B616" i="2"/>
  <c r="B26508" i="2"/>
  <c r="B32295" i="2"/>
  <c r="B23750" i="2"/>
  <c r="B34348" i="2"/>
  <c r="B1589" i="2"/>
  <c r="B17469" i="2"/>
  <c r="B32542" i="2"/>
  <c r="B17976" i="2"/>
  <c r="B15634" i="2"/>
  <c r="B11854" i="2"/>
  <c r="B34438" i="2"/>
  <c r="B16654" i="2"/>
  <c r="B420" i="2"/>
  <c r="B34038" i="2"/>
  <c r="B11791" i="2"/>
  <c r="B22345" i="2"/>
  <c r="B12585" i="2"/>
  <c r="B6316" i="2"/>
  <c r="B25598" i="2"/>
  <c r="B26543" i="2"/>
  <c r="B369" i="2"/>
  <c r="B1641" i="2"/>
  <c r="B5099" i="2"/>
  <c r="B36312" i="2"/>
  <c r="B23994" i="2"/>
  <c r="B32383" i="2"/>
  <c r="B27671" i="2"/>
  <c r="B8849" i="2"/>
  <c r="B31069" i="2"/>
  <c r="B12147" i="2"/>
  <c r="B29232" i="2"/>
  <c r="B19988" i="2"/>
  <c r="B34557" i="2"/>
  <c r="B23117" i="2"/>
  <c r="B17491" i="2"/>
  <c r="B29565" i="2"/>
  <c r="B2773" i="2"/>
  <c r="B7165" i="2"/>
  <c r="B2415" i="2"/>
  <c r="B28297" i="2"/>
  <c r="B20135" i="2"/>
  <c r="B8215" i="2"/>
  <c r="B133" i="2"/>
  <c r="B5591" i="2"/>
  <c r="B11257" i="2"/>
  <c r="B17219" i="2"/>
  <c r="B14148" i="2"/>
  <c r="B8175" i="2"/>
  <c r="B2906" i="2"/>
  <c r="B11529" i="2"/>
  <c r="B14374" i="2"/>
  <c r="B13002" i="2"/>
  <c r="B22666" i="2"/>
  <c r="B33468" i="2"/>
  <c r="B13401" i="2"/>
  <c r="B24343" i="2"/>
  <c r="B9071" i="2"/>
  <c r="B13295" i="2"/>
  <c r="B31825" i="2"/>
  <c r="B17620" i="2"/>
  <c r="B9751" i="2"/>
  <c r="B13372" i="2"/>
  <c r="B16760" i="2"/>
  <c r="B2128" i="2"/>
  <c r="B30736" i="2"/>
  <c r="B35926" i="2"/>
  <c r="B2046" i="2"/>
  <c r="B23731" i="2"/>
  <c r="B31994" i="2"/>
  <c r="B18716" i="2"/>
  <c r="B25308" i="2"/>
  <c r="B16705" i="2"/>
  <c r="B6255" i="2"/>
  <c r="B15288" i="2"/>
  <c r="B4890" i="2"/>
  <c r="B4133" i="2"/>
  <c r="B4264" i="2"/>
  <c r="B2816" i="2"/>
  <c r="B17994" i="2"/>
  <c r="B32111" i="2"/>
  <c r="B15839" i="2"/>
  <c r="B7263" i="2"/>
  <c r="B32584" i="2"/>
  <c r="B36284" i="2"/>
  <c r="B35381" i="2"/>
  <c r="B4049" i="2"/>
  <c r="B9900" i="2"/>
  <c r="B2099" i="2"/>
  <c r="B30455" i="2"/>
  <c r="B27030" i="2"/>
  <c r="B26536" i="2"/>
  <c r="B1891" i="2"/>
  <c r="B23208" i="2"/>
  <c r="B10151" i="2"/>
  <c r="B21901" i="2"/>
  <c r="B17865" i="2"/>
  <c r="B32137" i="2"/>
  <c r="B11451" i="2"/>
  <c r="B9737" i="2"/>
  <c r="B8295" i="2"/>
  <c r="B27949" i="2"/>
  <c r="B30452" i="2"/>
  <c r="B9115" i="2"/>
  <c r="B34213" i="2"/>
  <c r="B15773" i="2"/>
  <c r="B1630" i="2"/>
  <c r="B10126" i="2"/>
  <c r="B32990" i="2"/>
  <c r="B8586" i="2"/>
  <c r="B17403" i="2"/>
  <c r="B10802" i="2"/>
  <c r="B27212" i="2"/>
  <c r="B33685" i="2"/>
  <c r="B27062" i="2"/>
  <c r="B23196" i="2"/>
  <c r="B35430" i="2"/>
  <c r="B34692" i="2"/>
  <c r="B2990" i="2"/>
  <c r="B21886" i="2"/>
  <c r="B8411" i="2"/>
  <c r="B7958" i="2"/>
  <c r="B21657" i="2"/>
  <c r="B27217" i="2"/>
  <c r="B33726" i="2"/>
  <c r="B1890" i="2"/>
  <c r="B18676" i="2"/>
  <c r="B27875" i="2"/>
  <c r="B7091" i="2"/>
  <c r="B17454" i="2"/>
  <c r="B25281" i="2"/>
  <c r="B8907" i="2"/>
  <c r="B16259" i="2"/>
  <c r="B21927" i="2"/>
  <c r="B4321" i="2"/>
  <c r="B17622" i="2"/>
  <c r="B10372" i="2"/>
  <c r="B30923" i="2"/>
  <c r="B26476" i="2"/>
  <c r="B19754" i="2"/>
  <c r="B3943" i="2"/>
  <c r="B16223" i="2"/>
  <c r="B13689" i="2"/>
  <c r="B34857" i="2"/>
  <c r="B29249" i="2"/>
  <c r="B16260" i="2"/>
  <c r="B14916" i="2"/>
  <c r="B4134" i="2"/>
  <c r="B17037" i="2"/>
  <c r="B1995" i="2"/>
  <c r="B34772" i="2"/>
  <c r="B7177" i="2"/>
  <c r="B10907" i="2"/>
  <c r="B29668" i="2"/>
  <c r="B8777" i="2"/>
  <c r="B20340" i="2"/>
  <c r="B21271" i="2"/>
  <c r="B30470" i="2"/>
  <c r="B13480" i="2"/>
  <c r="B33061" i="2"/>
  <c r="B1534" i="2"/>
  <c r="B18317" i="2"/>
  <c r="B5278" i="2"/>
  <c r="B2738" i="2"/>
  <c r="B13584" i="2"/>
  <c r="B344" i="2"/>
  <c r="B10161" i="2"/>
  <c r="B26899" i="2"/>
  <c r="B1438" i="2"/>
  <c r="B32138" i="2"/>
  <c r="B28784" i="2"/>
  <c r="B31451" i="2"/>
  <c r="B12283" i="2"/>
  <c r="B32570" i="2"/>
  <c r="B29155" i="2"/>
  <c r="B11155" i="2"/>
  <c r="B22536" i="2"/>
  <c r="B20837" i="2"/>
  <c r="B10459" i="2"/>
  <c r="B35875" i="2"/>
  <c r="B30670" i="2"/>
  <c r="B36" i="2"/>
  <c r="B13340" i="2"/>
  <c r="B3678" i="2"/>
  <c r="B3267" i="2"/>
  <c r="B36215" i="2"/>
  <c r="B28674" i="2"/>
  <c r="B620" i="2"/>
  <c r="B8490" i="2"/>
  <c r="B5087" i="2"/>
  <c r="B22316" i="2"/>
  <c r="B31656" i="2"/>
  <c r="B15480" i="2"/>
  <c r="B14619" i="2"/>
  <c r="B1544" i="2"/>
  <c r="B35278" i="2"/>
  <c r="B34607" i="2"/>
  <c r="B22502" i="2"/>
  <c r="B31114" i="2"/>
  <c r="B18281" i="2"/>
  <c r="B34290" i="2"/>
  <c r="B12738" i="2"/>
  <c r="B16309" i="2"/>
  <c r="B28498" i="2"/>
  <c r="B30334" i="2"/>
  <c r="B4969" i="2"/>
  <c r="B13712" i="2"/>
  <c r="B29379" i="2"/>
  <c r="B14784" i="2"/>
  <c r="B24044" i="2"/>
  <c r="B34551" i="2"/>
  <c r="B35317" i="2"/>
  <c r="B18413" i="2"/>
  <c r="B285" i="2"/>
  <c r="B19688" i="2"/>
  <c r="B10157" i="2"/>
  <c r="B22887" i="2"/>
  <c r="B23846" i="2"/>
  <c r="B217" i="2"/>
  <c r="B32068" i="2"/>
  <c r="B319" i="2"/>
  <c r="B12028" i="2"/>
  <c r="B32523" i="2"/>
  <c r="B25986" i="2"/>
  <c r="B2812" i="2"/>
  <c r="B7510" i="2"/>
  <c r="B24173" i="2"/>
  <c r="B36256" i="2"/>
  <c r="B19040" i="2"/>
  <c r="B35405" i="2"/>
  <c r="B29164" i="2"/>
  <c r="B170" i="2"/>
  <c r="B28394" i="2"/>
  <c r="B6276" i="2"/>
  <c r="B25540" i="2"/>
  <c r="B888" i="2"/>
  <c r="B15347" i="2"/>
  <c r="B29979" i="2"/>
  <c r="B34399" i="2"/>
  <c r="B22603" i="2"/>
  <c r="B11867" i="2"/>
  <c r="B30786" i="2"/>
  <c r="B9711" i="2"/>
  <c r="B4751" i="2"/>
  <c r="B34647" i="2"/>
  <c r="B4421" i="2"/>
  <c r="B16518" i="2"/>
  <c r="B26227" i="2"/>
  <c r="B8364" i="2"/>
  <c r="B2588" i="2"/>
  <c r="B20424" i="2"/>
  <c r="B20939" i="2"/>
  <c r="B33294" i="2"/>
  <c r="B1223" i="2"/>
  <c r="B20872" i="2"/>
  <c r="B29369" i="2"/>
  <c r="B15526" i="2"/>
  <c r="B10916" i="2"/>
  <c r="B12627" i="2"/>
  <c r="B25267" i="2"/>
  <c r="B1920" i="2"/>
  <c r="B25060" i="2"/>
  <c r="B6963" i="2"/>
  <c r="B8172" i="2"/>
  <c r="B2551" i="2"/>
  <c r="B27955" i="2"/>
  <c r="B34866" i="2"/>
  <c r="B35105" i="2"/>
  <c r="B32514" i="2"/>
  <c r="B29423" i="2"/>
  <c r="B30729" i="2"/>
  <c r="B19829" i="2"/>
  <c r="B33961" i="2"/>
  <c r="B14369" i="2"/>
  <c r="B2684" i="2"/>
  <c r="B22167" i="2"/>
  <c r="B24506" i="2"/>
  <c r="B29851" i="2"/>
  <c r="B3714" i="2"/>
  <c r="B30521" i="2"/>
  <c r="B9776" i="2"/>
  <c r="B5527" i="2"/>
  <c r="B18687" i="2"/>
  <c r="B22306" i="2"/>
  <c r="B15104" i="2"/>
  <c r="B8065" i="2"/>
  <c r="B16856" i="2"/>
  <c r="B1807" i="2"/>
  <c r="B12439" i="2"/>
  <c r="B29523" i="2"/>
  <c r="B35563" i="2"/>
  <c r="B1935" i="2"/>
  <c r="B10761" i="2"/>
  <c r="B11428" i="2"/>
  <c r="B10065" i="2"/>
  <c r="B14080" i="2"/>
  <c r="B35522" i="2"/>
  <c r="B33478" i="2"/>
  <c r="B4519" i="2"/>
  <c r="B18380" i="2"/>
  <c r="B21511" i="2"/>
  <c r="B23635" i="2"/>
  <c r="B16064" i="2"/>
  <c r="B10773" i="2"/>
  <c r="B30920" i="2"/>
  <c r="B35458" i="2"/>
  <c r="B14268" i="2"/>
  <c r="B9577" i="2"/>
  <c r="B24801" i="2"/>
  <c r="B25021" i="2"/>
  <c r="B15539" i="2"/>
  <c r="B35072" i="2"/>
  <c r="B32228" i="2"/>
  <c r="B1533" i="2"/>
  <c r="B10751" i="2"/>
  <c r="B1211" i="2"/>
  <c r="B20224" i="2"/>
  <c r="B18367" i="2"/>
  <c r="B31609" i="2"/>
  <c r="B11585" i="2"/>
  <c r="B25850" i="2"/>
  <c r="B27770" i="2"/>
  <c r="B8126" i="2"/>
  <c r="B27271" i="2"/>
  <c r="B16589" i="2"/>
  <c r="B5000" i="2"/>
  <c r="B12068" i="2"/>
  <c r="B19466" i="2"/>
  <c r="B28671" i="2"/>
  <c r="B31054" i="2"/>
  <c r="B35354" i="2"/>
  <c r="B28009" i="2"/>
  <c r="B24216" i="2"/>
  <c r="B25887" i="2"/>
  <c r="B19564" i="2"/>
  <c r="B25130" i="2"/>
  <c r="B34137" i="2"/>
  <c r="B2012" i="2"/>
  <c r="B2359" i="2"/>
  <c r="B20701" i="2"/>
  <c r="B14117" i="2"/>
  <c r="B17667" i="2"/>
  <c r="B23923" i="2"/>
  <c r="B1267" i="2"/>
  <c r="B18773" i="2"/>
  <c r="B13117" i="2"/>
  <c r="B20324" i="2"/>
  <c r="B28606" i="2"/>
  <c r="B14383" i="2"/>
  <c r="B9996" i="2"/>
  <c r="B13181" i="2"/>
  <c r="B13737" i="2"/>
  <c r="B25770" i="2"/>
  <c r="B34215" i="2"/>
  <c r="B17903" i="2"/>
  <c r="B12441" i="2"/>
  <c r="B22172" i="2"/>
  <c r="B13133" i="2"/>
  <c r="B1611" i="2"/>
  <c r="B29629" i="2"/>
  <c r="B2005" i="2"/>
  <c r="B21961" i="2"/>
  <c r="B12363" i="2"/>
  <c r="B25163" i="2"/>
  <c r="B21615" i="2"/>
  <c r="B5239" i="2"/>
  <c r="B4195" i="2"/>
  <c r="B32585" i="2"/>
  <c r="B28679" i="2"/>
  <c r="B33074" i="2"/>
  <c r="B28693" i="2"/>
  <c r="B4913" i="2"/>
  <c r="B26428" i="2"/>
  <c r="B28372" i="2"/>
  <c r="B5185" i="2"/>
  <c r="B15904" i="2"/>
  <c r="B16996" i="2"/>
  <c r="B3941" i="2"/>
  <c r="B19732" i="2"/>
  <c r="B20301" i="2"/>
  <c r="B5575" i="2"/>
  <c r="B9822" i="2"/>
  <c r="B25300" i="2"/>
  <c r="B34097" i="2"/>
  <c r="B14144" i="2"/>
  <c r="B11516" i="2"/>
  <c r="B20842" i="2"/>
  <c r="B26260" i="2"/>
  <c r="B1985" i="2"/>
  <c r="B13449" i="2"/>
  <c r="B20166" i="2"/>
  <c r="B31971" i="2"/>
  <c r="B8766" i="2"/>
  <c r="B16125" i="2"/>
  <c r="B5024" i="2"/>
  <c r="B10060" i="2"/>
  <c r="B17234" i="2"/>
  <c r="B11475" i="2"/>
  <c r="B30235" i="2"/>
  <c r="B27653" i="2"/>
  <c r="B30978" i="2"/>
  <c r="B26214" i="2"/>
  <c r="B15694" i="2"/>
  <c r="B25269" i="2"/>
  <c r="B21789" i="2"/>
  <c r="B22652" i="2"/>
  <c r="B16500" i="2"/>
  <c r="B23098" i="2"/>
  <c r="B27979" i="2"/>
  <c r="B13871" i="2"/>
  <c r="B14807" i="2"/>
  <c r="B22366" i="2"/>
  <c r="B14077" i="2"/>
  <c r="B4374" i="2"/>
  <c r="B15522" i="2"/>
  <c r="B11778" i="2"/>
  <c r="B2331" i="2"/>
  <c r="B4956" i="2"/>
  <c r="B4201" i="2"/>
  <c r="B7985" i="2"/>
  <c r="B29791" i="2"/>
  <c r="B21471" i="2"/>
  <c r="B22668" i="2"/>
  <c r="B14737" i="2"/>
  <c r="B24678" i="2"/>
  <c r="B15874" i="2"/>
  <c r="B26651" i="2"/>
  <c r="B8080" i="2"/>
  <c r="B33554" i="2"/>
  <c r="B32002" i="2"/>
  <c r="B22633" i="2"/>
  <c r="B20994" i="2"/>
  <c r="B12301" i="2"/>
  <c r="B32640" i="2"/>
  <c r="B21276" i="2"/>
  <c r="B28616" i="2"/>
  <c r="B16172" i="2"/>
  <c r="B26022" i="2"/>
  <c r="B31244" i="2"/>
  <c r="B9617" i="2"/>
  <c r="B1830" i="2"/>
  <c r="B1734" i="2"/>
  <c r="B9184" i="2"/>
  <c r="B27548" i="2"/>
  <c r="B35795" i="2"/>
  <c r="B7533" i="2"/>
  <c r="B1509" i="2"/>
  <c r="B34456" i="2"/>
  <c r="B6049" i="2"/>
  <c r="B2536" i="2"/>
  <c r="B8007" i="2"/>
  <c r="B13490" i="2"/>
  <c r="B29465" i="2"/>
  <c r="B25739" i="2"/>
  <c r="B6432" i="2"/>
  <c r="B14331" i="2"/>
  <c r="B35488" i="2"/>
  <c r="B9252" i="2"/>
  <c r="B6650" i="2"/>
  <c r="B12111" i="2"/>
  <c r="B895" i="2"/>
  <c r="B24652" i="2"/>
  <c r="B1711" i="2"/>
  <c r="B14302" i="2"/>
  <c r="B30983" i="2"/>
  <c r="B19170" i="2"/>
  <c r="B8476" i="2"/>
  <c r="B36350" i="2"/>
  <c r="B30608" i="2"/>
  <c r="B36339" i="2"/>
  <c r="B14306" i="2"/>
  <c r="B12274" i="2"/>
  <c r="B22179" i="2"/>
  <c r="B32156" i="2"/>
  <c r="B28882" i="2"/>
  <c r="B29758" i="2"/>
  <c r="B12303" i="2"/>
  <c r="B15641" i="2"/>
  <c r="B34214" i="2"/>
  <c r="B33754" i="2"/>
  <c r="B17278" i="2"/>
  <c r="B4983" i="2"/>
  <c r="B28015" i="2"/>
  <c r="B26816" i="2"/>
  <c r="B23477" i="2"/>
  <c r="B21178" i="2"/>
  <c r="B34917" i="2"/>
  <c r="B8308" i="2"/>
  <c r="B2380" i="2"/>
  <c r="B21973" i="2"/>
  <c r="B23743" i="2"/>
  <c r="B4218" i="2"/>
  <c r="B15256" i="2"/>
  <c r="B17747" i="2"/>
  <c r="B7301" i="2"/>
  <c r="B3242" i="2"/>
  <c r="B18824" i="2"/>
  <c r="B30018" i="2"/>
  <c r="B21100" i="2"/>
  <c r="B32794" i="2"/>
  <c r="B29083" i="2"/>
  <c r="B11607" i="2"/>
  <c r="B17081" i="2"/>
  <c r="B15931" i="2"/>
  <c r="B15015" i="2"/>
  <c r="B5957" i="2"/>
  <c r="B28504" i="2"/>
  <c r="B1965" i="2"/>
  <c r="B31472" i="2"/>
  <c r="B11694" i="2"/>
  <c r="B1663" i="2"/>
  <c r="B14531" i="2"/>
  <c r="B35501" i="2"/>
  <c r="B4749" i="2"/>
  <c r="B27921" i="2"/>
  <c r="B28113" i="2"/>
  <c r="B8732" i="2"/>
  <c r="B19428" i="2"/>
  <c r="B9267" i="2"/>
  <c r="B13230" i="2"/>
  <c r="B17348" i="2"/>
  <c r="B3554" i="2"/>
  <c r="B26178" i="2"/>
  <c r="B30960" i="2"/>
  <c r="B18082" i="2"/>
  <c r="B21013" i="2"/>
  <c r="B14410" i="2"/>
  <c r="B21388" i="2"/>
  <c r="B14566" i="2"/>
  <c r="B10240" i="2"/>
  <c r="B27499" i="2"/>
  <c r="B31167" i="2"/>
  <c r="B13695" i="2"/>
  <c r="B31446" i="2"/>
  <c r="B24361" i="2"/>
  <c r="B4070" i="2"/>
  <c r="B34878" i="2"/>
  <c r="B24883" i="2"/>
  <c r="B16541" i="2"/>
  <c r="B3337" i="2"/>
  <c r="B29356" i="2"/>
  <c r="B30004" i="2"/>
  <c r="B2248" i="2"/>
  <c r="B17752" i="2"/>
  <c r="B562" i="2"/>
  <c r="B18603" i="2"/>
  <c r="B27890" i="2"/>
  <c r="B35277" i="2"/>
  <c r="B25845" i="2"/>
  <c r="B32344" i="2"/>
  <c r="B13646" i="2"/>
  <c r="B2339" i="2"/>
  <c r="B11448" i="2"/>
  <c r="B4130" i="2"/>
  <c r="B36282" i="2"/>
  <c r="B18530" i="2"/>
  <c r="B28364" i="2"/>
  <c r="B6710" i="2"/>
  <c r="B14454" i="2"/>
  <c r="B23184" i="2"/>
  <c r="B7907" i="2"/>
  <c r="B2200" i="2"/>
  <c r="B114" i="2"/>
  <c r="B26857" i="2"/>
  <c r="B567" i="2"/>
  <c r="B7133" i="2"/>
  <c r="B12910" i="2"/>
  <c r="B8113" i="2"/>
  <c r="B35601" i="2"/>
  <c r="B26658" i="2"/>
  <c r="B13848" i="2"/>
  <c r="B5642" i="2"/>
  <c r="B17561" i="2"/>
  <c r="B24494" i="2"/>
  <c r="B76" i="2"/>
  <c r="B24256" i="2"/>
  <c r="B9891" i="2"/>
  <c r="B2481" i="2"/>
  <c r="B3880" i="2"/>
  <c r="B34994" i="2"/>
  <c r="B2270" i="2"/>
  <c r="B10846" i="2"/>
  <c r="B26524" i="2"/>
  <c r="B15292" i="2"/>
  <c r="B35858" i="2"/>
  <c r="B34569" i="2"/>
  <c r="B33163" i="2"/>
  <c r="B24656" i="2"/>
  <c r="B13857" i="2"/>
  <c r="B35005" i="2"/>
  <c r="B33884" i="2"/>
  <c r="B15818" i="2"/>
  <c r="B11273" i="2"/>
  <c r="B27539" i="2"/>
  <c r="B2398" i="2"/>
  <c r="B3667" i="2"/>
  <c r="B27208" i="2"/>
  <c r="B29937" i="2"/>
  <c r="B7308" i="2"/>
  <c r="B29867" i="2"/>
  <c r="B346" i="2"/>
  <c r="B27293" i="2"/>
  <c r="B15753" i="2"/>
  <c r="B24165" i="2"/>
  <c r="B29971" i="2"/>
  <c r="B28994" i="2"/>
  <c r="B31136" i="2"/>
  <c r="B5138" i="2"/>
  <c r="B22042" i="2"/>
  <c r="B13428" i="2"/>
  <c r="B13215" i="2"/>
  <c r="B18744" i="2"/>
  <c r="B13978" i="2"/>
  <c r="B18711" i="2"/>
  <c r="B17405" i="2"/>
  <c r="B12528" i="2"/>
  <c r="B11337" i="2"/>
  <c r="B32196" i="2"/>
  <c r="B4204" i="2"/>
  <c r="B22328" i="2"/>
  <c r="B5626" i="2"/>
  <c r="B15527" i="2"/>
  <c r="B15691" i="2"/>
  <c r="B14370" i="2"/>
  <c r="B34255" i="2"/>
  <c r="B21876" i="2"/>
  <c r="B25484" i="2"/>
  <c r="B27247" i="2"/>
  <c r="B34621" i="2"/>
  <c r="B20259" i="2"/>
  <c r="B4283" i="2"/>
  <c r="B19867" i="2"/>
  <c r="B1680" i="2"/>
  <c r="B24235" i="2"/>
  <c r="B13075" i="2"/>
  <c r="B28971" i="2"/>
  <c r="B4690" i="2"/>
  <c r="B10322" i="2"/>
  <c r="B2883" i="2"/>
  <c r="B15928" i="2"/>
  <c r="B20041" i="2"/>
  <c r="B29013" i="2"/>
  <c r="B6168" i="2"/>
  <c r="B30371" i="2"/>
  <c r="B18489" i="2"/>
  <c r="B354" i="2"/>
  <c r="B30733" i="2"/>
  <c r="B24786" i="2"/>
  <c r="B21956" i="2"/>
  <c r="B26612" i="2"/>
  <c r="B26751" i="2"/>
  <c r="B1363" i="2"/>
  <c r="B4926" i="2"/>
  <c r="B17165" i="2"/>
  <c r="B30687" i="2"/>
  <c r="B17814" i="2"/>
  <c r="B34043" i="2"/>
  <c r="B32018" i="2"/>
  <c r="B35323" i="2"/>
  <c r="B17805" i="2"/>
  <c r="B31528" i="2"/>
  <c r="B232" i="2"/>
  <c r="B24498" i="2"/>
  <c r="B2996" i="2"/>
  <c r="B34389" i="2"/>
  <c r="B5215" i="2"/>
  <c r="B3165" i="2"/>
  <c r="B27988" i="2"/>
  <c r="B4159" i="2"/>
  <c r="B4356" i="2"/>
  <c r="B35883" i="2"/>
  <c r="B35534" i="2"/>
  <c r="B25445" i="2"/>
  <c r="B25486" i="2"/>
  <c r="B27187" i="2"/>
  <c r="B34306" i="2"/>
  <c r="B31770" i="2"/>
  <c r="B1700" i="2"/>
  <c r="B30770" i="2"/>
  <c r="B36005" i="2"/>
  <c r="B15425" i="2"/>
  <c r="B33642" i="2"/>
  <c r="B22398" i="2"/>
  <c r="B2861" i="2"/>
  <c r="B12036" i="2"/>
  <c r="B31363" i="2"/>
  <c r="B28552" i="2"/>
  <c r="B24846" i="2"/>
  <c r="B31126" i="2"/>
  <c r="B20437" i="2"/>
  <c r="B7089" i="2"/>
  <c r="B13045" i="2"/>
  <c r="B29247" i="2"/>
  <c r="B15957" i="2"/>
  <c r="B809" i="2"/>
  <c r="B18141" i="2"/>
  <c r="B6486" i="2"/>
  <c r="B14355" i="2"/>
  <c r="B25439" i="2"/>
  <c r="B36310" i="2"/>
  <c r="B221" i="2"/>
  <c r="B27065" i="2"/>
  <c r="B15978" i="2"/>
  <c r="B7358" i="2"/>
  <c r="B35519" i="2"/>
  <c r="B3729" i="2"/>
  <c r="B932" i="2"/>
  <c r="B12955" i="2"/>
  <c r="B26081" i="2"/>
  <c r="B29388" i="2"/>
  <c r="B35236" i="2"/>
  <c r="B9349" i="2"/>
  <c r="B26740" i="2"/>
  <c r="B1904" i="2"/>
  <c r="B34524" i="2"/>
  <c r="B22929" i="2"/>
  <c r="B12778" i="2"/>
  <c r="B18929" i="2"/>
  <c r="B9133" i="2"/>
  <c r="B10786" i="2"/>
  <c r="B33846" i="2"/>
  <c r="B35203" i="2"/>
  <c r="B34512" i="2"/>
  <c r="B24126" i="2"/>
  <c r="B32701" i="2"/>
  <c r="B29188" i="2"/>
  <c r="B16565" i="2"/>
  <c r="B32077" i="2"/>
  <c r="B27719" i="2"/>
  <c r="B28403" i="2"/>
  <c r="B149" i="2"/>
  <c r="B16629" i="2"/>
  <c r="B16501" i="2"/>
  <c r="B21695" i="2"/>
  <c r="B12024" i="2"/>
  <c r="B26542" i="2"/>
  <c r="B33944" i="2"/>
  <c r="B3696" i="2"/>
  <c r="B27973" i="2"/>
  <c r="B21868" i="2"/>
  <c r="B12685" i="2"/>
  <c r="B3550" i="2"/>
  <c r="B13557" i="2"/>
  <c r="B34191" i="2"/>
  <c r="B6279" i="2"/>
  <c r="B6237" i="2"/>
  <c r="B6720" i="2"/>
  <c r="B28640" i="2"/>
  <c r="B9002" i="2"/>
  <c r="B29192" i="2"/>
  <c r="B8942" i="2"/>
  <c r="B2558" i="2"/>
  <c r="B19406" i="2"/>
  <c r="B18045" i="2"/>
  <c r="B35850" i="2"/>
  <c r="B12473" i="2"/>
  <c r="B12377" i="2"/>
  <c r="B9176" i="2"/>
  <c r="B33297" i="2"/>
  <c r="B24281" i="2"/>
  <c r="B10181" i="2"/>
  <c r="B35446" i="2"/>
  <c r="B21012" i="2"/>
  <c r="B11541" i="2"/>
  <c r="B5607" i="2"/>
  <c r="B26737" i="2"/>
  <c r="B29209" i="2"/>
  <c r="B15009" i="2"/>
  <c r="B16453" i="2"/>
  <c r="B14460" i="2"/>
  <c r="B11027" i="2"/>
  <c r="B32957" i="2"/>
  <c r="B23895" i="2"/>
  <c r="B30782" i="2"/>
  <c r="B19698" i="2"/>
  <c r="B18829" i="2"/>
  <c r="B28437" i="2"/>
  <c r="B4240" i="2"/>
  <c r="B34473" i="2"/>
  <c r="B28499" i="2"/>
  <c r="B10741" i="2"/>
  <c r="B31313" i="2"/>
  <c r="B30550" i="2"/>
  <c r="B28639" i="2"/>
  <c r="B16791" i="2"/>
  <c r="B19676" i="2"/>
  <c r="B7545" i="2"/>
  <c r="B16465" i="2"/>
  <c r="B19222" i="2"/>
  <c r="B28518" i="2"/>
  <c r="B18628" i="2"/>
  <c r="B549" i="2"/>
  <c r="B22709" i="2"/>
  <c r="B14426" i="2"/>
  <c r="B31753" i="2"/>
  <c r="B10111" i="2"/>
  <c r="B21835" i="2"/>
  <c r="B19797" i="2"/>
  <c r="B27691" i="2"/>
  <c r="B17812" i="2"/>
  <c r="B11662" i="2"/>
  <c r="B20355" i="2"/>
  <c r="B22458" i="2"/>
  <c r="B35653" i="2"/>
  <c r="B21229" i="2"/>
  <c r="B21690" i="2"/>
  <c r="B17909" i="2"/>
  <c r="B13091" i="2"/>
  <c r="B12311" i="2"/>
  <c r="B20710" i="2"/>
  <c r="B10610" i="2"/>
  <c r="B3314" i="2"/>
  <c r="B690" i="2"/>
  <c r="B19230" i="2"/>
  <c r="B10439" i="2"/>
  <c r="B27636" i="2"/>
  <c r="B7548" i="2"/>
  <c r="B27396" i="2"/>
  <c r="B10879" i="2"/>
  <c r="B11996" i="2"/>
  <c r="B24143" i="2"/>
  <c r="B3938" i="2"/>
  <c r="B19444" i="2"/>
  <c r="B15582" i="2"/>
  <c r="B11022" i="2"/>
  <c r="B28384" i="2"/>
  <c r="B23908" i="2"/>
  <c r="B13413" i="2"/>
  <c r="B30216" i="2"/>
  <c r="B5993" i="2"/>
  <c r="B19659" i="2"/>
  <c r="B4536" i="2"/>
  <c r="B24851" i="2"/>
  <c r="B27468" i="2"/>
  <c r="B14158" i="2"/>
  <c r="B17991" i="2"/>
  <c r="B33721" i="2"/>
  <c r="B4843" i="2"/>
  <c r="B12472" i="2"/>
  <c r="B8333" i="2"/>
  <c r="B4410" i="2"/>
  <c r="B1036" i="2"/>
  <c r="B14195" i="2"/>
  <c r="B8592" i="2"/>
  <c r="B16544" i="2"/>
  <c r="B6291" i="2"/>
  <c r="B8783" i="2"/>
  <c r="B7678" i="2"/>
  <c r="B4386" i="2"/>
  <c r="B17708" i="2"/>
  <c r="B6806" i="2"/>
  <c r="B27553" i="2"/>
  <c r="B29267" i="2"/>
  <c r="B28189" i="2"/>
  <c r="B13564" i="2"/>
  <c r="B16483" i="2"/>
  <c r="B14587" i="2"/>
  <c r="B16237" i="2"/>
  <c r="B8615" i="2"/>
  <c r="B26252" i="2"/>
  <c r="B34334" i="2"/>
  <c r="B29225" i="2"/>
  <c r="B2153" i="2"/>
  <c r="B11220" i="2"/>
  <c r="B16978" i="2"/>
  <c r="B34879" i="2"/>
  <c r="B857" i="2"/>
  <c r="B34070" i="2"/>
  <c r="B20212" i="2"/>
  <c r="B19449" i="2"/>
  <c r="B12516" i="2"/>
  <c r="B9851" i="2"/>
  <c r="B24427" i="2"/>
  <c r="B848" i="2"/>
  <c r="B33258" i="2"/>
  <c r="B27750" i="2"/>
  <c r="B9021" i="2"/>
  <c r="B21253" i="2"/>
  <c r="B23598" i="2"/>
  <c r="B16224" i="2"/>
  <c r="B10776" i="2"/>
  <c r="B32415" i="2"/>
  <c r="B5144" i="2"/>
  <c r="B15758" i="2"/>
  <c r="B21519" i="2"/>
  <c r="B96" i="2"/>
  <c r="B33780" i="2"/>
  <c r="B30465" i="2"/>
  <c r="B6775" i="2"/>
  <c r="B21206" i="2"/>
  <c r="B13083" i="2"/>
  <c r="B35610" i="2"/>
  <c r="B6058" i="2"/>
  <c r="B3322" i="2"/>
  <c r="B23179" i="2"/>
  <c r="B28800" i="2"/>
  <c r="B25560" i="2"/>
  <c r="B17990" i="2"/>
  <c r="B7900" i="2"/>
  <c r="B22796" i="2"/>
  <c r="B28642" i="2"/>
  <c r="B24338" i="2"/>
  <c r="B18701" i="2"/>
  <c r="B34680" i="2"/>
  <c r="B20213" i="2"/>
  <c r="B6318" i="2"/>
  <c r="B14324" i="2"/>
  <c r="B12426" i="2"/>
  <c r="B7872" i="2"/>
  <c r="B34006" i="2"/>
  <c r="B35191" i="2"/>
  <c r="B26986" i="2"/>
  <c r="B196" i="2"/>
  <c r="B21534" i="2"/>
  <c r="B30456" i="2"/>
  <c r="B7994" i="2"/>
  <c r="B22943" i="2"/>
  <c r="B9172" i="2"/>
  <c r="B13591" i="2"/>
  <c r="B18916" i="2"/>
  <c r="B19273" i="2"/>
  <c r="B23667" i="2"/>
  <c r="B17984" i="2"/>
  <c r="B9137" i="2"/>
  <c r="B21247" i="2"/>
  <c r="B12678" i="2"/>
  <c r="B35070" i="2"/>
  <c r="B21949" i="2"/>
  <c r="B28801" i="2"/>
  <c r="B4151" i="2"/>
  <c r="B4838" i="2"/>
  <c r="B12218" i="2"/>
  <c r="B6544" i="2"/>
  <c r="B28159" i="2"/>
  <c r="B19781" i="2"/>
  <c r="B11577" i="2"/>
  <c r="B25009" i="2"/>
  <c r="B35853" i="2"/>
  <c r="B3470" i="2"/>
  <c r="B29380" i="2"/>
  <c r="B3189" i="2"/>
  <c r="B16728" i="2"/>
  <c r="B10507" i="2"/>
  <c r="B11835" i="2"/>
  <c r="B35807" i="2"/>
  <c r="B35120" i="2"/>
  <c r="B17859" i="2"/>
  <c r="B28120" i="2"/>
  <c r="B4912" i="2"/>
  <c r="B18484" i="2"/>
  <c r="B11219" i="2"/>
  <c r="B19916" i="2"/>
  <c r="B20843" i="2"/>
  <c r="B18451" i="2"/>
  <c r="B31038" i="2"/>
  <c r="B19142" i="2"/>
  <c r="B20712" i="2"/>
  <c r="B19553" i="2"/>
  <c r="B33850" i="2"/>
  <c r="B14721" i="2"/>
  <c r="B1120" i="2"/>
  <c r="B30101" i="2"/>
  <c r="B20978" i="2"/>
  <c r="B25410" i="2"/>
  <c r="B403" i="2"/>
  <c r="B28068" i="2"/>
  <c r="B30725" i="2"/>
  <c r="B34950" i="2"/>
  <c r="B10437" i="2"/>
  <c r="B14233" i="2"/>
  <c r="B32633" i="2"/>
  <c r="B20298" i="2"/>
  <c r="B6862" i="2"/>
  <c r="B4868" i="2"/>
  <c r="B5908" i="2"/>
  <c r="B30285" i="2"/>
  <c r="B18046" i="2"/>
  <c r="B25343" i="2"/>
  <c r="B23842" i="2"/>
  <c r="B26483" i="2"/>
  <c r="B28190" i="2"/>
  <c r="B32699" i="2"/>
  <c r="B31850" i="2"/>
  <c r="B6927" i="2"/>
  <c r="B31683" i="2"/>
  <c r="B3172" i="2"/>
  <c r="B3896" i="2"/>
  <c r="B25504" i="2"/>
  <c r="B12105" i="2"/>
  <c r="B11352" i="2"/>
  <c r="B35526" i="2"/>
  <c r="B8803" i="2"/>
  <c r="B3216" i="2"/>
  <c r="B26886" i="2"/>
  <c r="B6590" i="2"/>
  <c r="B23199" i="2"/>
  <c r="B4711" i="2"/>
  <c r="B30138" i="2"/>
  <c r="B13942" i="2"/>
  <c r="B8575" i="2"/>
  <c r="B984" i="2"/>
  <c r="B13299" i="2"/>
  <c r="B29676" i="2"/>
  <c r="B34932" i="2"/>
  <c r="B35126" i="2"/>
  <c r="B19751" i="2"/>
  <c r="B13509" i="2"/>
  <c r="B33696" i="2"/>
  <c r="B2943" i="2"/>
  <c r="B30312" i="2"/>
  <c r="B34283" i="2"/>
  <c r="B3092" i="2"/>
  <c r="B2340" i="2"/>
  <c r="B3511" i="2"/>
  <c r="B13851" i="2"/>
  <c r="B585" i="2"/>
  <c r="B34129" i="2"/>
  <c r="B27935" i="2"/>
  <c r="B20038" i="2"/>
  <c r="B16358" i="2"/>
  <c r="B5697" i="2"/>
  <c r="B11086" i="2"/>
  <c r="B20229" i="2"/>
  <c r="B86" i="2"/>
  <c r="B23448" i="2"/>
  <c r="B27453" i="2"/>
  <c r="B6709" i="2"/>
  <c r="B31029" i="2"/>
  <c r="B4208" i="2"/>
  <c r="B9567" i="2"/>
  <c r="B29123" i="2"/>
  <c r="B24930" i="2"/>
  <c r="B36236" i="2"/>
  <c r="B3520" i="2"/>
  <c r="B24231" i="2"/>
  <c r="B12392" i="2"/>
  <c r="B16173" i="2"/>
  <c r="B7000" i="2"/>
  <c r="B9660" i="2"/>
  <c r="B27568" i="2"/>
  <c r="B10922" i="2"/>
  <c r="B35948" i="2"/>
  <c r="B21529" i="2"/>
  <c r="B2051" i="2"/>
  <c r="B34810" i="2"/>
  <c r="B21304" i="2"/>
  <c r="B34724" i="2"/>
  <c r="B7866" i="2"/>
  <c r="B3373" i="2"/>
  <c r="B2499" i="2"/>
  <c r="B13315" i="2"/>
  <c r="B23562" i="2"/>
  <c r="B3982" i="2"/>
  <c r="B10513" i="2"/>
  <c r="B10004" i="2"/>
  <c r="B25129" i="2"/>
  <c r="B36239" i="2"/>
  <c r="B12925" i="2"/>
  <c r="B12405" i="2"/>
  <c r="B5362" i="2"/>
  <c r="B26300" i="2"/>
  <c r="B10745" i="2"/>
  <c r="B33390" i="2"/>
  <c r="B3335" i="2"/>
  <c r="B2280" i="2"/>
  <c r="B22981" i="2"/>
  <c r="B15250" i="2"/>
  <c r="B33962" i="2"/>
  <c r="B18629" i="2"/>
  <c r="B23719" i="2"/>
  <c r="B2793" i="2"/>
  <c r="B34445" i="2"/>
  <c r="B22287" i="2"/>
  <c r="B2409" i="2"/>
  <c r="B18312" i="2"/>
  <c r="B29673" i="2"/>
  <c r="B20818" i="2"/>
  <c r="B24811" i="2"/>
  <c r="B6631" i="2"/>
  <c r="B23167" i="2"/>
  <c r="B653" i="2"/>
  <c r="B13106" i="2"/>
  <c r="B23253" i="2"/>
  <c r="B12566" i="2"/>
  <c r="B35798" i="2"/>
  <c r="B15790" i="2"/>
  <c r="B11276" i="2"/>
  <c r="B10937" i="2"/>
  <c r="B16056" i="2"/>
  <c r="B23201" i="2"/>
  <c r="B2408" i="2"/>
  <c r="B22139" i="2"/>
  <c r="B27252" i="2"/>
  <c r="B8300" i="2"/>
  <c r="B1684" i="2"/>
  <c r="B9894" i="2"/>
  <c r="B28065" i="2"/>
  <c r="B25005" i="2"/>
  <c r="B11494" i="2"/>
  <c r="B17956" i="2"/>
  <c r="B35228" i="2"/>
  <c r="B3044" i="2"/>
  <c r="B4448" i="2"/>
  <c r="B35079" i="2"/>
  <c r="B4224" i="2"/>
  <c r="B34734" i="2"/>
  <c r="B6459" i="2"/>
  <c r="B11752" i="2"/>
  <c r="B35225" i="2"/>
  <c r="B16619" i="2"/>
  <c r="B1270" i="2"/>
  <c r="B7246" i="2"/>
  <c r="B36046" i="2"/>
  <c r="B26315" i="2"/>
  <c r="B15714" i="2"/>
  <c r="B573" i="2"/>
  <c r="B19802" i="2"/>
  <c r="B20784" i="2"/>
  <c r="B8930" i="2"/>
  <c r="B3720" i="2"/>
  <c r="B25109" i="2"/>
  <c r="B32059" i="2"/>
  <c r="B18890" i="2"/>
  <c r="B19894" i="2"/>
  <c r="B1307" i="2"/>
  <c r="B11593" i="2"/>
  <c r="B14915" i="2"/>
  <c r="B18315" i="2"/>
  <c r="B2841" i="2"/>
  <c r="B35855" i="2"/>
  <c r="B400" i="2"/>
  <c r="B5559" i="2"/>
  <c r="B9839" i="2"/>
  <c r="B1455" i="2"/>
  <c r="B27889" i="2"/>
  <c r="B29653" i="2"/>
  <c r="B34082" i="2"/>
  <c r="B12785" i="2"/>
  <c r="B33870" i="2"/>
  <c r="B32293" i="2"/>
  <c r="B13923" i="2"/>
  <c r="B14782" i="2"/>
  <c r="B14586" i="2"/>
  <c r="B12624" i="2"/>
  <c r="B2100" i="2"/>
  <c r="B6891" i="2"/>
  <c r="B12117" i="2"/>
  <c r="B12078" i="2"/>
  <c r="B13174" i="2"/>
  <c r="B29010" i="2"/>
  <c r="B9046" i="2"/>
  <c r="B32447" i="2"/>
  <c r="B19457" i="2"/>
  <c r="B12100" i="2"/>
  <c r="B3377" i="2"/>
  <c r="B3014" i="2"/>
  <c r="B21575" i="2"/>
  <c r="B7897" i="2"/>
  <c r="B19895" i="2"/>
  <c r="B14562" i="2"/>
  <c r="B9338" i="2"/>
  <c r="B7281" i="2"/>
  <c r="B32996" i="2"/>
  <c r="B8256" i="2"/>
  <c r="B28980" i="2"/>
  <c r="B10271" i="2"/>
  <c r="B1432" i="2"/>
  <c r="B22519" i="2"/>
  <c r="B7721" i="2"/>
  <c r="B3769" i="2"/>
  <c r="B29405" i="2"/>
  <c r="B22526" i="2"/>
  <c r="B18505" i="2"/>
  <c r="B33913" i="2"/>
  <c r="B20964" i="2"/>
  <c r="B27426" i="2"/>
  <c r="B14308" i="2"/>
  <c r="B20372" i="2"/>
  <c r="B17016" i="2"/>
  <c r="B9278" i="2"/>
  <c r="B7761" i="2"/>
  <c r="B4087" i="2"/>
  <c r="B1740" i="2"/>
  <c r="B34746" i="2"/>
  <c r="B3346" i="2"/>
  <c r="B35536" i="2"/>
  <c r="B15228" i="2"/>
  <c r="B2193" i="2"/>
  <c r="B26552" i="2"/>
  <c r="B2296" i="2"/>
  <c r="B21379" i="2"/>
  <c r="B30139" i="2"/>
  <c r="B14054" i="2"/>
  <c r="B24999" i="2"/>
  <c r="B25071" i="2"/>
  <c r="B11032" i="2"/>
  <c r="B6156" i="2"/>
  <c r="B592" i="2"/>
  <c r="B27684" i="2"/>
  <c r="B28174" i="2"/>
  <c r="B2059" i="2"/>
  <c r="B20431" i="2"/>
  <c r="B13014" i="2"/>
  <c r="B10996" i="2"/>
  <c r="B14930" i="2"/>
  <c r="B12401" i="2"/>
  <c r="B9212" i="2"/>
  <c r="B24344" i="2"/>
  <c r="B8086" i="2"/>
  <c r="B34699" i="2"/>
  <c r="B30211" i="2"/>
  <c r="B27251" i="2"/>
  <c r="B27808" i="2"/>
  <c r="B7915" i="2"/>
  <c r="B22369" i="2"/>
  <c r="B17082" i="2"/>
  <c r="B19525" i="2"/>
  <c r="B14808" i="2"/>
  <c r="B34523" i="2"/>
  <c r="B17874" i="2"/>
  <c r="B2119" i="2"/>
  <c r="B16661" i="2"/>
  <c r="B7706" i="2"/>
  <c r="B12985" i="2"/>
  <c r="B15964" i="2"/>
  <c r="B23334" i="2"/>
  <c r="B13405" i="2"/>
  <c r="B1281" i="2"/>
  <c r="B20132" i="2"/>
  <c r="B31918" i="2"/>
  <c r="B24496" i="2"/>
  <c r="B24928" i="2"/>
  <c r="B1076" i="2"/>
  <c r="B15738" i="2"/>
  <c r="B34853" i="2"/>
  <c r="B17860" i="2"/>
  <c r="B36001" i="2"/>
  <c r="B11712" i="2"/>
  <c r="B2400" i="2"/>
  <c r="B4486" i="2"/>
  <c r="B36133" i="2"/>
  <c r="B20502" i="2"/>
  <c r="B12212" i="2"/>
  <c r="B9132" i="2"/>
  <c r="B11068" i="2"/>
  <c r="B3617" i="2"/>
  <c r="B31218" i="2"/>
  <c r="B19855" i="2"/>
  <c r="B23654" i="2"/>
  <c r="B22736" i="2"/>
  <c r="B19968" i="2"/>
  <c r="B16625" i="2"/>
  <c r="B14573" i="2"/>
  <c r="B1697" i="2"/>
  <c r="B17951" i="2"/>
  <c r="B26199" i="2"/>
  <c r="B2220" i="2"/>
  <c r="B14062" i="2"/>
  <c r="B30474" i="2"/>
  <c r="B1728" i="2"/>
  <c r="B35652" i="2"/>
  <c r="B26012" i="2"/>
  <c r="B32608" i="2"/>
  <c r="B1041" i="2"/>
  <c r="B3422" i="2"/>
  <c r="B32741" i="2"/>
  <c r="B20044" i="2"/>
  <c r="B30818" i="2"/>
  <c r="B32207" i="2"/>
  <c r="B10804" i="2"/>
  <c r="B16777" i="2"/>
  <c r="B20735" i="2"/>
  <c r="B3375" i="2"/>
  <c r="B10591" i="2"/>
  <c r="B4923" i="2"/>
  <c r="B34829" i="2"/>
  <c r="B3342" i="2"/>
  <c r="B24183" i="2"/>
  <c r="B35316" i="2"/>
  <c r="B17402" i="2"/>
  <c r="B35797" i="2"/>
  <c r="B29402" i="2"/>
  <c r="B17160" i="2"/>
  <c r="B26625" i="2"/>
  <c r="B34897" i="2"/>
  <c r="B29296" i="2"/>
  <c r="B20216" i="2"/>
  <c r="B11863" i="2"/>
  <c r="B16549" i="2"/>
  <c r="B18965" i="2"/>
  <c r="B7780" i="2"/>
  <c r="B11641" i="2"/>
  <c r="B7017" i="2"/>
  <c r="B19288" i="2"/>
  <c r="B23464" i="2"/>
  <c r="B8427" i="2"/>
  <c r="B16939" i="2"/>
  <c r="B2970" i="2"/>
  <c r="B30242" i="2"/>
  <c r="B32870" i="2"/>
  <c r="B29434" i="2"/>
  <c r="B19019" i="2"/>
  <c r="B32110" i="2"/>
  <c r="B13442" i="2"/>
  <c r="B19588" i="2"/>
  <c r="B25070" i="2"/>
  <c r="B21724" i="2"/>
  <c r="B7239" i="2"/>
  <c r="B30236" i="2"/>
  <c r="B22385" i="2"/>
  <c r="B8795" i="2"/>
  <c r="B35663" i="2"/>
  <c r="B27190" i="2"/>
  <c r="B16812" i="2"/>
  <c r="B33537" i="2"/>
  <c r="B15849" i="2"/>
  <c r="B6797" i="2"/>
  <c r="B6572" i="2"/>
  <c r="B35174" i="2"/>
  <c r="B30410" i="2"/>
  <c r="B4615" i="2"/>
  <c r="B16911" i="2"/>
  <c r="B4829" i="2"/>
  <c r="B17745" i="2"/>
  <c r="B4559" i="2"/>
  <c r="B31329" i="2"/>
  <c r="B35499" i="2"/>
  <c r="B25551" i="2"/>
  <c r="B29930" i="2"/>
  <c r="B14431" i="2"/>
  <c r="B15571" i="2"/>
  <c r="B28320" i="2"/>
  <c r="B30263" i="2"/>
  <c r="B35742" i="2"/>
  <c r="B20944" i="2"/>
  <c r="B25733" i="2"/>
  <c r="B32690" i="2"/>
  <c r="B23819" i="2"/>
  <c r="B25825" i="2"/>
  <c r="B6046" i="2"/>
  <c r="B27445" i="2"/>
  <c r="B35265" i="2"/>
  <c r="B27149" i="2"/>
  <c r="B23057" i="2"/>
  <c r="B23113" i="2"/>
  <c r="B627" i="2"/>
  <c r="B3566" i="2"/>
  <c r="B15486" i="2"/>
  <c r="B21967" i="2"/>
  <c r="B8874" i="2"/>
  <c r="B3315" i="2"/>
  <c r="B17355" i="2"/>
  <c r="B12343" i="2"/>
  <c r="B12839" i="2"/>
  <c r="B723" i="2"/>
  <c r="B6092" i="2"/>
  <c r="B21685" i="2"/>
  <c r="B3476" i="2"/>
  <c r="B17139" i="2"/>
  <c r="B821" i="2"/>
  <c r="B3931" i="2"/>
  <c r="B5272" i="2"/>
  <c r="B20257" i="2"/>
  <c r="B22541" i="2"/>
  <c r="B13995" i="2"/>
  <c r="B11336" i="2"/>
  <c r="B35577" i="2"/>
  <c r="B19441" i="2"/>
  <c r="B947" i="2"/>
  <c r="B15979" i="2"/>
  <c r="B16717" i="2"/>
  <c r="B6643" i="2"/>
  <c r="B21568" i="2"/>
  <c r="B2246" i="2"/>
  <c r="B16918" i="2"/>
  <c r="B10468" i="2"/>
  <c r="B35547" i="2"/>
  <c r="B26346" i="2"/>
  <c r="B29259" i="2"/>
  <c r="B1170" i="2"/>
  <c r="B28179" i="2"/>
  <c r="B4255" i="2"/>
  <c r="B18373" i="2"/>
  <c r="B2273" i="2"/>
  <c r="B32827" i="2"/>
  <c r="B7003" i="2"/>
  <c r="B30762" i="2"/>
  <c r="B14421" i="2"/>
  <c r="B12247" i="2"/>
  <c r="B2712" i="2"/>
  <c r="B32503" i="2"/>
  <c r="B22009" i="2"/>
  <c r="B22466" i="2"/>
  <c r="B17556" i="2"/>
  <c r="B14589" i="2"/>
  <c r="B18111" i="2"/>
  <c r="B19125" i="2"/>
  <c r="B26642" i="2"/>
  <c r="B14142" i="2"/>
  <c r="B27150" i="2"/>
  <c r="B22748" i="2"/>
  <c r="B709" i="2"/>
  <c r="B18260" i="2"/>
  <c r="B20518" i="2"/>
  <c r="B25402" i="2"/>
  <c r="B24777" i="2"/>
  <c r="B5078" i="2"/>
  <c r="B34478" i="2"/>
  <c r="B17798" i="2"/>
  <c r="B23115" i="2"/>
  <c r="B1312" i="2"/>
  <c r="B27006" i="2"/>
  <c r="B28107" i="2"/>
  <c r="B6595" i="2"/>
  <c r="B27263" i="2"/>
  <c r="B21451" i="2"/>
  <c r="B29744" i="2"/>
  <c r="B28527" i="2"/>
  <c r="B13958" i="2"/>
  <c r="B6026" i="2"/>
  <c r="B25573" i="2"/>
  <c r="B1013" i="2"/>
  <c r="B33971" i="2"/>
  <c r="B28375" i="2"/>
  <c r="B786" i="2"/>
  <c r="B17811" i="2"/>
  <c r="B27801" i="2"/>
  <c r="B26833" i="2"/>
  <c r="B10551" i="2"/>
  <c r="B10230" i="2"/>
  <c r="B79" i="2"/>
  <c r="B10682" i="2"/>
  <c r="B24261" i="2"/>
  <c r="B559" i="2"/>
  <c r="B14606" i="2"/>
  <c r="B20208" i="2"/>
  <c r="B3679" i="2"/>
  <c r="B35468" i="2"/>
  <c r="B9632" i="2"/>
  <c r="B34531" i="2"/>
  <c r="B24438" i="2"/>
  <c r="B15274" i="2"/>
  <c r="B3078" i="2"/>
  <c r="B7073" i="2"/>
  <c r="B12611" i="2"/>
  <c r="B4088" i="2"/>
  <c r="B7508" i="2"/>
  <c r="B8633" i="2"/>
  <c r="B10058" i="2"/>
  <c r="B1160" i="2"/>
  <c r="B4514" i="2"/>
  <c r="B14245" i="2"/>
  <c r="B28219" i="2"/>
  <c r="B22337" i="2"/>
  <c r="B12908" i="2"/>
  <c r="B27015" i="2"/>
  <c r="B26123" i="2"/>
  <c r="B19522" i="2"/>
  <c r="B23878" i="2"/>
  <c r="B22954" i="2"/>
  <c r="B20852" i="2"/>
  <c r="B34795" i="2"/>
  <c r="B22513" i="2"/>
  <c r="B25229" i="2"/>
  <c r="B15725" i="2"/>
  <c r="B19178" i="2"/>
  <c r="B20541" i="2"/>
  <c r="B568" i="2"/>
  <c r="B27126" i="2"/>
  <c r="B18928" i="2"/>
  <c r="B34472" i="2"/>
  <c r="B11419" i="2"/>
  <c r="B13608" i="2"/>
  <c r="B23768" i="2"/>
  <c r="B4709" i="2"/>
  <c r="B25294" i="2"/>
  <c r="B18846" i="2"/>
  <c r="B34737" i="2"/>
  <c r="B35592" i="2"/>
  <c r="B23530" i="2"/>
  <c r="B27471" i="2"/>
  <c r="B7146" i="2"/>
  <c r="B33957" i="2"/>
  <c r="B17555" i="2"/>
  <c r="B24814" i="2"/>
  <c r="B5832" i="2"/>
  <c r="B33505" i="2"/>
  <c r="B3568" i="2"/>
  <c r="B8755" i="2"/>
  <c r="B11852" i="2"/>
  <c r="B35498" i="2"/>
  <c r="B25511" i="2"/>
  <c r="B31922" i="2"/>
  <c r="B9129" i="2"/>
  <c r="B18662" i="2"/>
  <c r="B29608" i="2"/>
  <c r="B8329" i="2"/>
  <c r="B35949" i="2"/>
  <c r="B18977" i="2"/>
  <c r="B16626" i="2"/>
  <c r="B35705" i="2"/>
  <c r="B19757" i="2"/>
  <c r="B24931" i="2"/>
  <c r="B4384" i="2"/>
  <c r="B5958" i="2"/>
  <c r="B7808" i="2"/>
  <c r="B21030" i="2"/>
  <c r="B30693" i="2"/>
  <c r="B20240" i="2"/>
  <c r="B7375" i="2"/>
  <c r="B22001" i="2"/>
  <c r="B12729" i="2"/>
  <c r="B4591" i="2"/>
  <c r="B21334" i="2"/>
  <c r="B3356" i="2"/>
  <c r="B17010" i="2"/>
  <c r="B35818" i="2"/>
  <c r="B20193" i="2"/>
  <c r="B26998" i="2"/>
  <c r="B31785" i="2"/>
  <c r="B32129" i="2"/>
  <c r="B11132" i="2"/>
  <c r="B11902" i="2"/>
  <c r="B30697" i="2"/>
  <c r="B31221" i="2"/>
  <c r="B8071" i="2"/>
  <c r="B33291" i="2"/>
  <c r="B2335" i="2"/>
  <c r="B3777" i="2"/>
  <c r="B11609" i="2"/>
  <c r="B27697" i="2"/>
  <c r="B29809" i="2"/>
  <c r="B34113" i="2"/>
  <c r="B9721" i="2"/>
  <c r="B20047" i="2"/>
  <c r="B15664" i="2"/>
  <c r="B35815" i="2"/>
  <c r="B33686" i="2"/>
  <c r="B18269" i="2"/>
  <c r="B21971" i="2"/>
  <c r="B34936" i="2"/>
  <c r="B24002" i="2"/>
  <c r="B3901" i="2"/>
  <c r="B12593" i="2"/>
  <c r="B2486" i="2"/>
  <c r="B10231" i="2"/>
  <c r="B8719" i="2"/>
  <c r="B29871" i="2"/>
  <c r="B15613" i="2"/>
  <c r="B14612" i="2"/>
  <c r="B8445" i="2"/>
  <c r="B17516" i="2"/>
  <c r="B11234" i="2"/>
  <c r="B9590" i="2"/>
  <c r="B5448" i="2"/>
  <c r="B19356" i="2"/>
  <c r="B516" i="2"/>
  <c r="B5592" i="2"/>
  <c r="B13493" i="2"/>
  <c r="B12650" i="2"/>
  <c r="B24447" i="2"/>
  <c r="B18737" i="2"/>
  <c r="B7705" i="2"/>
  <c r="B12198" i="2"/>
  <c r="B19540" i="2"/>
  <c r="B11958" i="2"/>
  <c r="B26413" i="2"/>
  <c r="B26962" i="2"/>
  <c r="B31274" i="2"/>
  <c r="B22911" i="2"/>
  <c r="B25313" i="2"/>
  <c r="B33886" i="2"/>
  <c r="B20847" i="2"/>
  <c r="B32167" i="2"/>
  <c r="B21553" i="2"/>
  <c r="B29976" i="2"/>
  <c r="B22411" i="2"/>
  <c r="B28956" i="2"/>
  <c r="B7076" i="2"/>
  <c r="B17931" i="2"/>
  <c r="B20662" i="2"/>
  <c r="B6298" i="2"/>
  <c r="B6727" i="2"/>
  <c r="B17514" i="2"/>
  <c r="B300" i="2"/>
  <c r="B16771" i="2"/>
  <c r="B5261" i="2"/>
  <c r="B24026" i="2"/>
  <c r="B35270" i="2"/>
  <c r="B10785" i="2"/>
  <c r="B11503" i="2"/>
  <c r="B24115" i="2"/>
  <c r="B13585" i="2"/>
  <c r="B26412" i="2"/>
  <c r="B28904" i="2"/>
  <c r="B18062" i="2"/>
  <c r="B18307" i="2"/>
  <c r="B15306" i="2"/>
  <c r="B19893" i="2"/>
  <c r="B25139" i="2"/>
  <c r="B30301" i="2"/>
  <c r="B24929" i="2"/>
  <c r="B16294" i="2"/>
  <c r="B35953" i="2"/>
  <c r="B1254" i="2"/>
  <c r="B23557" i="2"/>
  <c r="B34160" i="2"/>
  <c r="B11868" i="2"/>
  <c r="B12846" i="2"/>
  <c r="B20125" i="2"/>
  <c r="B35463" i="2"/>
  <c r="B16772" i="2"/>
  <c r="B30400" i="2"/>
  <c r="B1527" i="2"/>
  <c r="B11589" i="2"/>
  <c r="B16236" i="2"/>
  <c r="B28007" i="2"/>
  <c r="B9560" i="2"/>
  <c r="B35862" i="2"/>
  <c r="B10515" i="2"/>
  <c r="B3204" i="2"/>
  <c r="B2740" i="2"/>
  <c r="B30415" i="2"/>
  <c r="B12588" i="2"/>
  <c r="B6585" i="2"/>
  <c r="B19773" i="2"/>
  <c r="B13267" i="2"/>
  <c r="B29132" i="2"/>
  <c r="B27193" i="2"/>
  <c r="B9554" i="2"/>
  <c r="B12463" i="2"/>
  <c r="B3350" i="2"/>
  <c r="B35069" i="2"/>
  <c r="B19127" i="2"/>
  <c r="B18250" i="2"/>
  <c r="B5103" i="2"/>
  <c r="B18694" i="2"/>
  <c r="B10418" i="2"/>
  <c r="B14509" i="2"/>
  <c r="B30778" i="2"/>
  <c r="B23798" i="2"/>
  <c r="B22192" i="2"/>
  <c r="B34874" i="2"/>
  <c r="B3341" i="2"/>
  <c r="B2358" i="2"/>
  <c r="B36029" i="2"/>
  <c r="B19922" i="2"/>
  <c r="B36002" i="2"/>
  <c r="B1342" i="2"/>
  <c r="B16337" i="2"/>
  <c r="B26320" i="2"/>
  <c r="B23125" i="2"/>
  <c r="B17005" i="2"/>
  <c r="B1602" i="2"/>
  <c r="B35846" i="2"/>
  <c r="B6184" i="2"/>
  <c r="B35060" i="2"/>
  <c r="B7697" i="2"/>
  <c r="B35700" i="2"/>
  <c r="B20315" i="2"/>
  <c r="B10348" i="2"/>
  <c r="B16727" i="2"/>
  <c r="B14098" i="2"/>
  <c r="B21157" i="2"/>
  <c r="B10096" i="2"/>
  <c r="B1640" i="2"/>
  <c r="B13924" i="2"/>
  <c r="B34754" i="2"/>
  <c r="B12234" i="2"/>
  <c r="B3662" i="2"/>
  <c r="B34881" i="2"/>
  <c r="B24456" i="2"/>
  <c r="B14237" i="2"/>
  <c r="B35227" i="2"/>
  <c r="B18886" i="2"/>
  <c r="B13068" i="2"/>
  <c r="B4039" i="2"/>
  <c r="B2538" i="2"/>
  <c r="B3955" i="2"/>
  <c r="B11188" i="2"/>
  <c r="B24084" i="2"/>
  <c r="B22200" i="2"/>
  <c r="B3709" i="2"/>
  <c r="B24450" i="2"/>
  <c r="B25329" i="2"/>
  <c r="B411" i="2"/>
  <c r="B21248" i="2"/>
  <c r="B12206" i="2"/>
  <c r="B26417" i="2"/>
  <c r="B10362" i="2"/>
  <c r="B17317" i="2"/>
  <c r="B7054" i="2"/>
  <c r="B28585" i="2"/>
  <c r="B1688" i="2"/>
  <c r="B20341" i="2"/>
  <c r="B33675" i="2"/>
  <c r="B26349" i="2"/>
  <c r="B31950" i="2"/>
  <c r="B15063" i="2"/>
  <c r="B18276" i="2"/>
  <c r="B19730" i="2"/>
  <c r="B25912" i="2"/>
  <c r="B6455" i="2"/>
  <c r="B23601" i="2"/>
  <c r="B8166" i="2"/>
  <c r="B16025" i="2"/>
  <c r="B13986" i="2"/>
  <c r="B30966" i="2"/>
  <c r="B9875" i="2"/>
  <c r="B24275" i="2"/>
  <c r="B31006" i="2"/>
  <c r="B25116" i="2"/>
  <c r="B16284" i="2"/>
  <c r="B22266" i="2"/>
  <c r="B9808" i="2"/>
  <c r="B27124" i="2"/>
  <c r="B17073" i="2"/>
  <c r="B7633" i="2"/>
  <c r="B17464" i="2"/>
  <c r="B11801" i="2"/>
  <c r="B25052" i="2"/>
  <c r="B34018" i="2"/>
  <c r="B31042" i="2"/>
  <c r="B21125" i="2"/>
  <c r="B16981" i="2"/>
  <c r="B2512" i="2"/>
  <c r="B4670" i="2"/>
  <c r="B27578" i="2"/>
  <c r="B30896" i="2"/>
  <c r="B20908" i="2"/>
  <c r="B12560" i="2"/>
  <c r="B27977" i="2"/>
  <c r="B35816" i="2"/>
  <c r="B23181" i="2"/>
  <c r="B19423" i="2"/>
  <c r="B35741" i="2"/>
  <c r="B32539" i="2"/>
  <c r="B1738" i="2"/>
  <c r="B3855" i="2"/>
  <c r="B18646" i="2"/>
  <c r="B27052" i="2"/>
  <c r="B32365" i="2"/>
  <c r="B24601" i="2"/>
  <c r="B23588" i="2"/>
  <c r="B25732" i="2"/>
  <c r="B12080" i="2"/>
  <c r="B3664" i="2"/>
  <c r="B25328" i="2"/>
  <c r="B35315" i="2"/>
  <c r="B4982" i="2"/>
  <c r="B35894" i="2"/>
  <c r="B30171" i="2"/>
  <c r="B24892" i="2"/>
  <c r="B27433" i="2"/>
  <c r="B5399" i="2"/>
  <c r="B7792" i="2"/>
  <c r="B26251" i="2"/>
  <c r="B13412" i="2"/>
  <c r="B16480" i="2"/>
  <c r="B16535" i="2"/>
  <c r="B5604" i="2"/>
  <c r="B22931" i="2"/>
  <c r="B23453" i="2"/>
  <c r="B9519" i="2"/>
  <c r="B15800" i="2"/>
  <c r="B20804" i="2"/>
  <c r="B17102" i="2"/>
  <c r="B18253" i="2"/>
  <c r="B30385" i="2"/>
  <c r="B14544" i="2"/>
  <c r="B26493" i="2"/>
  <c r="B17482" i="2"/>
  <c r="B6725" i="2"/>
  <c r="B27783" i="2"/>
  <c r="B29025" i="2"/>
  <c r="B30804" i="2"/>
  <c r="B18338" i="2"/>
  <c r="B3561" i="2"/>
  <c r="B31111" i="2"/>
  <c r="B14305" i="2"/>
  <c r="B24747" i="2"/>
  <c r="B20000" i="2"/>
  <c r="B26331" i="2"/>
  <c r="B17600" i="2"/>
  <c r="B31238" i="2"/>
  <c r="B14656" i="2"/>
  <c r="B34357" i="2"/>
  <c r="B19658" i="2"/>
  <c r="B36095" i="2"/>
  <c r="B24030" i="2"/>
  <c r="B29974" i="2"/>
  <c r="B17914" i="2"/>
  <c r="B33656" i="2"/>
  <c r="B4431" i="2"/>
  <c r="B25533" i="2"/>
  <c r="B33404" i="2"/>
  <c r="B34614" i="2"/>
  <c r="B27346" i="2"/>
  <c r="B9470" i="2"/>
  <c r="B27029" i="2"/>
  <c r="B13048" i="2"/>
  <c r="B1002" i="2"/>
  <c r="B7248" i="2"/>
  <c r="B11309" i="2"/>
  <c r="B20093" i="2"/>
  <c r="B23605" i="2"/>
  <c r="B13805" i="2"/>
  <c r="B23511" i="2"/>
  <c r="B4635" i="2"/>
  <c r="B3115" i="2"/>
  <c r="B23383" i="2"/>
  <c r="B12885" i="2"/>
  <c r="B2670" i="2"/>
  <c r="B14899" i="2"/>
  <c r="B15298" i="2"/>
  <c r="B33443" i="2"/>
  <c r="B32560" i="2"/>
  <c r="B34622" i="2"/>
  <c r="B32140" i="2"/>
  <c r="B12966" i="2"/>
  <c r="B12136" i="2"/>
  <c r="B15138" i="2"/>
  <c r="B32631" i="2"/>
  <c r="B27174" i="2"/>
  <c r="B22644" i="2"/>
  <c r="B17455" i="2"/>
  <c r="B28416" i="2"/>
  <c r="B2602" i="2"/>
  <c r="B35462" i="2"/>
  <c r="B4202" i="2"/>
  <c r="B33762" i="2"/>
  <c r="B32364" i="2"/>
  <c r="B4057" i="2"/>
  <c r="B25166" i="2"/>
  <c r="B31817" i="2"/>
  <c r="B26506" i="2"/>
  <c r="B29352" i="2"/>
  <c r="B13807" i="2"/>
  <c r="B18562" i="2"/>
  <c r="B17503" i="2"/>
  <c r="B30082" i="2"/>
  <c r="B8594" i="2"/>
  <c r="B24373" i="2"/>
  <c r="B27652" i="2"/>
  <c r="B25243" i="2"/>
  <c r="B6928" i="2"/>
  <c r="B20969" i="2"/>
  <c r="B34300" i="2"/>
  <c r="B12614" i="2"/>
  <c r="B27803" i="2"/>
  <c r="B19650" i="2"/>
  <c r="B28957" i="2"/>
  <c r="B29504" i="2"/>
  <c r="B9768" i="2"/>
  <c r="B2881" i="2"/>
  <c r="B35401" i="2"/>
  <c r="B34315" i="2"/>
  <c r="B35861" i="2"/>
  <c r="B2195" i="2"/>
  <c r="B21166" i="2"/>
  <c r="B26266" i="2"/>
  <c r="B34048" i="2"/>
  <c r="B19959" i="2"/>
  <c r="B31747" i="2"/>
  <c r="B19799" i="2"/>
  <c r="B5795" i="2"/>
  <c r="B11237" i="2"/>
  <c r="B5894" i="2"/>
  <c r="B29163" i="2"/>
  <c r="B884" i="2"/>
  <c r="B30158" i="2"/>
  <c r="B10579" i="2"/>
  <c r="B33060" i="2"/>
  <c r="B26064" i="2"/>
  <c r="B34966" i="2"/>
  <c r="B16703" i="2"/>
  <c r="B6113" i="2"/>
  <c r="B14003" i="2"/>
  <c r="B13664" i="2"/>
  <c r="B13723" i="2"/>
  <c r="B27698" i="2"/>
  <c r="B23643" i="2"/>
  <c r="B7124" i="2"/>
  <c r="B24259" i="2"/>
  <c r="B10125" i="2"/>
  <c r="B29940" i="2"/>
  <c r="B18566" i="2"/>
  <c r="B36336" i="2"/>
  <c r="B31372" i="2"/>
  <c r="B16530" i="2"/>
  <c r="B20877" i="2"/>
  <c r="B33920" i="2"/>
  <c r="B21060" i="2"/>
  <c r="B21809" i="2"/>
  <c r="B24605" i="2"/>
  <c r="B24349" i="2"/>
  <c r="B34249" i="2"/>
  <c r="B22189" i="2"/>
  <c r="B7324" i="2"/>
  <c r="B30128" i="2"/>
  <c r="B33296" i="2"/>
  <c r="B25831" i="2"/>
  <c r="B13367" i="2"/>
  <c r="B35810" i="2"/>
  <c r="B1450" i="2"/>
  <c r="B32721" i="2"/>
  <c r="B11751" i="2"/>
  <c r="B6822" i="2"/>
  <c r="B12344" i="2"/>
  <c r="B15572" i="2"/>
  <c r="B10547" i="2"/>
  <c r="B8708" i="2"/>
  <c r="B13007" i="2"/>
  <c r="B25902" i="2"/>
  <c r="B8459" i="2"/>
  <c r="B33954" i="2"/>
  <c r="B19858" i="2"/>
  <c r="B5520" i="2"/>
  <c r="B16557" i="2"/>
  <c r="B27274" i="2"/>
  <c r="B5748" i="2"/>
  <c r="B10947" i="2"/>
  <c r="B7061" i="2"/>
  <c r="B18783" i="2"/>
  <c r="B9509" i="2"/>
  <c r="B11433" i="2"/>
  <c r="B20397" i="2"/>
  <c r="B316" i="2"/>
  <c r="B18200" i="2"/>
  <c r="B23355" i="2"/>
  <c r="B24243" i="2"/>
  <c r="B23378" i="2"/>
  <c r="B30662" i="2"/>
  <c r="B1295" i="2"/>
  <c r="B31505" i="2"/>
  <c r="B29243" i="2"/>
  <c r="B17478" i="2"/>
  <c r="B32146" i="2"/>
  <c r="B7851" i="2"/>
  <c r="B2666" i="2"/>
  <c r="B11764" i="2"/>
  <c r="B34500" i="2"/>
  <c r="B5254" i="2"/>
  <c r="B8412" i="2"/>
  <c r="B15423" i="2"/>
  <c r="B25979" i="2"/>
  <c r="B22957" i="2"/>
  <c r="B10272" i="2"/>
  <c r="B9526" i="2"/>
  <c r="B21896" i="2"/>
  <c r="B2593" i="2"/>
  <c r="B36129" i="2"/>
  <c r="B3805" i="2"/>
  <c r="B17479" i="2"/>
  <c r="B26953" i="2"/>
  <c r="B3605" i="2"/>
  <c r="B30341" i="2"/>
  <c r="B17652" i="2"/>
  <c r="B12613" i="2"/>
  <c r="B29311" i="2"/>
  <c r="B7986" i="2"/>
  <c r="B23010" i="2"/>
  <c r="B8955" i="2"/>
  <c r="B4173" i="2"/>
  <c r="B7098" i="2"/>
  <c r="B28279" i="2"/>
  <c r="B4651" i="2"/>
  <c r="B27555" i="2"/>
  <c r="B11301" i="2"/>
  <c r="B29404" i="2"/>
  <c r="B29069" i="2"/>
  <c r="B3541" i="2"/>
  <c r="B10623" i="2"/>
  <c r="B11334" i="2"/>
  <c r="B432" i="2"/>
  <c r="B13784" i="2"/>
  <c r="B15563" i="2"/>
  <c r="B15363" i="2"/>
  <c r="B23305" i="2"/>
  <c r="B31214" i="2"/>
  <c r="B222" i="2"/>
  <c r="B29364" i="2"/>
  <c r="B19815" i="2"/>
  <c r="B28506" i="2"/>
  <c r="B35061" i="2"/>
  <c r="B34122" i="2"/>
  <c r="B13926" i="2"/>
  <c r="B12012" i="2"/>
  <c r="B15835" i="2"/>
  <c r="B26864" i="2"/>
  <c r="B12662" i="2"/>
  <c r="B30448" i="2"/>
  <c r="B21130" i="2"/>
  <c r="B20943" i="2"/>
  <c r="B35566" i="2"/>
  <c r="B12860" i="2"/>
  <c r="B11697" i="2"/>
  <c r="B20987" i="2"/>
  <c r="B12777" i="2"/>
  <c r="B3872" i="2"/>
  <c r="B28194" i="2"/>
  <c r="B25745" i="2"/>
  <c r="B13855" i="2"/>
  <c r="B31204" i="2"/>
  <c r="B3217" i="2"/>
  <c r="B25909" i="2"/>
  <c r="B24924" i="2"/>
  <c r="B25016" i="2"/>
  <c r="B31540" i="2"/>
  <c r="B4031" i="2"/>
  <c r="B10480" i="2"/>
  <c r="B36286" i="2"/>
  <c r="B8331" i="2"/>
  <c r="B27953" i="2"/>
  <c r="B10708" i="2"/>
  <c r="B33987" i="2"/>
  <c r="B24093" i="2"/>
  <c r="B34852" i="2"/>
  <c r="B30754" i="2"/>
  <c r="B7832" i="2"/>
  <c r="B6408" i="2"/>
  <c r="B30340" i="2"/>
  <c r="B35515" i="2"/>
  <c r="B9655" i="2"/>
  <c r="B6957" i="2"/>
  <c r="B28155" i="2"/>
  <c r="B11981" i="2"/>
  <c r="B33998" i="2"/>
  <c r="B307" i="2"/>
  <c r="B34486" i="2"/>
  <c r="B87" i="2"/>
  <c r="B18837" i="2"/>
  <c r="B15647" i="2"/>
  <c r="B5434" i="2"/>
  <c r="B12165" i="2"/>
  <c r="B16250" i="2"/>
  <c r="B28421" i="2"/>
  <c r="B10688" i="2"/>
  <c r="B34908" i="2"/>
  <c r="B19879" i="2"/>
  <c r="B28151" i="2"/>
  <c r="B14006" i="2"/>
  <c r="B8677" i="2"/>
  <c r="B21267" i="2"/>
  <c r="B3183" i="2"/>
  <c r="B19854" i="2"/>
  <c r="B12453" i="2"/>
  <c r="B15059" i="2"/>
  <c r="B24937" i="2"/>
  <c r="B20553" i="2"/>
  <c r="B6382" i="2"/>
  <c r="B32158" i="2"/>
  <c r="B4780" i="2"/>
  <c r="B11404" i="2"/>
  <c r="B6032" i="2"/>
  <c r="B35502" i="2"/>
  <c r="B23216" i="2"/>
  <c r="B24363" i="2"/>
  <c r="B31301" i="2"/>
  <c r="B497" i="2"/>
  <c r="B18001" i="2"/>
  <c r="B30010" i="2"/>
  <c r="B11839" i="2"/>
  <c r="B5871" i="2"/>
  <c r="B16460" i="2"/>
  <c r="B30612" i="2"/>
  <c r="B826" i="2"/>
  <c r="B21570" i="2"/>
  <c r="B8680" i="2"/>
  <c r="B6368" i="2"/>
  <c r="B22275" i="2"/>
  <c r="B22429" i="2"/>
  <c r="B30121" i="2"/>
  <c r="B6296" i="2"/>
  <c r="B14180" i="2"/>
  <c r="B25775" i="2"/>
  <c r="B18308" i="2"/>
  <c r="B12448" i="2"/>
  <c r="B10934" i="2"/>
  <c r="B31001" i="2"/>
  <c r="B31129" i="2"/>
  <c r="B3706" i="2"/>
  <c r="B21687" i="2"/>
  <c r="B11207" i="2"/>
  <c r="B47" i="2"/>
  <c r="B21935" i="2"/>
  <c r="B2765" i="2"/>
  <c r="B29381" i="2"/>
  <c r="B17028" i="2"/>
  <c r="B18820" i="2"/>
  <c r="B15421" i="2"/>
  <c r="B28000" i="2"/>
  <c r="B1309" i="2"/>
  <c r="B27198" i="2"/>
  <c r="B32305" i="2"/>
  <c r="B14485" i="2"/>
  <c r="B18949" i="2"/>
  <c r="B29193" i="2"/>
  <c r="B19479" i="2"/>
  <c r="B36090" i="2"/>
  <c r="B12272" i="2"/>
  <c r="B2001" i="2"/>
  <c r="B34" i="2"/>
  <c r="B1452" i="2"/>
  <c r="B16135" i="2"/>
  <c r="B16571" i="2"/>
  <c r="B17749" i="2"/>
  <c r="B32475" i="2"/>
  <c r="B33951" i="2"/>
  <c r="B22426" i="2"/>
  <c r="B19772" i="2"/>
  <c r="B25492" i="2"/>
  <c r="B24503" i="2"/>
  <c r="B21608" i="2"/>
  <c r="B10980" i="2"/>
  <c r="B2369" i="2"/>
  <c r="B9919" i="2"/>
  <c r="B13360" i="2"/>
  <c r="B15125" i="2"/>
  <c r="B1276" i="2"/>
  <c r="B26836" i="2"/>
  <c r="B2154" i="2"/>
  <c r="B10" i="2"/>
  <c r="B18189" i="2"/>
  <c r="B16443" i="2"/>
  <c r="B36326" i="2"/>
  <c r="B25593" i="2"/>
  <c r="B21978" i="2"/>
  <c r="B11713" i="2"/>
  <c r="B16122" i="2"/>
  <c r="B4439" i="2"/>
  <c r="B3411" i="2"/>
  <c r="B36287" i="2"/>
  <c r="B16247" i="2"/>
  <c r="B23644" i="2"/>
  <c r="B1017" i="2"/>
  <c r="B19903" i="2"/>
  <c r="B51" i="2"/>
  <c r="B7153" i="2"/>
  <c r="B31794" i="2"/>
  <c r="B25636" i="2"/>
  <c r="B29007" i="2"/>
  <c r="B11934" i="2"/>
  <c r="B25898" i="2"/>
  <c r="B16715" i="2"/>
  <c r="B20354" i="2"/>
  <c r="B35630" i="2"/>
  <c r="B15267" i="2"/>
  <c r="B24490" i="2"/>
  <c r="B13015" i="2"/>
  <c r="B30756" i="2"/>
  <c r="B36363" i="2"/>
  <c r="B1505" i="2"/>
  <c r="B32014" i="2"/>
  <c r="B2601" i="2"/>
  <c r="B19215" i="2"/>
  <c r="B25270" i="2"/>
  <c r="B18218" i="2"/>
  <c r="B13793" i="2"/>
  <c r="B30427" i="2"/>
  <c r="B11809" i="2"/>
  <c r="B8542" i="2"/>
  <c r="B11857" i="2"/>
  <c r="B4568" i="2"/>
  <c r="B34459" i="2"/>
  <c r="B11792" i="2"/>
  <c r="B12716" i="2"/>
  <c r="B28103" i="2"/>
  <c r="B5173" i="2"/>
  <c r="B33791" i="2"/>
  <c r="B11087" i="2"/>
  <c r="B31393" i="2"/>
  <c r="B25228" i="2"/>
  <c r="B27965" i="2"/>
  <c r="B13263" i="2"/>
  <c r="B31981" i="2"/>
  <c r="B8409" i="2"/>
  <c r="B2605" i="2"/>
  <c r="B6073" i="2"/>
  <c r="B9291" i="2"/>
  <c r="B17314" i="2"/>
  <c r="B22113" i="2"/>
  <c r="B13055" i="2"/>
  <c r="B1419" i="2"/>
  <c r="B13337" i="2"/>
  <c r="B18542" i="2"/>
  <c r="B22994" i="2"/>
  <c r="B14197" i="2"/>
  <c r="B32564" i="2"/>
  <c r="B15273" i="2"/>
  <c r="B32800" i="2"/>
  <c r="B2056" i="2"/>
  <c r="B16588" i="2"/>
  <c r="B13180" i="2"/>
  <c r="B27043" i="2"/>
  <c r="B28448" i="2"/>
  <c r="B22363" i="2"/>
  <c r="B2693" i="2"/>
  <c r="B8544" i="2"/>
  <c r="B21861" i="2"/>
  <c r="B22837" i="2"/>
  <c r="B36308" i="2"/>
  <c r="B1330" i="2"/>
  <c r="B24637" i="2"/>
  <c r="B30791" i="2"/>
  <c r="B16043" i="2"/>
  <c r="B16312" i="2"/>
  <c r="B33070" i="2"/>
  <c r="B15034" i="2"/>
  <c r="B17897" i="2"/>
  <c r="B5080" i="2"/>
  <c r="B15429" i="2"/>
  <c r="B27930" i="2"/>
  <c r="B6417" i="2"/>
  <c r="B25657" i="2"/>
  <c r="B12530" i="2"/>
  <c r="B19750" i="2"/>
  <c r="B26109" i="2"/>
  <c r="B24752" i="2"/>
  <c r="B29348" i="2"/>
  <c r="B27618" i="2"/>
  <c r="B11235" i="2"/>
  <c r="B27798" i="2"/>
  <c r="B10655" i="2"/>
  <c r="B25393" i="2"/>
  <c r="B16706" i="2"/>
  <c r="B25446" i="2"/>
  <c r="B36124" i="2"/>
  <c r="B6380" i="2"/>
  <c r="B17932" i="2"/>
  <c r="B21734" i="2"/>
  <c r="B35896" i="2"/>
  <c r="B35275" i="2"/>
  <c r="B18972" i="2"/>
  <c r="B10041" i="2"/>
  <c r="B8746" i="2"/>
  <c r="B27100" i="2"/>
  <c r="B1693" i="2"/>
  <c r="B19741" i="2"/>
  <c r="B26419" i="2"/>
  <c r="B18851" i="2"/>
  <c r="B32289" i="2"/>
  <c r="B8949" i="2"/>
  <c r="B16525" i="2"/>
  <c r="B29909" i="2"/>
  <c r="B23736" i="2"/>
  <c r="B31591" i="2"/>
  <c r="B14067" i="2"/>
  <c r="B16799" i="2"/>
  <c r="B1037" i="2"/>
  <c r="B20904" i="2"/>
  <c r="B11647" i="2"/>
  <c r="B34229" i="2"/>
  <c r="B27287" i="2"/>
  <c r="B15677" i="2"/>
  <c r="B23672" i="2"/>
  <c r="B22662" i="2"/>
  <c r="B22656" i="2"/>
  <c r="B33393" i="2"/>
  <c r="B9885" i="2"/>
  <c r="B16935" i="2"/>
  <c r="B8078" i="2"/>
  <c r="B25441" i="2"/>
  <c r="B3211" i="2"/>
  <c r="B9881" i="2"/>
  <c r="B35734" i="2"/>
  <c r="B7442" i="2"/>
  <c r="B23690" i="2"/>
  <c r="B29135" i="2"/>
  <c r="B3006" i="2"/>
  <c r="B23061" i="2"/>
  <c r="B9376" i="2"/>
  <c r="B8595" i="2"/>
  <c r="B26274" i="2"/>
  <c r="B15235" i="2"/>
  <c r="B9709" i="2"/>
  <c r="B9397" i="2"/>
  <c r="B16368" i="2"/>
  <c r="B4664" i="2"/>
  <c r="B21939" i="2"/>
  <c r="B8223" i="2"/>
  <c r="B21337" i="2"/>
  <c r="B13596" i="2"/>
  <c r="B14596" i="2"/>
  <c r="B24166" i="2"/>
  <c r="B3905" i="2"/>
  <c r="B31829" i="2"/>
  <c r="B19747" i="2"/>
  <c r="B31858" i="2"/>
  <c r="B36180" i="2"/>
  <c r="B34609" i="2"/>
  <c r="B13977" i="2"/>
  <c r="B832" i="2"/>
  <c r="B6925" i="2"/>
  <c r="B28788" i="2"/>
  <c r="B28594" i="2"/>
  <c r="B3770" i="2"/>
  <c r="B15646" i="2"/>
  <c r="B24390" i="2"/>
  <c r="B18595" i="2"/>
  <c r="B9022" i="2"/>
  <c r="B27602" i="2"/>
  <c r="B9814" i="2"/>
  <c r="B9226" i="2"/>
  <c r="B19266" i="2"/>
  <c r="B14082" i="2"/>
  <c r="B36011" i="2"/>
  <c r="B24653" i="2"/>
  <c r="B13453" i="2"/>
  <c r="B18344" i="2"/>
  <c r="B20717" i="2"/>
  <c r="B23611" i="2"/>
  <c r="B29895" i="2"/>
  <c r="B31766" i="2"/>
  <c r="B5426" i="2"/>
  <c r="B13758" i="2"/>
  <c r="B12587" i="2"/>
  <c r="B22213" i="2"/>
  <c r="B7829" i="2"/>
  <c r="B1403" i="2"/>
  <c r="B19721" i="2"/>
  <c r="B34545" i="2"/>
  <c r="B14625" i="2"/>
  <c r="B10921" i="2"/>
  <c r="B31147" i="2"/>
  <c r="B30032" i="2"/>
  <c r="B31091" i="2"/>
  <c r="B16644" i="2"/>
  <c r="B19195" i="2"/>
  <c r="B6738" i="2"/>
  <c r="B28934" i="2"/>
  <c r="B35065" i="2"/>
  <c r="B11566" i="2"/>
  <c r="B27518" i="2"/>
  <c r="B14645" i="2"/>
  <c r="B18207" i="2"/>
  <c r="B35028" i="2"/>
  <c r="B34712" i="2"/>
  <c r="B22805" i="2"/>
  <c r="B23270" i="2"/>
  <c r="B6409" i="2"/>
  <c r="B9785" i="2"/>
  <c r="B20938" i="2"/>
  <c r="B35301" i="2"/>
  <c r="B25224" i="2"/>
  <c r="B16537" i="2"/>
  <c r="B2939" i="2"/>
  <c r="B363" i="2"/>
  <c r="B3223" i="2"/>
  <c r="B35657" i="2"/>
  <c r="B2484" i="2"/>
  <c r="B6176" i="2"/>
  <c r="B7304" i="2"/>
  <c r="B3713" i="2"/>
  <c r="B7788" i="2"/>
  <c r="B19617" i="2"/>
  <c r="B29303" i="2"/>
  <c r="B35533" i="2"/>
  <c r="B717" i="2"/>
  <c r="B2706" i="2"/>
  <c r="B35232" i="2"/>
  <c r="B32236" i="2"/>
  <c r="B2106" i="2"/>
  <c r="B24555" i="2"/>
  <c r="B25925" i="2"/>
  <c r="B19722" i="2"/>
  <c r="B1871" i="2"/>
  <c r="B2697" i="2"/>
  <c r="B28021" i="2"/>
  <c r="B15012" i="2"/>
  <c r="B7476" i="2"/>
  <c r="B7435" i="2"/>
  <c r="B12389" i="2"/>
  <c r="B16550" i="2"/>
  <c r="B10046" i="2"/>
  <c r="B33041" i="2"/>
  <c r="B20976" i="2"/>
  <c r="B35686" i="2"/>
  <c r="B9385" i="2"/>
  <c r="B24105" i="2"/>
  <c r="B4574" i="2"/>
  <c r="B30632" i="2"/>
  <c r="B17746" i="2"/>
  <c r="B25110" i="2"/>
  <c r="B8377" i="2"/>
  <c r="B1315" i="2"/>
  <c r="B5620" i="2"/>
  <c r="B2494" i="2"/>
  <c r="B2603" i="2"/>
  <c r="B24220" i="2"/>
  <c r="B18986" i="2"/>
  <c r="B25495" i="2"/>
  <c r="B5337" i="2"/>
  <c r="B193" i="2"/>
  <c r="B9903" i="2"/>
  <c r="B14026" i="2"/>
  <c r="B14599" i="2"/>
  <c r="B6393" i="2"/>
  <c r="B1237" i="2"/>
  <c r="B15862" i="2"/>
  <c r="B16150" i="2"/>
  <c r="B26210" i="2"/>
  <c r="B14099" i="2"/>
  <c r="B28786" i="2"/>
  <c r="B35345" i="2"/>
  <c r="B34559" i="2"/>
  <c r="B18048" i="2"/>
  <c r="B28683" i="2"/>
  <c r="B32087" i="2"/>
  <c r="B24611" i="2"/>
  <c r="B2183" i="2"/>
  <c r="B12034" i="2"/>
  <c r="B27822" i="2"/>
  <c r="B5995" i="2"/>
  <c r="B17908" i="2"/>
  <c r="B824" i="2"/>
  <c r="B32923" i="2"/>
  <c r="B35313" i="2"/>
  <c r="B17110" i="2"/>
  <c r="B15974" i="2"/>
  <c r="B16987" i="2"/>
  <c r="B32301" i="2"/>
  <c r="B26943" i="2"/>
  <c r="B28011" i="2"/>
  <c r="B177" i="2"/>
  <c r="B21385" i="2"/>
  <c r="B184" i="2"/>
  <c r="B4440" i="2"/>
  <c r="B23517" i="2"/>
  <c r="B17971" i="2"/>
  <c r="B30218" i="2"/>
  <c r="B12494" i="2"/>
  <c r="B2022" i="2"/>
  <c r="B26066" i="2"/>
  <c r="B2719" i="2"/>
  <c r="B3308" i="2"/>
  <c r="B23032" i="2"/>
  <c r="B14574" i="2"/>
  <c r="B993" i="2"/>
  <c r="B25339" i="2"/>
  <c r="B9828" i="2"/>
  <c r="B16417" i="2"/>
  <c r="B29731" i="2"/>
  <c r="B27863" i="2"/>
  <c r="B17176" i="2"/>
  <c r="B15836" i="2"/>
  <c r="B25401" i="2"/>
  <c r="B34959" i="2"/>
  <c r="B5281" i="2"/>
  <c r="B2673" i="2"/>
  <c r="B15787" i="2"/>
  <c r="B19494" i="2"/>
  <c r="B33937" i="2"/>
  <c r="B1416" i="2"/>
  <c r="B32043" i="2"/>
  <c r="B6821" i="2"/>
  <c r="B31250" i="2"/>
  <c r="B12228" i="2"/>
  <c r="B12142" i="2"/>
  <c r="B20799" i="2"/>
  <c r="B36072" i="2"/>
  <c r="B32681" i="2"/>
  <c r="B21703" i="2"/>
  <c r="B5079" i="2"/>
  <c r="B16869" i="2"/>
  <c r="B34729" i="2"/>
  <c r="B32091" i="2"/>
  <c r="B18016" i="2"/>
  <c r="B31071" i="2"/>
  <c r="B3327" i="2"/>
  <c r="B4212" i="2"/>
  <c r="B30473" i="2"/>
  <c r="B18158" i="2"/>
  <c r="B35604" i="2"/>
  <c r="B29165" i="2"/>
  <c r="B3290" i="2"/>
  <c r="B15008" i="2"/>
  <c r="B19808" i="2"/>
  <c r="B14548" i="2"/>
  <c r="B35276" i="2"/>
  <c r="B30802" i="2"/>
  <c r="B1926" i="2"/>
  <c r="B14650" i="2"/>
  <c r="B23505" i="2"/>
  <c r="B5371" i="2"/>
  <c r="B10097" i="2"/>
  <c r="B16362" i="2"/>
  <c r="B4991" i="2"/>
  <c r="B2575" i="2"/>
  <c r="B21911" i="2"/>
  <c r="B5933" i="2"/>
  <c r="B28830" i="2"/>
  <c r="B21347" i="2"/>
  <c r="B34971" i="2"/>
  <c r="B31285" i="2"/>
  <c r="B4895" i="2"/>
  <c r="B21683" i="2"/>
  <c r="B33555" i="2"/>
  <c r="B23694" i="2"/>
  <c r="B16874" i="2"/>
  <c r="B458" i="2"/>
  <c r="B8830" i="2"/>
  <c r="B24917" i="2"/>
  <c r="B1510" i="2"/>
  <c r="B30175" i="2"/>
  <c r="B3406" i="2"/>
  <c r="B28970" i="2"/>
  <c r="B33558" i="2"/>
  <c r="B4652" i="2"/>
  <c r="B26161" i="2"/>
  <c r="B10432" i="2"/>
  <c r="B718" i="2"/>
  <c r="B10173" i="2"/>
  <c r="B16523" i="2"/>
  <c r="B10350" i="2"/>
  <c r="B13478" i="2"/>
  <c r="B21840" i="2"/>
  <c r="B21948" i="2"/>
  <c r="B35872" i="2"/>
  <c r="B5467" i="2"/>
  <c r="B23754" i="2"/>
  <c r="B3893" i="2"/>
  <c r="B21303" i="2"/>
  <c r="B22382" i="2"/>
  <c r="B35428" i="2"/>
  <c r="B26078" i="2"/>
  <c r="B16804" i="2"/>
  <c r="B8591" i="2"/>
  <c r="B30120" i="2"/>
  <c r="B20922" i="2"/>
  <c r="B11649" i="2"/>
  <c r="B26661" i="2"/>
  <c r="B11803" i="2"/>
  <c r="B27122" i="2"/>
  <c r="B22165" i="2"/>
  <c r="B29606" i="2"/>
  <c r="B7532" i="2"/>
  <c r="B33374" i="2"/>
  <c r="B27626" i="2"/>
  <c r="B33215" i="2"/>
  <c r="B19368" i="2"/>
  <c r="B16151" i="2"/>
  <c r="B27355" i="2"/>
  <c r="B18690" i="2"/>
  <c r="B33999" i="2"/>
  <c r="B19042" i="2"/>
  <c r="B35075" i="2"/>
  <c r="B14901" i="2"/>
  <c r="B8559" i="2"/>
  <c r="B16455" i="2"/>
  <c r="B18809" i="2"/>
  <c r="B17211" i="2"/>
  <c r="B29768" i="2"/>
  <c r="B13540" i="2"/>
  <c r="B35357" i="2"/>
  <c r="B19727" i="2"/>
  <c r="B34822" i="2"/>
  <c r="B10078" i="2"/>
  <c r="B11507" i="2"/>
  <c r="B3665" i="2"/>
  <c r="B17921" i="2"/>
  <c r="B34948" i="2"/>
  <c r="B34219" i="2"/>
  <c r="B13824" i="2"/>
  <c r="B2316" i="2"/>
  <c r="B12531" i="2"/>
  <c r="B31146" i="2"/>
  <c r="B24111" i="2"/>
  <c r="B33640" i="2"/>
  <c r="B1712" i="2"/>
  <c r="B18061" i="2"/>
  <c r="B29179" i="2"/>
  <c r="B22396" i="2"/>
  <c r="B30784" i="2"/>
  <c r="B1885" i="2"/>
  <c r="B16017" i="2"/>
  <c r="B6680" i="2"/>
  <c r="B3114" i="2"/>
  <c r="B5279" i="2"/>
  <c r="B20997" i="2"/>
  <c r="B18261" i="2"/>
  <c r="B23629" i="2"/>
  <c r="B27716" i="2"/>
  <c r="B23634" i="2"/>
  <c r="B23489" i="2"/>
  <c r="B29043" i="2"/>
  <c r="B4551" i="2"/>
  <c r="B31294" i="2"/>
  <c r="B22744" i="2"/>
  <c r="B22219" i="2"/>
  <c r="B11119" i="2"/>
  <c r="B29102" i="2"/>
  <c r="B12050" i="2"/>
  <c r="B31236" i="2"/>
  <c r="B34427" i="2"/>
  <c r="B22064" i="2"/>
  <c r="B19108" i="2"/>
  <c r="B31532" i="2"/>
  <c r="B34039" i="2"/>
  <c r="B21563" i="2"/>
  <c r="B18199" i="2"/>
  <c r="B28891" i="2"/>
  <c r="B24190" i="2"/>
  <c r="B2968" i="2"/>
  <c r="B25690" i="2"/>
  <c r="B14649" i="2"/>
  <c r="B2108" i="2"/>
  <c r="B16943" i="2"/>
  <c r="B14122" i="2"/>
  <c r="B5170" i="2"/>
  <c r="B162" i="2"/>
  <c r="B28397" i="2"/>
  <c r="B14855" i="2"/>
  <c r="B32599" i="2"/>
  <c r="B18400" i="2"/>
  <c r="B27733" i="2"/>
  <c r="B28223" i="2"/>
  <c r="B8871" i="2"/>
  <c r="B31335" i="2"/>
  <c r="B22335" i="2"/>
  <c r="B1536" i="2"/>
  <c r="B27299" i="2"/>
  <c r="B2348" i="2"/>
  <c r="B19953" i="2"/>
  <c r="B7627" i="2"/>
  <c r="B22272" i="2"/>
  <c r="B27089" i="2"/>
  <c r="B26773" i="2"/>
  <c r="B22010" i="2"/>
  <c r="B21326" i="2"/>
  <c r="B6141" i="2"/>
  <c r="B32072" i="2"/>
  <c r="B31185" i="2"/>
  <c r="B8609" i="2"/>
  <c r="B19062" i="2"/>
  <c r="B11716" i="2"/>
  <c r="B4216" i="2"/>
  <c r="B27185" i="2"/>
  <c r="B12590" i="2"/>
  <c r="B8616" i="2"/>
  <c r="B34205" i="2"/>
  <c r="B9698" i="2"/>
  <c r="B356" i="2"/>
  <c r="B19848" i="2"/>
  <c r="B35773" i="2"/>
  <c r="B34011" i="2"/>
  <c r="B13020" i="2"/>
  <c r="B8454" i="2"/>
  <c r="B21845" i="2"/>
  <c r="B22319" i="2"/>
  <c r="B11124" i="2"/>
  <c r="B16493" i="2"/>
  <c r="B31718" i="2"/>
  <c r="B11123" i="2"/>
  <c r="B20835" i="2"/>
  <c r="B28350" i="2"/>
  <c r="B13176" i="2"/>
  <c r="B29490" i="2"/>
  <c r="B23973" i="2"/>
  <c r="B20780" i="2"/>
  <c r="B24014" i="2"/>
  <c r="B13794" i="2"/>
  <c r="B14521" i="2"/>
  <c r="B21838" i="2"/>
  <c r="B35929" i="2"/>
  <c r="B15061" i="2"/>
  <c r="B4454" i="2"/>
  <c r="B12744" i="2"/>
  <c r="B6225" i="2"/>
  <c r="B1203" i="2"/>
  <c r="B19987" i="2"/>
  <c r="B23716" i="2"/>
  <c r="B14393" i="2"/>
  <c r="B978" i="2"/>
  <c r="B4640" i="2"/>
  <c r="B21428" i="2"/>
  <c r="B9368" i="2"/>
  <c r="B35252" i="2"/>
  <c r="B6209" i="2"/>
  <c r="B18383" i="2"/>
  <c r="B31348" i="2"/>
  <c r="B21977" i="2"/>
  <c r="B15449" i="2"/>
  <c r="B4851" i="2"/>
  <c r="B33836" i="2"/>
  <c r="B25167" i="2"/>
  <c r="B15684" i="2"/>
  <c r="B35905" i="2"/>
  <c r="B12787" i="2"/>
  <c r="B460" i="2"/>
  <c r="B26638" i="2"/>
  <c r="B11788" i="2"/>
  <c r="B23245" i="2"/>
  <c r="B3646" i="2"/>
  <c r="B21674" i="2"/>
  <c r="B6053" i="2"/>
  <c r="B34265" i="2"/>
  <c r="B34099" i="2"/>
  <c r="B8924" i="2"/>
  <c r="B22772" i="2"/>
  <c r="B17103" i="2"/>
  <c r="B3867" i="2"/>
  <c r="B2741" i="2"/>
  <c r="B34774" i="2"/>
  <c r="B33847" i="2"/>
  <c r="B29637" i="2"/>
  <c r="B16503" i="2"/>
  <c r="B1146" i="2"/>
  <c r="B4498" i="2"/>
  <c r="B5229" i="2"/>
  <c r="B14830" i="2"/>
  <c r="B30135" i="2"/>
  <c r="B27240" i="2"/>
  <c r="B31790" i="2"/>
  <c r="B3383" i="2"/>
  <c r="B32598" i="2"/>
  <c r="B3238" i="2"/>
  <c r="B34366" i="2"/>
  <c r="B28759" i="2"/>
  <c r="B6496" i="2"/>
  <c r="B18798" i="2"/>
  <c r="B28811" i="2"/>
  <c r="B6762" i="2"/>
  <c r="B22806" i="2"/>
  <c r="B16529" i="2"/>
  <c r="B137" i="2"/>
  <c r="B27059" i="2"/>
  <c r="B31831" i="2"/>
  <c r="B12751" i="2"/>
  <c r="B3166" i="2"/>
  <c r="B18989" i="2"/>
  <c r="B15573" i="2"/>
  <c r="B4510" i="2"/>
  <c r="B2422" i="2"/>
  <c r="B33319" i="2"/>
  <c r="B9993" i="2"/>
  <c r="B17521" i="2"/>
  <c r="B17569" i="2"/>
  <c r="B10212" i="2"/>
  <c r="B36360" i="2"/>
  <c r="B17950" i="2"/>
  <c r="B90" i="2"/>
  <c r="B34147" i="2"/>
  <c r="B3522" i="2"/>
  <c r="B11579" i="2"/>
  <c r="B16366" i="2"/>
  <c r="B14890" i="2"/>
  <c r="B4000" i="2"/>
  <c r="B6062" i="2"/>
  <c r="B15623" i="2"/>
  <c r="B20046" i="2"/>
  <c r="B20913" i="2"/>
  <c r="B4017" i="2"/>
  <c r="B32612" i="2"/>
  <c r="B29507" i="2"/>
  <c r="B32901" i="2"/>
  <c r="B35172" i="2"/>
  <c r="B21037" i="2"/>
  <c r="B33842" i="2"/>
  <c r="B25629" i="2"/>
  <c r="B11322" i="2"/>
  <c r="B29235" i="2"/>
  <c r="B5128" i="2"/>
  <c r="B29624" i="2"/>
  <c r="B13799" i="2"/>
  <c r="B21022" i="2"/>
  <c r="B13104" i="2"/>
  <c r="B17030" i="2"/>
  <c r="B29978" i="2"/>
  <c r="B25292" i="2"/>
  <c r="B23359" i="2"/>
  <c r="B23534" i="2"/>
  <c r="B17917" i="2"/>
  <c r="B2847" i="2"/>
  <c r="B7940" i="2"/>
  <c r="B31243" i="2"/>
  <c r="B22838" i="2"/>
  <c r="B9" i="2"/>
  <c r="B19432" i="2"/>
  <c r="B9426" i="2"/>
  <c r="B32670" i="2"/>
  <c r="B32939" i="2"/>
  <c r="B34508" i="2"/>
  <c r="B35544" i="2"/>
  <c r="B11643" i="2"/>
  <c r="B35581" i="2"/>
  <c r="B13065" i="2"/>
  <c r="B19713" i="2"/>
  <c r="B2633" i="2"/>
  <c r="B25557" i="2"/>
  <c r="B17245" i="2"/>
  <c r="B3261" i="2"/>
  <c r="B12677" i="2"/>
  <c r="B21889" i="2"/>
  <c r="B27923" i="2"/>
  <c r="B1090" i="2"/>
  <c r="B22617" i="2"/>
  <c r="B31275" i="2"/>
  <c r="B1464" i="2"/>
  <c r="B6684" i="2"/>
  <c r="B4599" i="2"/>
  <c r="B7016" i="2"/>
  <c r="B26575" i="2"/>
  <c r="B5910" i="2"/>
  <c r="B4512" i="2"/>
  <c r="B31017" i="2"/>
  <c r="B28050" i="2"/>
  <c r="B14962" i="2"/>
  <c r="B3475" i="2"/>
  <c r="B24855" i="2"/>
  <c r="B6567" i="2"/>
  <c r="B11565" i="2"/>
  <c r="B21650" i="2"/>
  <c r="B17507" i="2"/>
  <c r="B14103" i="2"/>
  <c r="B26906" i="2"/>
  <c r="B14155" i="2"/>
  <c r="B6160" i="2"/>
  <c r="B23490" i="2"/>
  <c r="B10990" i="2"/>
  <c r="B25962" i="2"/>
  <c r="B32817" i="2"/>
  <c r="B18814" i="2"/>
  <c r="B7385" i="2"/>
  <c r="B6744" i="2"/>
  <c r="B754" i="2"/>
  <c r="B13888" i="2"/>
  <c r="B24509" i="2"/>
  <c r="B13703" i="2"/>
  <c r="B31780" i="2"/>
  <c r="B27335" i="2"/>
  <c r="B21498" i="2"/>
  <c r="B33714" i="2"/>
  <c r="B33994" i="2"/>
  <c r="B17221" i="2"/>
  <c r="B18235" i="2"/>
  <c r="B14555" i="2"/>
  <c r="B26595" i="2"/>
  <c r="B24232" i="2"/>
  <c r="B14583" i="2"/>
  <c r="B7573" i="2"/>
  <c r="B30052" i="2"/>
  <c r="B11306" i="2"/>
  <c r="B6863" i="2"/>
  <c r="B22499" i="2"/>
  <c r="B12489" i="2"/>
  <c r="B12471" i="2"/>
  <c r="B23558" i="2"/>
  <c r="B10266" i="2"/>
  <c r="B29899" i="2"/>
  <c r="B35368" i="2"/>
  <c r="B11686" i="2"/>
  <c r="B22570" i="2"/>
  <c r="B29588" i="2"/>
  <c r="B27167" i="2"/>
  <c r="B28926" i="2"/>
  <c r="B12285" i="2"/>
  <c r="B10962" i="2"/>
  <c r="B32502" i="2"/>
  <c r="B31388" i="2"/>
  <c r="B20379" i="2"/>
  <c r="B11271" i="2"/>
  <c r="B2301" i="2"/>
  <c r="B19011" i="2"/>
  <c r="B5350" i="2"/>
  <c r="B26116" i="2"/>
  <c r="B25612" i="2"/>
  <c r="B7795" i="2"/>
  <c r="B8244" i="2"/>
  <c r="B9126" i="2"/>
  <c r="B22733" i="2"/>
  <c r="B34386" i="2"/>
  <c r="B34166" i="2"/>
  <c r="B19003" i="2"/>
  <c r="B28622" i="2"/>
  <c r="B9431" i="2"/>
  <c r="B10333" i="2"/>
  <c r="B21653" i="2"/>
  <c r="B18438" i="2"/>
  <c r="B27565" i="2"/>
  <c r="B28982" i="2"/>
  <c r="B29216" i="2"/>
  <c r="B10884" i="2"/>
  <c r="B5942" i="2"/>
  <c r="B24383" i="2"/>
  <c r="B24789" i="2"/>
  <c r="B28781" i="2"/>
  <c r="B29590" i="2"/>
  <c r="B35179" i="2"/>
  <c r="B19612" i="2"/>
  <c r="B30739" i="2"/>
  <c r="B31009" i="2"/>
  <c r="B9202" i="2"/>
  <c r="B35023" i="2"/>
  <c r="B21910" i="2"/>
  <c r="B28389" i="2"/>
  <c r="B2941" i="2"/>
  <c r="B17679" i="2"/>
  <c r="B19801" i="2"/>
  <c r="B26259" i="2"/>
  <c r="B32798" i="2"/>
  <c r="B30481" i="2"/>
  <c r="B30420" i="2"/>
  <c r="B6023" i="2"/>
  <c r="B35115" i="2"/>
  <c r="B11106" i="2"/>
  <c r="B5875" i="2"/>
  <c r="B34441" i="2"/>
  <c r="B17252" i="2"/>
  <c r="B16997" i="2"/>
  <c r="B29832" i="2"/>
  <c r="B14100" i="2"/>
  <c r="B13241" i="2"/>
  <c r="B2294" i="2"/>
  <c r="B25842" i="2"/>
  <c r="B13775" i="2"/>
  <c r="B3700" i="2"/>
  <c r="B17372" i="2"/>
  <c r="B32055" i="2"/>
  <c r="B14127" i="2"/>
  <c r="B30337" i="2"/>
  <c r="B15182" i="2"/>
  <c r="B30468" i="2"/>
  <c r="B10796" i="2"/>
  <c r="B14851" i="2"/>
  <c r="B24465" i="2"/>
  <c r="B14804" i="2"/>
  <c r="B19305" i="2"/>
  <c r="B236" i="2"/>
  <c r="B32998" i="2"/>
  <c r="B36347" i="2"/>
  <c r="B28330" i="2"/>
  <c r="B3180" i="2"/>
  <c r="B32756" i="2"/>
  <c r="B17406" i="2"/>
  <c r="B16574" i="2"/>
  <c r="B10951" i="2"/>
  <c r="B20040" i="2"/>
  <c r="B2492" i="2"/>
  <c r="B18417" i="2"/>
  <c r="B23531" i="2"/>
  <c r="B32214" i="2"/>
  <c r="B13311" i="2"/>
  <c r="B4976" i="2"/>
  <c r="B25793" i="2"/>
  <c r="B21893" i="2"/>
  <c r="B31229" i="2"/>
  <c r="B1283" i="2"/>
  <c r="B4258" i="2"/>
  <c r="B19110" i="2"/>
  <c r="B13256" i="2"/>
  <c r="B14840" i="2"/>
  <c r="B35962" i="2"/>
  <c r="B35117" i="2"/>
  <c r="B9018" i="2"/>
  <c r="B17216" i="2"/>
  <c r="B36218" i="2"/>
  <c r="B3952" i="2"/>
  <c r="B27538" i="2"/>
  <c r="B9459" i="2"/>
  <c r="B20209" i="2"/>
  <c r="B28049" i="2"/>
  <c r="B28718" i="2"/>
  <c r="B20241" i="2"/>
  <c r="B34299" i="2"/>
  <c r="B11794" i="2"/>
  <c r="B18027" i="2"/>
  <c r="B32445" i="2"/>
  <c r="B34909" i="2"/>
  <c r="B14333" i="2"/>
  <c r="B10518" i="2"/>
  <c r="B6800" i="2"/>
  <c r="B19436" i="2"/>
  <c r="B27494" i="2"/>
  <c r="B3922" i="2"/>
  <c r="B6915" i="2"/>
  <c r="B1676" i="2"/>
  <c r="B17858" i="2"/>
  <c r="B14111" i="2"/>
  <c r="B28863" i="2"/>
  <c r="B18757" i="2"/>
  <c r="B25138" i="2"/>
  <c r="B25404" i="2"/>
  <c r="B25808" i="2"/>
  <c r="B3504" i="2"/>
  <c r="B18087" i="2"/>
  <c r="B5188" i="2"/>
  <c r="B2321" i="2"/>
  <c r="B15615" i="2"/>
  <c r="B17384" i="2"/>
  <c r="B12971" i="2"/>
  <c r="B19463" i="2"/>
  <c r="B30826" i="2"/>
  <c r="B17198" i="2"/>
  <c r="B1113" i="2"/>
  <c r="B23738" i="2"/>
  <c r="B25465" i="2"/>
  <c r="B1087" i="2"/>
  <c r="B15105" i="2"/>
  <c r="B28451" i="2"/>
  <c r="B22015" i="2"/>
  <c r="B8945" i="2"/>
  <c r="B18256" i="2"/>
  <c r="B4932" i="2"/>
  <c r="B20309" i="2"/>
  <c r="B820" i="2"/>
  <c r="B6976" i="2"/>
  <c r="B19476" i="2"/>
  <c r="B35212" i="2"/>
  <c r="B25153" i="2"/>
  <c r="B30500" i="2"/>
  <c r="B2891" i="2"/>
  <c r="B9975" i="2"/>
  <c r="B27419" i="2"/>
  <c r="B32867" i="2"/>
  <c r="B1199" i="2"/>
  <c r="B1930" i="2"/>
  <c r="B32950" i="2"/>
  <c r="B20894" i="2"/>
  <c r="B2947" i="2"/>
  <c r="B32725" i="2"/>
  <c r="B31134" i="2"/>
  <c r="B3441" i="2"/>
  <c r="B18174" i="2"/>
  <c r="B5509" i="2"/>
  <c r="B8762" i="2"/>
  <c r="B21582" i="2"/>
  <c r="B1207" i="2"/>
  <c r="B12425" i="2"/>
  <c r="B33465" i="2"/>
  <c r="B2131" i="2"/>
  <c r="B10152" i="2"/>
  <c r="B26795" i="2"/>
  <c r="B18114" i="2"/>
  <c r="B27347" i="2"/>
  <c r="B4813" i="2"/>
  <c r="B18894" i="2"/>
  <c r="B28426" i="2"/>
  <c r="B25843" i="2"/>
  <c r="B19054" i="2"/>
  <c r="B33179" i="2"/>
  <c r="B36104" i="2"/>
  <c r="B30884" i="2"/>
  <c r="B30931" i="2"/>
  <c r="B13274" i="2"/>
  <c r="B22817" i="2"/>
  <c r="B20899" i="2"/>
  <c r="B15817" i="2"/>
  <c r="B30433" i="2"/>
  <c r="B6697" i="2"/>
  <c r="B27437" i="2"/>
  <c r="B25491" i="2"/>
  <c r="B5310" i="2"/>
  <c r="B26831" i="2"/>
  <c r="B30449" i="2"/>
  <c r="B26920" i="2"/>
  <c r="B23909" i="2"/>
  <c r="B6497" i="2"/>
  <c r="B12031" i="2"/>
  <c r="B3610" i="2"/>
  <c r="B18359" i="2"/>
  <c r="B27596" i="2"/>
  <c r="B1173" i="2"/>
  <c r="B33893" i="2"/>
  <c r="B2925" i="2"/>
  <c r="B13118" i="2"/>
  <c r="B11926" i="2"/>
  <c r="B2999" i="2"/>
  <c r="B32451" i="2"/>
  <c r="B21275" i="2"/>
  <c r="B24308" i="2"/>
  <c r="B22215" i="2"/>
  <c r="B2155" i="2"/>
  <c r="B16121" i="2"/>
  <c r="B5155" i="2"/>
  <c r="B33352" i="2"/>
  <c r="B27277" i="2"/>
  <c r="B11655" i="2"/>
  <c r="B7081" i="2"/>
  <c r="B21437" i="2"/>
  <c r="B3595" i="2"/>
  <c r="B21667" i="2"/>
  <c r="B7336" i="2"/>
  <c r="B10824" i="2"/>
  <c r="B31820" i="2"/>
  <c r="B13254" i="2"/>
  <c r="B27891" i="2"/>
  <c r="B25309" i="2"/>
  <c r="B22169" i="2"/>
  <c r="B13832" i="2"/>
  <c r="B29208" i="2"/>
  <c r="B31951" i="2"/>
  <c r="B9125" i="2"/>
  <c r="B9676" i="2"/>
  <c r="B6967" i="2"/>
  <c r="B3623" i="2"/>
  <c r="B4518" i="2"/>
  <c r="B4914" i="2"/>
  <c r="B7048" i="2"/>
  <c r="B27624" i="2"/>
  <c r="B35199" i="2"/>
  <c r="B10542" i="2"/>
  <c r="B34954" i="2"/>
  <c r="B33522" i="2"/>
  <c r="B11230" i="2"/>
  <c r="B21220" i="2"/>
  <c r="B16243" i="2"/>
  <c r="B33260" i="2"/>
  <c r="B21372" i="2"/>
  <c r="B22256" i="2"/>
  <c r="B633" i="2"/>
  <c r="B1072" i="2"/>
  <c r="B10259" i="2"/>
  <c r="B12927" i="2"/>
  <c r="B25934" i="2"/>
  <c r="B14921" i="2"/>
  <c r="B31133" i="2"/>
  <c r="B4480" i="2"/>
  <c r="B20343" i="2"/>
  <c r="B33662" i="2"/>
  <c r="B16641" i="2"/>
  <c r="B9513" i="2"/>
  <c r="B19700" i="2"/>
  <c r="B24327" i="2"/>
  <c r="B31619" i="2"/>
  <c r="B7608" i="2"/>
  <c r="B35977" i="2"/>
  <c r="B35342" i="2"/>
  <c r="B15127" i="2"/>
  <c r="B13756" i="2"/>
  <c r="B23614" i="2"/>
  <c r="B8935" i="2"/>
  <c r="B19398" i="2"/>
  <c r="B29131" i="2"/>
  <c r="B4996" i="2"/>
  <c r="B18525" i="2"/>
  <c r="B23493" i="2"/>
  <c r="B22237" i="2"/>
  <c r="B18232" i="2"/>
  <c r="B34713" i="2"/>
  <c r="B24541" i="2"/>
  <c r="B18068" i="2"/>
  <c r="B35550" i="2"/>
  <c r="B4222" i="2"/>
  <c r="B9941" i="2"/>
  <c r="B23301" i="2"/>
  <c r="B1877" i="2"/>
  <c r="B2459" i="2"/>
  <c r="B14738" i="2"/>
  <c r="B27139" i="2"/>
  <c r="B31966" i="2"/>
  <c r="B7998" i="2"/>
  <c r="B26325" i="2"/>
  <c r="B8000" i="2"/>
  <c r="B18133" i="2"/>
  <c r="B17765" i="2"/>
  <c r="B12237" i="2"/>
  <c r="B1300" i="2"/>
  <c r="B32123" i="2"/>
  <c r="B26311" i="2"/>
  <c r="B26917" i="2"/>
  <c r="B12988" i="2"/>
  <c r="B84" i="2"/>
  <c r="B17614" i="2"/>
  <c r="B586" i="2"/>
  <c r="B31149" i="2"/>
  <c r="B7759" i="2"/>
  <c r="B22978" i="2"/>
  <c r="B246" i="2"/>
  <c r="B18813" i="2"/>
  <c r="B430" i="2"/>
  <c r="B12869" i="2"/>
  <c r="B30289" i="2"/>
  <c r="B25641" i="2"/>
  <c r="B35514" i="2"/>
  <c r="B967" i="2"/>
  <c r="B10359" i="2"/>
  <c r="B28136" i="2"/>
  <c r="B18258" i="2"/>
  <c r="B19826" i="2"/>
  <c r="B35899" i="2"/>
  <c r="B7954" i="2"/>
  <c r="B22246" i="2"/>
  <c r="B23188" i="2"/>
  <c r="B6690" i="2"/>
  <c r="B22884" i="2"/>
  <c r="B5873" i="2"/>
  <c r="B13693" i="2"/>
  <c r="B15225" i="2"/>
  <c r="B24620" i="2"/>
  <c r="B15740" i="2"/>
  <c r="B14170" i="2"/>
  <c r="B17968" i="2"/>
  <c r="B2667" i="2"/>
  <c r="B743" i="2"/>
  <c r="B22143" i="2"/>
  <c r="B22343" i="2"/>
  <c r="B25188" i="2"/>
  <c r="B28589" i="2"/>
  <c r="B607" i="2"/>
  <c r="B26512" i="2"/>
  <c r="B17032" i="2"/>
  <c r="B23537" i="2"/>
  <c r="B25628" i="2"/>
  <c r="B9417" i="2"/>
  <c r="B36064" i="2"/>
  <c r="B29497" i="2"/>
  <c r="B30476" i="2"/>
  <c r="B30606" i="2"/>
  <c r="B26800" i="2"/>
  <c r="B21712" i="2"/>
  <c r="B22773" i="2"/>
  <c r="B23538" i="2"/>
  <c r="B23474" i="2"/>
  <c r="B22864" i="2"/>
  <c r="B24677" i="2"/>
  <c r="B12101" i="2"/>
  <c r="B8990" i="2"/>
  <c r="B3021" i="2"/>
  <c r="B7378" i="2"/>
  <c r="B3326" i="2"/>
  <c r="B14673" i="2"/>
  <c r="B14630" i="2"/>
  <c r="B7361" i="2"/>
  <c r="B30955" i="2"/>
  <c r="B18992" i="2"/>
  <c r="B26741" i="2"/>
  <c r="B31457" i="2"/>
  <c r="B33515" i="2"/>
  <c r="B24022" i="2"/>
  <c r="B21436" i="2"/>
  <c r="B33304" i="2"/>
  <c r="B4408" i="2"/>
  <c r="B24718" i="2"/>
  <c r="B7826" i="2"/>
  <c r="B32839" i="2"/>
  <c r="B26877" i="2"/>
  <c r="B20628" i="2"/>
  <c r="B14601" i="2"/>
  <c r="B31600" i="2"/>
  <c r="B11691" i="2"/>
  <c r="B34216" i="2"/>
  <c r="B30678" i="2"/>
  <c r="B14261" i="2"/>
  <c r="B18833" i="2"/>
  <c r="B2720" i="2"/>
  <c r="B12840" i="2"/>
  <c r="B22997" i="2"/>
  <c r="B6" i="2"/>
  <c r="B29915" i="2"/>
  <c r="B11051" i="2"/>
  <c r="B26369" i="2"/>
  <c r="B35628" i="2"/>
  <c r="B16007" i="2"/>
  <c r="B2485" i="2"/>
  <c r="B3916" i="2"/>
  <c r="B34124" i="2"/>
  <c r="B24671" i="2"/>
  <c r="B25921" i="2"/>
  <c r="B16802" i="2"/>
  <c r="B35478" i="2"/>
  <c r="B15090" i="2"/>
  <c r="B32101" i="2"/>
  <c r="B27560" i="2"/>
  <c r="B34953" i="2"/>
  <c r="B27097" i="2"/>
  <c r="B23679" i="2"/>
  <c r="B30537" i="2"/>
  <c r="B23050" i="2"/>
  <c r="B785" i="2"/>
  <c r="B33899" i="2"/>
  <c r="B7164" i="2"/>
  <c r="B13602" i="2"/>
  <c r="B19931" i="2"/>
  <c r="B35804" i="2"/>
  <c r="B32279" i="2"/>
  <c r="B17595" i="2"/>
  <c r="B19275" i="2"/>
  <c r="B33956" i="2"/>
  <c r="B24142" i="2"/>
  <c r="B4330" i="2"/>
  <c r="B10869" i="2"/>
  <c r="B22131" i="2"/>
  <c r="B7295" i="2"/>
  <c r="B7765" i="2"/>
  <c r="B28695" i="2"/>
  <c r="B22900" i="2"/>
  <c r="B9204" i="2"/>
  <c r="B29954" i="2"/>
  <c r="B17759" i="2"/>
  <c r="B12981" i="2"/>
  <c r="B28178" i="2"/>
  <c r="B9693" i="2"/>
  <c r="B32581" i="2"/>
  <c r="B18926" i="2"/>
  <c r="B23290" i="2"/>
  <c r="B35864" i="2"/>
  <c r="B25000" i="2"/>
  <c r="B23668" i="2"/>
  <c r="B9904" i="2"/>
  <c r="B28745" i="2"/>
  <c r="B18065" i="2"/>
  <c r="B32336" i="2"/>
  <c r="B22693" i="2"/>
  <c r="B24075" i="2"/>
  <c r="B31404" i="2"/>
  <c r="B14676" i="2"/>
  <c r="B13140" i="2"/>
  <c r="B35100" i="2"/>
  <c r="B25019" i="2"/>
  <c r="B21356" i="2"/>
  <c r="B20897" i="2"/>
  <c r="B9938" i="2"/>
  <c r="B13351" i="2"/>
  <c r="B31025" i="2"/>
  <c r="B33993" i="2"/>
  <c r="B34457" i="2"/>
  <c r="B27782" i="2"/>
  <c r="B25834" i="2"/>
  <c r="B5130" i="2"/>
  <c r="B5070" i="2"/>
  <c r="B24431" i="2"/>
  <c r="B9936" i="2"/>
  <c r="B24965" i="2"/>
  <c r="B7010" i="2"/>
  <c r="B15601" i="2"/>
  <c r="B8483" i="2"/>
  <c r="B29262" i="2"/>
  <c r="B35587" i="2"/>
  <c r="B30450" i="2"/>
  <c r="B27807" i="2"/>
  <c r="B12674" i="2"/>
  <c r="B18741" i="2"/>
  <c r="B30590" i="2"/>
  <c r="B16476" i="2"/>
  <c r="B20420" i="2"/>
  <c r="B19506" i="2"/>
  <c r="B343" i="2"/>
  <c r="B16586" i="2"/>
  <c r="B23701" i="2"/>
  <c r="B23158" i="2"/>
  <c r="B34738" i="2"/>
  <c r="B14871" i="2"/>
  <c r="B32369" i="2"/>
  <c r="B1294" i="2"/>
  <c r="B16922" i="2"/>
  <c r="B12844" i="2"/>
  <c r="B16747" i="2"/>
  <c r="B15107" i="2"/>
  <c r="B12295" i="2"/>
  <c r="B19871" i="2"/>
  <c r="B33066" i="2"/>
  <c r="B15746" i="2"/>
  <c r="B23804" i="2"/>
  <c r="B19536" i="2"/>
  <c r="B4045" i="2"/>
  <c r="B20805" i="2"/>
  <c r="B17383" i="2"/>
  <c r="B6868" i="2"/>
  <c r="B431" i="2"/>
  <c r="B23331" i="2"/>
  <c r="B12180" i="2"/>
  <c r="B16096" i="2"/>
  <c r="B10478" i="2"/>
  <c r="B23854" i="2"/>
  <c r="B12546" i="2"/>
  <c r="B10405" i="2"/>
  <c r="B11226" i="2"/>
  <c r="B25237" i="2"/>
  <c r="B9282" i="2"/>
  <c r="B31016" i="2"/>
  <c r="B19083" i="2"/>
  <c r="B11481" i="2"/>
  <c r="B29601" i="2"/>
  <c r="B2988" i="2"/>
  <c r="B30513" i="2"/>
  <c r="B24209" i="2"/>
  <c r="B23159" i="2"/>
  <c r="B32119" i="2"/>
  <c r="B14980" i="2"/>
  <c r="B32387" i="2"/>
  <c r="B21086" i="2"/>
  <c r="B31664" i="2"/>
  <c r="B27423" i="2"/>
  <c r="B20589" i="2"/>
  <c r="B24040" i="2"/>
  <c r="B12134" i="2"/>
  <c r="B11961" i="2"/>
  <c r="B22514" i="2"/>
  <c r="B14498" i="2"/>
  <c r="B35840" i="2"/>
  <c r="B15244" i="2"/>
  <c r="B22802" i="2"/>
  <c r="B1931" i="2"/>
  <c r="B33577" i="2"/>
  <c r="B36367" i="2"/>
  <c r="B33320" i="2"/>
  <c r="B2703" i="2"/>
  <c r="B21675" i="2"/>
  <c r="B24217" i="2"/>
  <c r="B11783" i="2"/>
  <c r="B19857" i="2"/>
  <c r="B8262" i="2"/>
  <c r="B16931" i="2"/>
  <c r="B27104" i="2"/>
  <c r="B34228" i="2"/>
  <c r="B18522" i="2"/>
  <c r="B12714" i="2"/>
  <c r="B28292" i="2"/>
  <c r="B19572" i="2"/>
  <c r="B6940" i="2"/>
  <c r="B30738" i="2"/>
  <c r="B9842" i="2"/>
  <c r="B18416" i="2"/>
  <c r="B16398" i="2"/>
  <c r="B27199" i="2"/>
  <c r="B23808" i="2"/>
  <c r="B22114" i="2"/>
  <c r="B11072" i="2"/>
  <c r="B6050" i="2"/>
  <c r="B32887" i="2"/>
  <c r="B8484" i="2"/>
  <c r="B35614" i="2"/>
  <c r="B35497" i="2"/>
  <c r="B11182" i="2"/>
  <c r="B9770" i="2"/>
  <c r="B26892" i="2"/>
  <c r="B6152" i="2"/>
  <c r="B15831" i="2"/>
  <c r="B8658" i="2"/>
  <c r="B25627" i="2"/>
  <c r="B2963" i="2"/>
  <c r="B29301" i="2"/>
  <c r="B6945" i="2"/>
  <c r="B34109" i="2"/>
  <c r="B34646" i="2"/>
  <c r="B32873" i="2"/>
  <c r="B15946" i="2"/>
  <c r="B29722" i="2"/>
  <c r="B11920" i="2"/>
  <c r="B17093" i="2"/>
  <c r="B36194" i="2"/>
  <c r="B32650" i="2"/>
  <c r="B7982" i="2"/>
  <c r="B5027" i="2"/>
  <c r="B207" i="2"/>
  <c r="B13302" i="2"/>
  <c r="B25621" i="2"/>
  <c r="B29438" i="2"/>
  <c r="B20702" i="2"/>
  <c r="B602" i="2"/>
  <c r="B228" i="2"/>
  <c r="B12144" i="2"/>
  <c r="B7730" i="2"/>
  <c r="B1259" i="2"/>
  <c r="B32987" i="2"/>
  <c r="B10381" i="2"/>
  <c r="B16153" i="2"/>
  <c r="B28923" i="2"/>
  <c r="B6232" i="2"/>
  <c r="B20178" i="2"/>
  <c r="B27788" i="2"/>
  <c r="B17703" i="2"/>
  <c r="B7339" i="2"/>
  <c r="B3567" i="2"/>
  <c r="B8839" i="2"/>
  <c r="B36305" i="2"/>
  <c r="B6429" i="2"/>
  <c r="B28538" i="2"/>
  <c r="B29850" i="2"/>
  <c r="B10305" i="2"/>
  <c r="B16187" i="2"/>
  <c r="B17714" i="2"/>
  <c r="B5834" i="2"/>
  <c r="B29861" i="2"/>
  <c r="B2783" i="2"/>
  <c r="B8986" i="2"/>
  <c r="B36032" i="2"/>
  <c r="B1279" i="2"/>
  <c r="B1423" i="2"/>
  <c r="B30237" i="2"/>
  <c r="B5375" i="2"/>
  <c r="B19027" i="2"/>
  <c r="B14368" i="2"/>
  <c r="B25414" i="2"/>
  <c r="B33756" i="2"/>
  <c r="B17841" i="2"/>
  <c r="B35738" i="2"/>
  <c r="B17159" i="2"/>
  <c r="B12920" i="2"/>
  <c r="B14213" i="2"/>
  <c r="B32286" i="2"/>
  <c r="B6155" i="2"/>
  <c r="B31066" i="2"/>
  <c r="B27604" i="2"/>
  <c r="B28302" i="2"/>
  <c r="B35413" i="2"/>
  <c r="B26665" i="2"/>
  <c r="B23438" i="2"/>
  <c r="B27450" i="2"/>
  <c r="B26806" i="2"/>
  <c r="B14820" i="2"/>
  <c r="B27775" i="2"/>
  <c r="B17578" i="2"/>
  <c r="B13390" i="2"/>
  <c r="B12356" i="2"/>
  <c r="B34721" i="2"/>
  <c r="B14693" i="2"/>
  <c r="B33391" i="2"/>
  <c r="B15953" i="2"/>
  <c r="B17789" i="2"/>
  <c r="B18274" i="2"/>
  <c r="B20806" i="2"/>
  <c r="B26375" i="2"/>
  <c r="B22000" i="2"/>
  <c r="B2926" i="2"/>
  <c r="B11595" i="2"/>
  <c r="B10075" i="2"/>
  <c r="B7813" i="2"/>
  <c r="B12077" i="2"/>
  <c r="B17795" i="2"/>
  <c r="B16877" i="2"/>
  <c r="B30478" i="2"/>
  <c r="B17150" i="2"/>
  <c r="B14032" i="2"/>
  <c r="B15859" i="2"/>
  <c r="B21141" i="2"/>
  <c r="B26035" i="2"/>
  <c r="B17361" i="2"/>
  <c r="B35333" i="2"/>
  <c r="B945" i="2"/>
  <c r="B24980" i="2"/>
  <c r="B2662" i="2"/>
  <c r="B8647" i="2"/>
  <c r="B1939" i="2"/>
  <c r="B18050" i="2"/>
  <c r="B12913" i="2"/>
  <c r="B9579" i="2"/>
  <c r="B18288" i="2"/>
  <c r="B20652" i="2"/>
  <c r="B23687" i="2"/>
  <c r="B14375" i="2"/>
  <c r="B26105" i="2"/>
  <c r="B3536" i="2"/>
  <c r="B27091" i="2"/>
  <c r="B14129" i="2"/>
  <c r="B3628" i="2"/>
  <c r="B671" i="2"/>
  <c r="B33476" i="2"/>
  <c r="B17839" i="2"/>
  <c r="B36111" i="2"/>
  <c r="B33365" i="2"/>
  <c r="B6661" i="2"/>
  <c r="B1071" i="2"/>
  <c r="B32891" i="2"/>
  <c r="B12741" i="2"/>
  <c r="B35404" i="2"/>
  <c r="B1566" i="2"/>
  <c r="B29268" i="2"/>
  <c r="B2993" i="2"/>
  <c r="B14731" i="2"/>
  <c r="B18055" i="2"/>
  <c r="B21710" i="2"/>
  <c r="B29794" i="2"/>
  <c r="B33024" i="2"/>
  <c r="B9039" i="2"/>
  <c r="B8622" i="2"/>
  <c r="B17801" i="2"/>
  <c r="B35693" i="2"/>
  <c r="B267" i="2"/>
  <c r="B26365" i="2"/>
  <c r="B19794" i="2"/>
  <c r="B35327" i="2"/>
  <c r="B6966" i="2"/>
  <c r="B20364" i="2"/>
  <c r="B24838" i="2"/>
  <c r="B32458" i="2"/>
  <c r="B21359" i="2"/>
  <c r="B25764" i="2"/>
  <c r="B27843" i="2"/>
  <c r="B26609" i="2"/>
  <c r="B10448" i="2"/>
  <c r="B33196" i="2"/>
  <c r="B24049" i="2"/>
  <c r="B14084" i="2"/>
  <c r="B10620" i="2"/>
  <c r="B30086" i="2"/>
  <c r="B10147" i="2"/>
  <c r="B8230" i="2"/>
  <c r="B26389" i="2"/>
  <c r="B34718" i="2"/>
  <c r="B21798" i="2"/>
  <c r="B3877" i="2"/>
  <c r="B16446" i="2"/>
  <c r="B16082" i="2"/>
  <c r="B11198" i="2"/>
  <c r="B4878" i="2"/>
  <c r="B13523" i="2"/>
  <c r="B10146" i="2"/>
  <c r="B11310" i="2"/>
  <c r="B24767" i="2"/>
  <c r="B29583" i="2"/>
  <c r="B20627" i="2"/>
  <c r="B5668" i="2"/>
  <c r="B18560" i="2"/>
  <c r="B14334" i="2"/>
  <c r="B11070" i="2"/>
  <c r="B11963" i="2"/>
  <c r="B18763" i="2"/>
  <c r="B19334" i="2"/>
  <c r="B5115" i="2"/>
  <c r="B13287" i="2"/>
  <c r="B605" i="2"/>
  <c r="B9691" i="2"/>
  <c r="B1620" i="2"/>
  <c r="B28114" i="2"/>
  <c r="B3437" i="2"/>
  <c r="B12011" i="2"/>
  <c r="B13582" i="2"/>
  <c r="B26996" i="2"/>
  <c r="B5325" i="2"/>
  <c r="B21135" i="2"/>
  <c r="B13201" i="2"/>
  <c r="B24309" i="2"/>
  <c r="B201" i="2"/>
  <c r="B9823" i="2"/>
  <c r="B19392" i="2"/>
  <c r="B684" i="2"/>
  <c r="B35906" i="2"/>
  <c r="B4863" i="2"/>
  <c r="B5171" i="2"/>
  <c r="B16859" i="2"/>
  <c r="B16311" i="2"/>
  <c r="B13612" i="2"/>
  <c r="B17238" i="2"/>
  <c r="B20903" i="2"/>
  <c r="B32593" i="2"/>
  <c r="B29620" i="2"/>
  <c r="B14418" i="2"/>
  <c r="B35944" i="2"/>
  <c r="B26838" i="2"/>
  <c r="B3300" i="2"/>
  <c r="B27375" i="2"/>
  <c r="B5194" i="2"/>
  <c r="B11281" i="2"/>
  <c r="B31186" i="2"/>
  <c r="B3057" i="2"/>
  <c r="B10713" i="2"/>
  <c r="B34167" i="2"/>
  <c r="B9835" i="2"/>
  <c r="B29399" i="2"/>
  <c r="B11627" i="2"/>
  <c r="B19091" i="2"/>
  <c r="B520" i="2"/>
  <c r="B21174" i="2"/>
  <c r="B11741" i="2"/>
  <c r="B13831" i="2"/>
  <c r="B26535" i="2"/>
  <c r="B34769" i="2"/>
  <c r="B698" i="2"/>
  <c r="B10979" i="2"/>
  <c r="B20998" i="2"/>
  <c r="B18496" i="2"/>
  <c r="B15469" i="2"/>
  <c r="B13911" i="2"/>
  <c r="B2950" i="2"/>
  <c r="B32392" i="2"/>
  <c r="B29330" i="2"/>
  <c r="B7751" i="2"/>
  <c r="B23440" i="2"/>
  <c r="B21182" i="2"/>
  <c r="B5797" i="2"/>
  <c r="B20394" i="2"/>
  <c r="B29997" i="2"/>
  <c r="B21992" i="2"/>
  <c r="B14903" i="2"/>
  <c r="B9328" i="2"/>
  <c r="B9249" i="2"/>
  <c r="B27478" i="2"/>
  <c r="B35374" i="2"/>
  <c r="B34261" i="2"/>
  <c r="B2207" i="2"/>
  <c r="B29918" i="2"/>
  <c r="B5404" i="2"/>
  <c r="B24633" i="2"/>
  <c r="B13619" i="2"/>
  <c r="B3711" i="2"/>
  <c r="B24942" i="2"/>
  <c r="B26938" i="2"/>
  <c r="B1215" i="2"/>
  <c r="B34192" i="2"/>
  <c r="B23507" i="2"/>
  <c r="B28663" i="2"/>
  <c r="B26119" i="2"/>
  <c r="B9068" i="2"/>
  <c r="B30493" i="2"/>
  <c r="B25367" i="2"/>
  <c r="B21407" i="2"/>
  <c r="B18099" i="2"/>
  <c r="B1591" i="2"/>
  <c r="B461" i="2"/>
  <c r="B14089" i="2"/>
  <c r="B10716" i="2"/>
  <c r="B33200" i="2"/>
  <c r="B30767" i="2"/>
  <c r="B21766" i="2"/>
  <c r="B27920" i="2"/>
  <c r="B29854" i="2"/>
  <c r="B35119" i="2"/>
  <c r="B10357" i="2"/>
  <c r="B31685" i="2"/>
  <c r="B26832" i="2"/>
  <c r="B20983" i="2"/>
  <c r="B27501" i="2"/>
  <c r="B22953" i="2"/>
  <c r="B29627" i="2"/>
  <c r="B19189" i="2"/>
  <c r="B23753" i="2"/>
  <c r="B17541" i="2"/>
  <c r="B10913" i="2"/>
  <c r="B20919" i="2"/>
  <c r="B8723" i="2"/>
  <c r="B13701" i="2"/>
  <c r="B5966" i="2"/>
  <c r="B9237" i="2"/>
  <c r="B17389" i="2"/>
  <c r="B26881" i="2"/>
  <c r="B2520" i="2"/>
  <c r="B18631" i="2"/>
  <c r="B4220" i="2"/>
  <c r="B2221" i="2"/>
  <c r="B8152" i="2"/>
  <c r="B25173" i="2"/>
  <c r="B12385" i="2"/>
  <c r="B10562" i="2"/>
  <c r="B19670" i="2"/>
  <c r="B19798" i="2"/>
  <c r="B31101" i="2"/>
  <c r="B9963" i="2"/>
  <c r="B13511" i="2"/>
  <c r="B32903" i="2"/>
  <c r="B29679" i="2"/>
  <c r="B17854" i="2"/>
  <c r="B20105" i="2"/>
  <c r="B11035" i="2"/>
  <c r="B24241" i="2"/>
  <c r="B24251" i="2"/>
  <c r="B33536" i="2"/>
  <c r="B27131" i="2"/>
  <c r="B23370" i="2"/>
  <c r="B28198" i="2"/>
  <c r="B14473" i="2"/>
  <c r="B1671" i="2"/>
  <c r="B30199" i="2"/>
  <c r="B19656" i="2"/>
  <c r="B19084" i="2"/>
  <c r="B9800" i="2"/>
  <c r="B30530" i="2"/>
  <c r="B7486" i="2"/>
  <c r="B34428" i="2"/>
  <c r="B36087" i="2"/>
  <c r="B16960" i="2"/>
  <c r="B35053" i="2"/>
  <c r="B1210" i="2"/>
  <c r="B10391" i="2"/>
  <c r="B14523" i="2"/>
  <c r="B14037" i="2"/>
  <c r="B30069" i="2"/>
  <c r="B19703" i="2"/>
  <c r="B19173" i="2"/>
  <c r="B2607" i="2"/>
  <c r="B33709" i="2"/>
  <c r="B16972" i="2"/>
  <c r="B27844" i="2"/>
  <c r="B5308" i="2"/>
  <c r="B5264" i="2"/>
  <c r="B7641" i="2"/>
  <c r="B24248" i="2"/>
  <c r="B19920" i="2"/>
  <c r="B28020" i="2"/>
  <c r="B22228" i="2"/>
  <c r="B26934" i="2"/>
  <c r="B9612" i="2"/>
  <c r="B16855" i="2"/>
  <c r="B27767" i="2"/>
  <c r="B4329" i="2"/>
  <c r="B4858" i="2"/>
  <c r="B31347" i="2"/>
  <c r="B8470" i="2"/>
  <c r="B3814" i="2"/>
  <c r="B10717" i="2"/>
  <c r="B4620" i="2"/>
  <c r="B20878" i="2"/>
  <c r="B7537" i="2"/>
  <c r="B28440" i="2"/>
  <c r="B8683" i="2"/>
  <c r="B14597" i="2"/>
  <c r="B5807" i="2"/>
  <c r="B16244" i="2"/>
  <c r="B23777" i="2"/>
  <c r="B29891" i="2"/>
  <c r="B35598" i="2"/>
  <c r="B14635" i="2"/>
  <c r="B6511" i="2"/>
  <c r="B29000" i="2"/>
  <c r="B20140" i="2"/>
  <c r="B18821" i="2"/>
  <c r="B21733" i="2"/>
  <c r="B4849" i="2"/>
  <c r="B12058" i="2"/>
  <c r="B3516" i="2"/>
  <c r="B18485" i="2"/>
  <c r="B6418" i="2"/>
  <c r="B7513" i="2"/>
  <c r="B21503" i="2"/>
  <c r="B7791" i="2"/>
  <c r="B15614" i="2"/>
  <c r="B21664" i="2"/>
  <c r="B4388" i="2"/>
  <c r="B19102" i="2"/>
  <c r="B24725" i="2"/>
  <c r="B29316" i="2"/>
  <c r="B5986" i="2"/>
  <c r="B27554" i="2"/>
  <c r="B25266" i="2"/>
  <c r="B26691" i="2"/>
  <c r="B33959" i="2"/>
  <c r="B5621" i="2"/>
  <c r="B34164" i="2"/>
  <c r="B4805" i="2"/>
  <c r="B25106" i="2"/>
  <c r="B29667" i="2"/>
  <c r="B17080" i="2"/>
  <c r="B27992" i="2"/>
  <c r="B16291" i="2"/>
  <c r="B23212" i="2"/>
  <c r="B12003" i="2"/>
  <c r="B8307" i="2"/>
  <c r="B10200" i="2"/>
  <c r="B3866" i="2"/>
  <c r="B26324" i="2"/>
  <c r="B8449" i="2"/>
  <c r="B7166" i="2"/>
  <c r="B7416" i="2"/>
  <c r="B17853" i="2"/>
  <c r="B9987" i="2"/>
  <c r="B30816" i="2"/>
  <c r="B32801" i="2"/>
  <c r="B34580" i="2"/>
  <c r="B5991" i="2"/>
  <c r="B10276" i="2"/>
  <c r="B24661" i="2"/>
  <c r="B8946" i="2"/>
  <c r="B29747" i="2"/>
  <c r="B32850" i="2"/>
  <c r="B3990" i="2"/>
  <c r="B9685" i="2"/>
  <c r="B33943" i="2"/>
  <c r="B8700" i="2"/>
  <c r="B36253" i="2"/>
  <c r="B9365" i="2"/>
  <c r="B4161" i="2"/>
  <c r="B24774" i="2"/>
  <c r="B24593" i="2"/>
  <c r="B7551" i="2"/>
  <c r="B20869" i="2"/>
  <c r="B22876" i="2"/>
  <c r="B16101" i="2"/>
  <c r="B34052" i="2"/>
  <c r="B23691" i="2"/>
  <c r="B22186" i="2"/>
  <c r="B385" i="2"/>
  <c r="B17445" i="2"/>
  <c r="B14254" i="2"/>
  <c r="B18459" i="2"/>
  <c r="B18370" i="2"/>
  <c r="B24360" i="2"/>
  <c r="B12843" i="2"/>
  <c r="B33742" i="2"/>
  <c r="B28309" i="2"/>
  <c r="B5578" i="2"/>
  <c r="B3767" i="2"/>
  <c r="B18624" i="2"/>
  <c r="B3817" i="2"/>
  <c r="B11457" i="2"/>
  <c r="B29005" i="2"/>
  <c r="B1648" i="2"/>
  <c r="B14504" i="2"/>
  <c r="B28088" i="2"/>
  <c r="B14321" i="2"/>
  <c r="B4582" i="2"/>
  <c r="B11113" i="2"/>
  <c r="B15446" i="2"/>
  <c r="B11355" i="2"/>
  <c r="B20760" i="2"/>
  <c r="B4433" i="2"/>
  <c r="B15821" i="2"/>
  <c r="B4876" i="2"/>
  <c r="B35153" i="2"/>
  <c r="B14282" i="2"/>
  <c r="B22449" i="2"/>
  <c r="B23300" i="2"/>
  <c r="B32743" i="2"/>
  <c r="B32031" i="2"/>
  <c r="B33719" i="2"/>
  <c r="B19951" i="2"/>
  <c r="B11724" i="2"/>
  <c r="B18469" i="2"/>
  <c r="B10960" i="2"/>
  <c r="B35529" i="2"/>
  <c r="B1439" i="2"/>
  <c r="B875" i="2"/>
  <c r="B15083" i="2"/>
  <c r="B18129" i="2"/>
  <c r="B3458" i="2"/>
  <c r="B20484" i="2"/>
  <c r="B33981" i="2"/>
  <c r="B23461" i="2"/>
  <c r="B12664" i="2"/>
  <c r="B2366" i="2"/>
  <c r="B3199" i="2"/>
  <c r="B25271" i="2"/>
  <c r="B8585" i="2"/>
  <c r="B19813" i="2"/>
  <c r="B27415" i="2"/>
  <c r="B14637" i="2"/>
  <c r="B2379" i="2"/>
  <c r="B27795" i="2"/>
  <c r="B12797" i="2"/>
  <c r="B14325" i="2"/>
  <c r="B22602" i="2"/>
  <c r="B23495" i="2"/>
  <c r="B17842" i="2"/>
  <c r="B36093" i="2"/>
  <c r="B20873" i="2"/>
  <c r="B33873" i="2"/>
  <c r="B8725" i="2"/>
  <c r="B16502" i="2"/>
  <c r="B27654" i="2"/>
  <c r="B6543" i="2"/>
  <c r="B20321" i="2"/>
  <c r="B2625" i="2"/>
  <c r="B1990" i="2"/>
  <c r="B4835" i="2"/>
  <c r="B29852" i="2"/>
  <c r="B15192" i="2"/>
  <c r="B17907" i="2"/>
  <c r="B29593" i="2"/>
  <c r="B22685" i="2"/>
  <c r="B21728" i="2"/>
  <c r="B26624" i="2"/>
  <c r="B4414" i="2"/>
  <c r="B31268" i="2"/>
  <c r="B19020" i="2"/>
  <c r="B11931" i="2"/>
  <c r="B34332" i="2"/>
  <c r="B9920" i="2"/>
  <c r="B8886" i="2"/>
  <c r="B3482" i="2"/>
  <c r="B7104" i="2"/>
  <c r="B29874" i="2"/>
  <c r="B15640" i="2"/>
  <c r="B14128" i="2"/>
  <c r="B24990" i="2"/>
  <c r="B19708" i="2"/>
  <c r="B30531" i="2"/>
  <c r="B17584" i="2"/>
  <c r="B27363" i="2"/>
  <c r="B18762" i="2"/>
  <c r="B23309" i="2"/>
  <c r="B21622" i="2"/>
  <c r="B23726" i="2"/>
  <c r="B17873" i="2"/>
  <c r="B22858" i="2"/>
  <c r="B14785" i="2"/>
  <c r="B35826" i="2"/>
  <c r="B2066" i="2"/>
  <c r="B4947" i="2"/>
  <c r="B19224" i="2"/>
  <c r="B10891" i="2"/>
  <c r="B10592" i="2"/>
  <c r="B25411" i="2"/>
  <c r="B36359" i="2"/>
  <c r="B26370" i="2"/>
  <c r="B26922" i="2"/>
  <c r="B27072" i="2"/>
  <c r="B28766" i="2"/>
  <c r="B17340" i="2"/>
  <c r="B23129" i="2"/>
  <c r="B17260" i="2"/>
  <c r="B12896" i="2"/>
  <c r="B24610" i="2"/>
  <c r="B33436" i="2"/>
  <c r="B19022" i="2"/>
  <c r="B26121" i="2"/>
  <c r="B14683" i="2"/>
  <c r="B17133" i="2"/>
  <c r="B34683" i="2"/>
  <c r="B24208" i="2"/>
  <c r="B32468" i="2"/>
  <c r="B27796" i="2"/>
  <c r="B23428" i="2"/>
  <c r="B24131" i="2"/>
  <c r="B25017" i="2"/>
  <c r="B14326" i="2"/>
  <c r="B26208" i="2"/>
  <c r="B18905" i="2"/>
  <c r="B21952" i="2"/>
  <c r="B33615" i="2"/>
  <c r="B33454" i="2"/>
  <c r="B27647" i="2"/>
  <c r="B34134" i="2"/>
  <c r="B18897" i="2"/>
  <c r="B10486" i="2"/>
  <c r="B34050" i="2"/>
  <c r="B9500" i="2"/>
  <c r="B15696" i="2"/>
  <c r="B19859" i="2"/>
  <c r="B12395" i="2"/>
  <c r="B13200" i="2"/>
  <c r="B26813" i="2"/>
  <c r="B27505" i="2"/>
  <c r="B3347" i="2"/>
  <c r="B9506" i="2"/>
  <c r="B24107" i="2"/>
  <c r="B35319" i="2"/>
  <c r="B11403" i="2"/>
  <c r="B3781" i="2"/>
  <c r="B11948" i="2"/>
  <c r="B32826" i="2"/>
  <c r="B8358" i="2"/>
  <c r="B4748" i="2"/>
  <c r="B34111" i="2"/>
  <c r="B6769" i="2"/>
  <c r="B23194" i="2"/>
  <c r="B34538" i="2"/>
  <c r="B30096" i="2"/>
  <c r="B10029" i="2"/>
  <c r="B15413" i="2"/>
  <c r="B14412" i="2"/>
  <c r="B20600" i="2"/>
  <c r="B13772" i="2"/>
  <c r="B33259" i="2"/>
  <c r="B19006" i="2"/>
  <c r="B9316" i="2"/>
  <c r="B29943" i="2"/>
  <c r="B10479" i="2"/>
  <c r="B31596" i="2"/>
  <c r="B16102" i="2"/>
  <c r="B23219" i="2"/>
  <c r="B21516" i="2"/>
  <c r="B28357" i="2"/>
  <c r="B35443" i="2"/>
  <c r="B24710" i="2"/>
  <c r="B35678" i="2"/>
  <c r="B21040" i="2"/>
  <c r="B9006" i="2"/>
  <c r="B8879" i="2"/>
  <c r="B22527" i="2"/>
  <c r="B18105" i="2"/>
  <c r="B18243" i="2"/>
  <c r="B29028" i="2"/>
  <c r="B23403" i="2"/>
  <c r="B434" i="2"/>
  <c r="B24647" i="2"/>
  <c r="B27665" i="2"/>
  <c r="B21261" i="2"/>
  <c r="B25881" i="2"/>
  <c r="B34792" i="2"/>
  <c r="B27519" i="2"/>
  <c r="B15414" i="2"/>
  <c r="B4035" i="2"/>
  <c r="B18387" i="2"/>
  <c r="B27532" i="2"/>
  <c r="B34078" i="2"/>
  <c r="B21722" i="2"/>
  <c r="B28604" i="2"/>
  <c r="B2446" i="2"/>
  <c r="B33422" i="2"/>
  <c r="B21801" i="2"/>
  <c r="B6594" i="2"/>
  <c r="B20645" i="2"/>
  <c r="B5617" i="2"/>
  <c r="B3835" i="2"/>
  <c r="B17549" i="2"/>
  <c r="B34336" i="2"/>
  <c r="B8905" i="2"/>
  <c r="B1099" i="2"/>
  <c r="B18298" i="2"/>
  <c r="B7346" i="2"/>
  <c r="B15179" i="2"/>
  <c r="B16166" i="2"/>
  <c r="B8426" i="2"/>
  <c r="B35157" i="2"/>
  <c r="B13369" i="2"/>
  <c r="B10683" i="2"/>
  <c r="B18390" i="2"/>
  <c r="B15976" i="2"/>
  <c r="B20932" i="2"/>
  <c r="B26930" i="2"/>
  <c r="B27366" i="2"/>
  <c r="B12800" i="2"/>
  <c r="B24099" i="2"/>
  <c r="B15797" i="2"/>
  <c r="B26080" i="2"/>
  <c r="B11680" i="2"/>
  <c r="B32093" i="2"/>
  <c r="B17045" i="2"/>
  <c r="B12374" i="2"/>
  <c r="B2430" i="2"/>
  <c r="B18664" i="2"/>
  <c r="B15318" i="2"/>
  <c r="B34779" i="2"/>
  <c r="B23076" i="2"/>
  <c r="B33286" i="2"/>
  <c r="B17654" i="2"/>
  <c r="B666" i="2"/>
  <c r="B10143" i="2"/>
  <c r="B32426" i="2"/>
  <c r="B26461" i="2"/>
  <c r="B36033" i="2"/>
  <c r="B755" i="2"/>
  <c r="B29957" i="2"/>
  <c r="B8843" i="2"/>
  <c r="B25714" i="2"/>
  <c r="B14620" i="2"/>
  <c r="B2681" i="2"/>
  <c r="B1870" i="2"/>
  <c r="B15266" i="2"/>
  <c r="B5418" i="2"/>
  <c r="B15259" i="2"/>
  <c r="B16038" i="2"/>
  <c r="B1291" i="2"/>
  <c r="B35951" i="2"/>
  <c r="B18285" i="2"/>
  <c r="B22400" i="2"/>
  <c r="B32654" i="2"/>
  <c r="B11552" i="2"/>
  <c r="B12615" i="2"/>
  <c r="B24800" i="2"/>
  <c r="B32159" i="2"/>
  <c r="B355" i="2"/>
  <c r="B5125" i="2"/>
  <c r="B13957" i="2"/>
  <c r="B12911" i="2"/>
  <c r="B975" i="2"/>
  <c r="B532" i="2"/>
  <c r="B7465" i="2"/>
  <c r="B21120" i="2"/>
  <c r="B1401" i="2"/>
  <c r="B28075" i="2"/>
  <c r="B235" i="2"/>
  <c r="B10188" i="2"/>
  <c r="B31298" i="2"/>
  <c r="B27605" i="2"/>
  <c r="B23640" i="2"/>
  <c r="B23606" i="2"/>
  <c r="B21024" i="2"/>
  <c r="B24691" i="2"/>
  <c r="B17946" i="2"/>
  <c r="B31882" i="2"/>
  <c r="B25273" i="2"/>
  <c r="B26970" i="2"/>
  <c r="B32532" i="2"/>
  <c r="B16697" i="2"/>
  <c r="B35386" i="2"/>
  <c r="B26067" i="2"/>
  <c r="B25022" i="2"/>
  <c r="B1144" i="2"/>
  <c r="B20390" i="2"/>
  <c r="B27046" i="2"/>
  <c r="B31985" i="2"/>
  <c r="B15350" i="2"/>
  <c r="B15980" i="2"/>
  <c r="B5835" i="2"/>
  <c r="B4265" i="2"/>
  <c r="B4649" i="2"/>
  <c r="B178" i="2"/>
  <c r="B13648" i="2"/>
  <c r="B20544" i="2"/>
  <c r="B20109" i="2"/>
  <c r="B17471" i="2"/>
  <c r="B17930" i="2"/>
  <c r="B10904" i="2"/>
  <c r="B34453" i="2"/>
  <c r="B5808" i="2"/>
  <c r="B10261" i="2"/>
  <c r="B22482" i="2"/>
  <c r="B15624" i="2"/>
  <c r="B23978" i="2"/>
  <c r="B13172" i="2"/>
  <c r="B24357" i="2"/>
  <c r="B34069" i="2"/>
  <c r="B25851" i="2"/>
  <c r="B11365" i="2"/>
  <c r="B9406" i="2"/>
  <c r="B30492" i="2"/>
  <c r="B833" i="2"/>
  <c r="B27120" i="2"/>
  <c r="B7122" i="2"/>
  <c r="B14777" i="2"/>
  <c r="B28702" i="2"/>
  <c r="B18729" i="2"/>
  <c r="B2080" i="2"/>
  <c r="B22903" i="2"/>
  <c r="B11874" i="2"/>
  <c r="B1493" i="2"/>
  <c r="B20560" i="2"/>
  <c r="B21600" i="2"/>
  <c r="B708" i="2"/>
  <c r="B2836" i="2"/>
  <c r="B3320" i="2"/>
  <c r="B29283" i="2"/>
  <c r="B32607" i="2"/>
  <c r="B448" i="2"/>
  <c r="B12817" i="2"/>
  <c r="B4861" i="2"/>
  <c r="B29250" i="2"/>
  <c r="B33927" i="2"/>
  <c r="B23698" i="2"/>
  <c r="B14002" i="2"/>
  <c r="B16983" i="2"/>
  <c r="B24500" i="2"/>
  <c r="B35844" i="2"/>
  <c r="B29389" i="2"/>
  <c r="B33739" i="2"/>
  <c r="B8428" i="2"/>
  <c r="B11246" i="2"/>
  <c r="B35668" i="2"/>
  <c r="B25922" i="2"/>
  <c r="B18378" i="2"/>
  <c r="B14191" i="2"/>
  <c r="B25769" i="2"/>
  <c r="B33167" i="2"/>
  <c r="B18639" i="2"/>
  <c r="B7202" i="2"/>
  <c r="B20693" i="2"/>
  <c r="B24164" i="2"/>
  <c r="B6228" i="2"/>
  <c r="B5821" i="2"/>
  <c r="B32288" i="2"/>
  <c r="B26735" i="2"/>
  <c r="B23621" i="2"/>
  <c r="B30997" i="2"/>
  <c r="B5081" i="2"/>
  <c r="B21898" i="2"/>
  <c r="B9392" i="2"/>
  <c r="B31663" i="2"/>
  <c r="B22076" i="2"/>
  <c r="B12492" i="2"/>
  <c r="B19381" i="2"/>
  <c r="B4950" i="2"/>
  <c r="B7854" i="2"/>
  <c r="B17615" i="2"/>
  <c r="B26351" i="2"/>
  <c r="B30591" i="2"/>
  <c r="B16788" i="2"/>
  <c r="B30522" i="2"/>
  <c r="B18175" i="2"/>
  <c r="B29271" i="2"/>
  <c r="B5084" i="2"/>
  <c r="B25365" i="2"/>
  <c r="B24367" i="2"/>
  <c r="B26949" i="2"/>
  <c r="B331" i="2"/>
  <c r="B31709" i="2"/>
  <c r="B6077" i="2"/>
  <c r="B13226" i="2"/>
  <c r="B4704" i="2"/>
  <c r="B19186" i="2"/>
  <c r="B23793" i="2"/>
  <c r="B19157" i="2"/>
  <c r="B20392" i="2"/>
  <c r="B8291" i="2"/>
  <c r="B23761" i="2"/>
  <c r="B4570" i="2"/>
  <c r="B30000" i="2"/>
  <c r="B29042" i="2"/>
  <c r="B27345" i="2"/>
  <c r="B4930" i="2"/>
  <c r="B35505" i="2"/>
  <c r="B1001" i="2"/>
  <c r="B2731" i="2"/>
  <c r="B12400" i="2"/>
  <c r="B20310" i="2"/>
  <c r="B15643" i="2"/>
  <c r="B25054" i="2"/>
  <c r="B28491" i="2"/>
  <c r="B26152" i="2"/>
  <c r="B15801" i="2"/>
  <c r="B32398" i="2"/>
  <c r="B15332" i="2"/>
  <c r="B28985" i="2"/>
  <c r="B2278" i="2"/>
  <c r="B22655" i="2"/>
  <c r="B464" i="2"/>
  <c r="B11341" i="2"/>
  <c r="B12460" i="2"/>
  <c r="B11770" i="2"/>
  <c r="B4980" i="2"/>
  <c r="B19590" i="2"/>
  <c r="B28516" i="2"/>
  <c r="B21183" i="2"/>
  <c r="B24396" i="2"/>
  <c r="B1378" i="2"/>
  <c r="B22491" i="2"/>
  <c r="B30810" i="2"/>
  <c r="B35506" i="2"/>
  <c r="B16350" i="2"/>
  <c r="B23859" i="2"/>
  <c r="B25287" i="2"/>
  <c r="B12459" i="2"/>
  <c r="B14398" i="2"/>
  <c r="B29273" i="2"/>
  <c r="B14452" i="2"/>
  <c r="B34882" i="2"/>
  <c r="B2980" i="2"/>
  <c r="B8259" i="2"/>
  <c r="B6559" i="2"/>
  <c r="B12323" i="2"/>
  <c r="B18328" i="2"/>
  <c r="B340" i="2"/>
  <c r="B5495" i="2"/>
  <c r="B30447" i="2"/>
  <c r="B9855" i="2"/>
  <c r="B20272" i="2"/>
  <c r="B4973" i="2"/>
  <c r="B5507" i="2"/>
  <c r="B187" i="2"/>
  <c r="B13730" i="2"/>
  <c r="B5886" i="2"/>
  <c r="B14095" i="2"/>
  <c r="B13389" i="2"/>
  <c r="B14027" i="2"/>
  <c r="B15351" i="2"/>
  <c r="B1350" i="2"/>
  <c r="B20481" i="2"/>
  <c r="B24926" i="2"/>
  <c r="B19714" i="2"/>
  <c r="B34709" i="2"/>
  <c r="B35000" i="2"/>
  <c r="B7597" i="2"/>
  <c r="B23618" i="2"/>
  <c r="B6173" i="2"/>
  <c r="B29884" i="2"/>
  <c r="B15845" i="2"/>
  <c r="B22133" i="2"/>
  <c r="B31928" i="2"/>
  <c r="B29688" i="2"/>
  <c r="B29095" i="2"/>
  <c r="B22322" i="2"/>
  <c r="B5616" i="2"/>
  <c r="B3281" i="2"/>
  <c r="B32013" i="2"/>
  <c r="B36262" i="2"/>
  <c r="B1427" i="2"/>
  <c r="B11746" i="2"/>
  <c r="B13446" i="2"/>
  <c r="B36273" i="2"/>
  <c r="B4909" i="2"/>
  <c r="B19841" i="2"/>
  <c r="B5307" i="2"/>
  <c r="B11048" i="2"/>
  <c r="B15712" i="2"/>
  <c r="B6774" i="2"/>
  <c r="B36026" i="2"/>
  <c r="B24884" i="2"/>
  <c r="B32317" i="2"/>
  <c r="B9295" i="2"/>
  <c r="B31890" i="2"/>
  <c r="B6391" i="2"/>
  <c r="B21642" i="2"/>
  <c r="B28423" i="2"/>
  <c r="B34292" i="2"/>
  <c r="B2690" i="2"/>
  <c r="B9913" i="2"/>
  <c r="B12112" i="2"/>
  <c r="B11993" i="2"/>
  <c r="B6599" i="2"/>
  <c r="B19329" i="2"/>
  <c r="B7687" i="2"/>
  <c r="B28571" i="2"/>
  <c r="B5291" i="2"/>
  <c r="B27312" i="2"/>
  <c r="B26709" i="2"/>
  <c r="B14621" i="2"/>
  <c r="B6636" i="2"/>
  <c r="B21669" i="2"/>
  <c r="B30969" i="2"/>
  <c r="B16553" i="2"/>
  <c r="B25602" i="2"/>
  <c r="B3234" i="2"/>
  <c r="B24648" i="2"/>
  <c r="B27481" i="2"/>
  <c r="B15136" i="2"/>
  <c r="B20661" i="2"/>
  <c r="B22416" i="2"/>
  <c r="B10492" i="2"/>
  <c r="B24114" i="2"/>
  <c r="B4696" i="2"/>
  <c r="B923" i="2"/>
  <c r="B989" i="2"/>
  <c r="B24588" i="2"/>
  <c r="B8889" i="2"/>
  <c r="B13655" i="2"/>
  <c r="B14381" i="2"/>
  <c r="B1548" i="2"/>
  <c r="B18306" i="2"/>
  <c r="B498" i="2"/>
  <c r="B15584" i="2"/>
  <c r="B1842" i="2"/>
  <c r="B20195" i="2"/>
  <c r="B1547" i="2"/>
  <c r="B24005" i="2"/>
  <c r="B23549" i="2"/>
  <c r="B22665" i="2"/>
  <c r="B7340" i="2"/>
  <c r="B36271" i="2"/>
  <c r="B32372" i="2"/>
  <c r="B25817" i="2"/>
  <c r="B25630" i="2"/>
  <c r="B34325" i="2"/>
  <c r="B21679" i="2"/>
  <c r="B765" i="2"/>
  <c r="B26997" i="2"/>
  <c r="B7650" i="2"/>
  <c r="B5243" i="2"/>
  <c r="B19824" i="2"/>
  <c r="B23638" i="2"/>
  <c r="B23058" i="2"/>
  <c r="B13801" i="2"/>
  <c r="B25185" i="2"/>
  <c r="B11285" i="2"/>
  <c r="B22927" i="2"/>
  <c r="B14203" i="2"/>
  <c r="B8702" i="2"/>
  <c r="B10387" i="2"/>
  <c r="B33778" i="2"/>
  <c r="B23541" i="2"/>
  <c r="B8317" i="2"/>
  <c r="B10710" i="2"/>
  <c r="B25538" i="2"/>
  <c r="B8155" i="2"/>
  <c r="B25345" i="2"/>
  <c r="B13348" i="2"/>
  <c r="B14345" i="2"/>
  <c r="B25635" i="2"/>
  <c r="B29660" i="2"/>
  <c r="B11916" i="2"/>
  <c r="B27586" i="2"/>
  <c r="B31192" i="2"/>
  <c r="B1696" i="2"/>
  <c r="B26423" i="2"/>
  <c r="B27227" i="2"/>
  <c r="B10635" i="2"/>
  <c r="B20464" i="2"/>
  <c r="B32306" i="2"/>
  <c r="B17948" i="2"/>
  <c r="B544" i="2"/>
  <c r="B7258" i="2"/>
  <c r="B17071" i="2"/>
  <c r="B32044" i="2"/>
  <c r="B33399" i="2"/>
  <c r="B4530" i="2"/>
  <c r="B12747" i="2"/>
  <c r="B29756" i="2"/>
  <c r="B31305" i="2"/>
  <c r="B20275" i="2"/>
  <c r="B28481" i="2"/>
  <c r="B5057" i="2"/>
  <c r="B7790" i="2"/>
  <c r="B35796" i="2"/>
  <c r="B20469" i="2"/>
  <c r="B30950" i="2"/>
  <c r="B800" i="2"/>
  <c r="B2444" i="2"/>
  <c r="B30520" i="2"/>
  <c r="B33117" i="2"/>
  <c r="B22510" i="2"/>
  <c r="B5363" i="2"/>
  <c r="B20167" i="2"/>
  <c r="B12157" i="2"/>
  <c r="B34264" i="2"/>
  <c r="B663" i="2"/>
  <c r="B32350" i="2"/>
  <c r="B28819" i="2"/>
  <c r="B25846" i="2"/>
  <c r="B33396" i="2"/>
  <c r="B25570" i="2"/>
  <c r="B30074" i="2"/>
  <c r="B34555" i="2"/>
  <c r="B23047" i="2"/>
  <c r="B30616" i="2"/>
  <c r="B12361" i="2"/>
  <c r="B1219" i="2"/>
  <c r="B15902" i="2"/>
  <c r="B11502" i="2"/>
  <c r="B2615" i="2"/>
  <c r="B5805" i="2"/>
  <c r="B29792" i="2"/>
  <c r="B20416" i="2"/>
  <c r="B10291" i="2"/>
  <c r="B10124" i="2"/>
  <c r="B13451" i="2"/>
  <c r="B35017" i="2"/>
  <c r="B7360" i="2"/>
  <c r="B19716" i="2"/>
  <c r="B34242" i="2"/>
  <c r="B25084" i="2"/>
  <c r="B36329" i="2"/>
  <c r="B2621" i="2"/>
  <c r="B6602" i="2"/>
  <c r="B25978" i="2"/>
  <c r="B34092" i="2"/>
  <c r="B27317" i="2"/>
  <c r="B5284" i="2"/>
  <c r="B31178" i="2"/>
  <c r="B11319" i="2"/>
  <c r="B12127" i="2"/>
  <c r="B35145" i="2"/>
  <c r="B5652" i="2"/>
  <c r="B358" i="2"/>
  <c r="B21833" i="2"/>
  <c r="B28921" i="2"/>
  <c r="B2789" i="2"/>
  <c r="B15464" i="2"/>
  <c r="B35665" i="2"/>
  <c r="B32863" i="2"/>
  <c r="B1610" i="2"/>
  <c r="B23320" i="2"/>
  <c r="B16809" i="2"/>
  <c r="B23329" i="2"/>
  <c r="B32148" i="2"/>
  <c r="B19264" i="2"/>
  <c r="B23111" i="2"/>
  <c r="B12575" i="2"/>
  <c r="B491" i="2"/>
  <c r="B5421" i="2"/>
  <c r="B6205" i="2"/>
  <c r="B12959" i="2"/>
  <c r="B32847" i="2"/>
  <c r="B26960" i="2"/>
  <c r="B26505" i="2"/>
  <c r="B26559" i="2"/>
  <c r="B11007" i="2"/>
  <c r="B32896" i="2"/>
  <c r="B19804" i="2"/>
  <c r="B13880" i="2"/>
  <c r="B19017" i="2"/>
  <c r="B4168" i="2"/>
  <c r="B4478" i="2"/>
  <c r="B4221" i="2"/>
  <c r="B11557" i="2"/>
  <c r="B30897" i="2"/>
  <c r="B10330" i="2"/>
  <c r="B14821" i="2"/>
  <c r="B35779" i="2"/>
  <c r="B31987" i="2"/>
  <c r="B4758" i="2"/>
  <c r="B6165" i="2"/>
  <c r="B25963" i="2"/>
  <c r="B24464" i="2"/>
  <c r="B9739" i="2"/>
  <c r="B3853" i="2"/>
  <c r="B34324" i="2"/>
  <c r="B13505" i="2"/>
  <c r="B3838" i="2"/>
  <c r="B23796" i="2"/>
  <c r="B16998" i="2"/>
  <c r="B7978" i="2"/>
  <c r="B7261" i="2"/>
  <c r="B6962" i="2"/>
  <c r="B32566" i="2"/>
  <c r="B31857" i="2"/>
  <c r="B31011" i="2"/>
  <c r="B4214" i="2"/>
  <c r="B19121" i="2"/>
  <c r="B1497" i="2"/>
  <c r="B991" i="2"/>
  <c r="B157" i="2"/>
  <c r="B32009" i="2"/>
  <c r="B23412" i="2"/>
  <c r="B18216" i="2"/>
  <c r="B23566" i="2"/>
  <c r="B12760" i="2"/>
  <c r="B1059" i="2"/>
  <c r="B29564" i="2"/>
  <c r="B24778" i="2"/>
  <c r="B34346" i="2"/>
  <c r="B3277" i="2"/>
  <c r="B25256" i="2"/>
  <c r="B16404" i="2"/>
  <c r="B32416" i="2"/>
  <c r="B6890" i="2"/>
  <c r="B12121" i="2"/>
  <c r="B17899" i="2"/>
  <c r="B2885" i="2"/>
  <c r="B7967" i="2"/>
  <c r="B22326" i="2"/>
  <c r="B27882" i="2"/>
  <c r="B34782" i="2"/>
  <c r="B19528" i="2"/>
  <c r="B24638" i="2"/>
  <c r="B2566" i="2"/>
  <c r="B34051" i="2"/>
  <c r="B9099" i="2"/>
  <c r="B8965" i="2"/>
  <c r="B16391" i="2"/>
  <c r="B13128" i="2"/>
  <c r="B3790" i="2"/>
  <c r="B14130" i="2"/>
  <c r="B34809" i="2"/>
  <c r="B19075" i="2"/>
  <c r="B5217" i="2"/>
  <c r="B20003" i="2"/>
  <c r="B26033" i="2"/>
  <c r="B36313" i="2"/>
  <c r="B13021" i="2"/>
  <c r="B26458" i="2"/>
  <c r="B32411" i="2"/>
  <c r="B15705" i="2"/>
  <c r="B35565" i="2"/>
  <c r="B10246" i="2"/>
  <c r="B24938" i="2"/>
  <c r="B25205" i="2"/>
  <c r="B24321" i="2"/>
  <c r="B16890" i="2"/>
  <c r="B14579" i="2"/>
  <c r="B14483" i="2"/>
  <c r="B476" i="2"/>
  <c r="B28603" i="2"/>
  <c r="B23838" i="2"/>
  <c r="B16367" i="2"/>
  <c r="B33526" i="2"/>
  <c r="B16263" i="2"/>
  <c r="B33462" i="2"/>
  <c r="B12989" i="2"/>
  <c r="B13284" i="2"/>
  <c r="B28203" i="2"/>
  <c r="B23500" i="2"/>
  <c r="B2482" i="2"/>
  <c r="B1390" i="2"/>
  <c r="B13672" i="2"/>
  <c r="B29670" i="2"/>
  <c r="B21292" i="2"/>
  <c r="B32434" i="2"/>
  <c r="B9276" i="2"/>
  <c r="B24695" i="2"/>
  <c r="B28724" i="2"/>
  <c r="B25212" i="2"/>
  <c r="B15757" i="2"/>
  <c r="B23166" i="2"/>
  <c r="B4242" i="2"/>
  <c r="B32179" i="2"/>
  <c r="B28822" i="2"/>
  <c r="B35942" i="2"/>
  <c r="B4390" i="2"/>
  <c r="B26714" i="2"/>
  <c r="B2637" i="2"/>
  <c r="B26718" i="2"/>
  <c r="B16276" i="2"/>
  <c r="B9263" i="2"/>
  <c r="B220" i="2"/>
  <c r="B36176" i="2"/>
  <c r="B21091" i="2"/>
  <c r="B35022" i="2"/>
  <c r="B1561" i="2"/>
  <c r="B2796" i="2"/>
  <c r="B8529" i="2"/>
  <c r="B9889" i="2"/>
  <c r="B3721" i="2"/>
  <c r="B21936" i="2"/>
  <c r="B5490" i="2"/>
  <c r="B6229" i="2"/>
  <c r="B9101" i="2"/>
  <c r="B25291" i="2"/>
  <c r="B11138" i="2"/>
  <c r="B32020" i="2"/>
  <c r="B7237" i="2"/>
  <c r="B4562" i="2"/>
  <c r="B31986" i="2"/>
  <c r="B9663" i="2"/>
  <c r="B32223" i="2"/>
  <c r="B17693" i="2"/>
  <c r="B26340" i="2"/>
  <c r="B18742" i="2"/>
  <c r="B20619" i="2"/>
  <c r="B30617" i="2"/>
  <c r="B15633" i="2"/>
  <c r="B29766" i="2"/>
  <c r="B1462" i="2"/>
  <c r="B24618" i="2"/>
  <c r="B19258" i="2"/>
  <c r="B9986" i="2"/>
  <c r="B11665" i="2"/>
  <c r="B33684" i="2"/>
  <c r="B32744" i="2"/>
  <c r="B9599" i="2"/>
  <c r="B11134" i="2"/>
  <c r="B13856" i="2"/>
  <c r="B4774" i="2"/>
  <c r="B29892" i="2"/>
  <c r="B16598" i="2"/>
  <c r="B389" i="2"/>
  <c r="B26904" i="2"/>
  <c r="B9001" i="2"/>
  <c r="B24035" i="2"/>
  <c r="B11411" i="2"/>
  <c r="B27112" i="2"/>
  <c r="B27177" i="2"/>
  <c r="B25647" i="2"/>
  <c r="B34133" i="2"/>
  <c r="B29171" i="2"/>
  <c r="B8579" i="2"/>
  <c r="B33804" i="2"/>
  <c r="B22285" i="2"/>
  <c r="B24636" i="2"/>
  <c r="B21350" i="2"/>
  <c r="B17697" i="2"/>
  <c r="B2410" i="2"/>
  <c r="B13326" i="2"/>
  <c r="B10681" i="2"/>
  <c r="B6926" i="2"/>
  <c r="B27904" i="2"/>
  <c r="B11014" i="2"/>
  <c r="B22695" i="2"/>
  <c r="B22302" i="2"/>
  <c r="B29579" i="2"/>
  <c r="B10965" i="2"/>
  <c r="B11060" i="2"/>
  <c r="B9130" i="2"/>
  <c r="B9819" i="2"/>
  <c r="B14537" i="2"/>
  <c r="B6550" i="2"/>
  <c r="B25014" i="2"/>
  <c r="B27019" i="2"/>
  <c r="B2802" i="2"/>
  <c r="B28360" i="2"/>
  <c r="B23404" i="2"/>
  <c r="B11898" i="2"/>
  <c r="B19287" i="2"/>
  <c r="B22574" i="2"/>
  <c r="B31964" i="2"/>
  <c r="B22331" i="2"/>
  <c r="B18495" i="2"/>
  <c r="B25263" i="2"/>
  <c r="B31158" i="2"/>
  <c r="B10047" i="2"/>
  <c r="B13869" i="2"/>
  <c r="B25904" i="2"/>
  <c r="B15496" i="2"/>
  <c r="B33722" i="2"/>
  <c r="B21579" i="2"/>
  <c r="B10031" i="2"/>
  <c r="B4248" i="2"/>
  <c r="B2463" i="2"/>
  <c r="B16538" i="2"/>
  <c r="B31835" i="2"/>
  <c r="B7026" i="2"/>
  <c r="B30071" i="2"/>
  <c r="B25357" i="2"/>
  <c r="B840" i="2"/>
  <c r="B26776" i="2"/>
  <c r="B31119" i="2"/>
  <c r="B9251" i="2"/>
  <c r="B30592" i="2"/>
  <c r="B18538" i="2"/>
  <c r="B8489" i="2"/>
  <c r="B33744" i="2"/>
  <c r="B5458" i="2"/>
  <c r="B22376" i="2"/>
  <c r="B19307" i="2"/>
  <c r="B3908" i="2"/>
  <c r="B10117" i="2"/>
  <c r="B31028" i="2"/>
  <c r="B28677" i="2"/>
  <c r="B28539" i="2"/>
  <c r="B19930" i="2"/>
  <c r="B8389" i="2"/>
  <c r="B22788" i="2"/>
  <c r="B15099" i="2"/>
  <c r="B28550" i="2"/>
  <c r="B30583" i="2"/>
  <c r="B11965" i="2"/>
  <c r="B29807" i="2"/>
  <c r="B34648" i="2"/>
  <c r="B1756" i="2"/>
  <c r="B1331" i="2"/>
  <c r="B31491" i="2"/>
  <c r="B32574" i="2"/>
  <c r="B14687" i="2"/>
  <c r="B35" i="2"/>
  <c r="B5199" i="2"/>
  <c r="B19139" i="2"/>
  <c r="B35740" i="2"/>
  <c r="B12630" i="2"/>
  <c r="B10363" i="2"/>
  <c r="B11621" i="2"/>
  <c r="B1703" i="2"/>
  <c r="B19600" i="2"/>
  <c r="B20436" i="2"/>
  <c r="B668" i="2"/>
  <c r="B10983" i="2"/>
  <c r="B25255" i="2"/>
  <c r="B1086" i="2"/>
  <c r="B35618" i="2"/>
  <c r="B13567" i="2"/>
  <c r="B33085" i="2"/>
  <c r="B25374" i="2"/>
  <c r="B4517" i="2"/>
  <c r="B412" i="2"/>
  <c r="B35878" i="2"/>
  <c r="B27496" i="2"/>
  <c r="B9119" i="2"/>
  <c r="B27020" i="2"/>
  <c r="B2986" i="2"/>
  <c r="B33885" i="2"/>
  <c r="B2175" i="2"/>
  <c r="B17250" i="2"/>
  <c r="B31045" i="2"/>
  <c r="B14123" i="2"/>
  <c r="B24881" i="2"/>
  <c r="B4883" i="2"/>
  <c r="B34474" i="2"/>
  <c r="B33910" i="2"/>
  <c r="B4483" i="2"/>
  <c r="B25296" i="2"/>
  <c r="B26610" i="2"/>
  <c r="B26679" i="2"/>
  <c r="B5117" i="2"/>
  <c r="B15148" i="2"/>
  <c r="B32430" i="2"/>
  <c r="B5689" i="2"/>
  <c r="B13998" i="2"/>
  <c r="B3571" i="2"/>
  <c r="B2102" i="2"/>
  <c r="B30376" i="2"/>
  <c r="B27232" i="2"/>
  <c r="B18159" i="2"/>
  <c r="B35482" i="2"/>
  <c r="B22567" i="2"/>
  <c r="B34686" i="2"/>
  <c r="B21969" i="2"/>
  <c r="B27964" i="2"/>
  <c r="B34345" i="2"/>
  <c r="B8632" i="2"/>
  <c r="B25382" i="2"/>
  <c r="B21021" i="2"/>
  <c r="B15944" i="2"/>
  <c r="B3581" i="2"/>
  <c r="B20080" i="2"/>
  <c r="B3075" i="2"/>
  <c r="B19578" i="2"/>
  <c r="B31089" i="2"/>
  <c r="B25489" i="2"/>
  <c r="B844" i="2"/>
  <c r="B13061" i="2"/>
  <c r="B24582" i="2"/>
  <c r="B18810" i="2"/>
  <c r="B10475" i="2"/>
  <c r="B339" i="2"/>
  <c r="B26766" i="2"/>
  <c r="B31391" i="2"/>
  <c r="B13064" i="2"/>
  <c r="B3551" i="2"/>
  <c r="B30911" i="2"/>
  <c r="B15339" i="2"/>
  <c r="B18531" i="2"/>
  <c r="B9523" i="2"/>
  <c r="B976" i="2"/>
  <c r="B31640" i="2"/>
  <c r="B2413" i="2"/>
  <c r="B25702" i="2"/>
  <c r="B11047" i="2"/>
  <c r="B29675" i="2"/>
  <c r="B16583" i="2"/>
  <c r="B15058" i="2"/>
  <c r="B10098" i="2"/>
  <c r="B23527" i="2"/>
  <c r="B9745" i="2"/>
  <c r="B527" i="2"/>
  <c r="B35704" i="2"/>
  <c r="B32952" i="2"/>
  <c r="B7419" i="2"/>
  <c r="B8503" i="2"/>
  <c r="B2656" i="2"/>
  <c r="B8423" i="2"/>
  <c r="B18510" i="2"/>
  <c r="B31896" i="2"/>
  <c r="B23965" i="2"/>
  <c r="B12550" i="2"/>
  <c r="B13306" i="2"/>
  <c r="B33589" i="2"/>
  <c r="B18069" i="2"/>
  <c r="B20162" i="2"/>
  <c r="B8375" i="2"/>
  <c r="B33479" i="2"/>
  <c r="B26434" i="2"/>
  <c r="B28547" i="2"/>
  <c r="B29708" i="2"/>
  <c r="B29482" i="2"/>
  <c r="B20594" i="2"/>
  <c r="B17067" i="2"/>
  <c r="B24339" i="2"/>
  <c r="B25124" i="2"/>
  <c r="B29552" i="2"/>
  <c r="B30011" i="2"/>
  <c r="B29470" i="2"/>
  <c r="B33377" i="2"/>
  <c r="B13125" i="2"/>
  <c r="B12931" i="2"/>
  <c r="B19435" i="2"/>
  <c r="B3823" i="2"/>
  <c r="B8853" i="2"/>
  <c r="B15829" i="2"/>
  <c r="B30958" i="2"/>
  <c r="B29289" i="2"/>
  <c r="B22820" i="2"/>
  <c r="B23623" i="2"/>
  <c r="B27275" i="2"/>
  <c r="B28053" i="2"/>
  <c r="B10539" i="2"/>
  <c r="B30862" i="2"/>
  <c r="B9413" i="2"/>
  <c r="B24060" i="2"/>
  <c r="B22093" i="2"/>
  <c r="B32793" i="2"/>
  <c r="B8817" i="2"/>
  <c r="B20740" i="2"/>
  <c r="B32144" i="2"/>
  <c r="B18526" i="2"/>
  <c r="B25985" i="2"/>
  <c r="B5471" i="2"/>
  <c r="B17167" i="2"/>
  <c r="B9788" i="2"/>
  <c r="B27270" i="2"/>
  <c r="B26696" i="2"/>
  <c r="B1498" i="2"/>
  <c r="B6312" i="2"/>
  <c r="B14030" i="2"/>
  <c r="B5056" i="2"/>
  <c r="B12181" i="2"/>
  <c r="B8726" i="2"/>
  <c r="B373" i="2"/>
  <c r="B34118" i="2"/>
  <c r="B13589" i="2"/>
  <c r="B16894" i="2"/>
  <c r="B4236" i="2"/>
  <c r="B31041" i="2"/>
  <c r="B25574" i="2"/>
  <c r="B22216" i="2"/>
  <c r="B12754" i="2"/>
  <c r="B17352" i="2"/>
  <c r="B28785" i="2"/>
  <c r="B2235" i="2"/>
  <c r="B7938" i="2"/>
  <c r="B906" i="2"/>
  <c r="B34652" i="2"/>
  <c r="B25638" i="2"/>
  <c r="B28569" i="2"/>
  <c r="B3070" i="2"/>
  <c r="B25113" i="2"/>
  <c r="B16517" i="2"/>
  <c r="B27942" i="2"/>
  <c r="B10053" i="2"/>
  <c r="B5864" i="2"/>
  <c r="B20230" i="2"/>
  <c r="B6825" i="2"/>
  <c r="B28245" i="2"/>
  <c r="B27387" i="2"/>
  <c r="B29439" i="2"/>
  <c r="B2135" i="2"/>
  <c r="B11919" i="2"/>
  <c r="B801" i="2"/>
  <c r="B8612" i="2"/>
  <c r="B11453" i="2"/>
  <c r="B12491" i="2"/>
  <c r="B21951" i="2"/>
  <c r="B8673" i="2"/>
  <c r="B24059" i="2"/>
  <c r="B1415" i="2"/>
  <c r="B27095" i="2"/>
  <c r="B19365" i="2"/>
  <c r="B20084" i="2"/>
  <c r="B15751" i="2"/>
  <c r="B5073" i="2"/>
  <c r="B6320" i="2"/>
  <c r="B26215" i="2"/>
  <c r="B25930" i="2"/>
  <c r="B28836" i="2"/>
  <c r="B9445" i="2"/>
  <c r="B13633" i="2"/>
  <c r="B7145" i="2"/>
  <c r="B13542" i="2"/>
  <c r="B29009" i="2"/>
  <c r="B21368" i="2"/>
  <c r="B31734" i="2"/>
  <c r="B33421" i="2"/>
  <c r="B11512" i="2"/>
  <c r="B11870" i="2"/>
  <c r="B10661" i="2"/>
  <c r="B13234" i="2"/>
  <c r="B18695" i="2"/>
  <c r="B26246" i="2"/>
  <c r="B24989" i="2"/>
  <c r="B4802" i="2"/>
  <c r="B7347" i="2"/>
  <c r="B24519" i="2"/>
  <c r="B18950" i="2"/>
  <c r="B3926" i="2"/>
  <c r="B4188" i="2"/>
  <c r="B32921" i="2"/>
  <c r="B26219" i="2"/>
  <c r="B18325" i="2"/>
  <c r="B21465" i="2"/>
  <c r="B25454" i="2"/>
  <c r="B30809" i="2"/>
  <c r="B4528" i="2"/>
  <c r="B17945" i="2"/>
  <c r="B8245" i="2"/>
  <c r="B14235" i="2"/>
  <c r="B26392" i="2"/>
  <c r="B27036" i="2"/>
  <c r="B25509" i="2"/>
  <c r="B3845" i="2"/>
  <c r="B15973" i="2"/>
  <c r="B30656" i="2"/>
  <c r="B5802" i="2"/>
  <c r="B22971" i="2"/>
  <c r="B22874" i="2"/>
  <c r="B25388" i="2"/>
  <c r="B25053" i="2"/>
  <c r="B27749" i="2"/>
  <c r="B2721" i="2"/>
  <c r="B18346" i="2"/>
  <c r="B26235" i="2"/>
  <c r="B20598" i="2"/>
  <c r="B32016" i="2"/>
  <c r="B28731" i="2"/>
  <c r="B20493" i="2"/>
  <c r="B34977" i="2"/>
  <c r="B25877" i="2"/>
  <c r="B10985" i="2"/>
  <c r="B27405" i="2"/>
  <c r="B4542" i="2"/>
  <c r="B31692" i="2"/>
  <c r="B12978" i="2"/>
  <c r="B34101" i="2"/>
  <c r="B32541" i="2"/>
  <c r="B8398" i="2"/>
  <c r="B29819" i="2"/>
  <c r="B31297" i="2"/>
  <c r="B10857" i="2"/>
  <c r="B35459" i="2"/>
  <c r="B19512" i="2"/>
  <c r="B4405" i="2"/>
  <c r="B24665" i="2"/>
  <c r="B35591" i="2"/>
  <c r="B7892" i="2"/>
  <c r="B5145" i="2"/>
  <c r="B30064" i="2"/>
  <c r="B35095" i="2"/>
  <c r="B23205" i="2"/>
  <c r="B20989" i="2"/>
  <c r="B12086" i="2"/>
  <c r="B15435" i="2"/>
  <c r="B35830" i="2"/>
  <c r="B34320" i="2"/>
  <c r="B20485" i="2"/>
  <c r="B9864" i="2"/>
  <c r="B1730" i="2"/>
  <c r="B6376" i="2"/>
  <c r="B11798" i="2"/>
  <c r="B4263" i="2"/>
  <c r="B23046" i="2"/>
  <c r="B11177" i="2"/>
  <c r="B8279" i="2"/>
  <c r="B5861" i="2"/>
  <c r="B33275" i="2"/>
  <c r="B8280" i="2"/>
  <c r="B33710" i="2"/>
  <c r="B32354" i="2"/>
  <c r="B13552" i="2"/>
  <c r="B1886" i="2"/>
  <c r="B3736" i="2"/>
  <c r="B16602" i="2"/>
  <c r="B35134" i="2"/>
  <c r="B22632" i="2"/>
  <c r="B22825" i="2"/>
  <c r="B34335" i="2"/>
  <c r="B12428" i="2"/>
  <c r="B9502" i="2"/>
  <c r="B21761" i="2"/>
  <c r="B14911" i="2"/>
  <c r="B12282" i="2"/>
  <c r="B1874" i="2"/>
  <c r="B1406" i="2"/>
  <c r="B12545" i="2"/>
  <c r="B30417" i="2"/>
  <c r="B35518" i="2"/>
  <c r="B20578" i="2"/>
  <c r="B28089" i="2"/>
  <c r="B22432" i="2"/>
  <c r="B12465" i="2"/>
  <c r="B2627" i="2"/>
  <c r="B13537" i="2"/>
  <c r="B5208" i="2"/>
  <c r="B12730" i="2"/>
  <c r="B19743" i="2"/>
  <c r="B19629" i="2"/>
  <c r="B14461" i="2"/>
  <c r="B24781" i="2"/>
  <c r="B19484" i="2"/>
  <c r="B21784" i="2"/>
  <c r="B11304" i="2"/>
  <c r="B32705" i="2"/>
  <c r="B6677" i="2"/>
  <c r="B23560" i="2"/>
  <c r="B24255" i="2"/>
  <c r="B17544" i="2"/>
  <c r="B32944" i="2"/>
  <c r="B30114" i="2"/>
  <c r="B19941" i="2"/>
  <c r="B20246" i="2"/>
  <c r="B2428" i="2"/>
  <c r="B22325" i="2"/>
  <c r="B35943" i="2"/>
  <c r="B35303" i="2"/>
  <c r="B35925" i="2"/>
  <c r="B21836" i="2"/>
  <c r="B18654" i="2"/>
  <c r="B30673" i="2"/>
  <c r="B21344" i="2"/>
  <c r="B20828" i="2"/>
  <c r="B21341" i="2"/>
  <c r="B27714" i="2"/>
  <c r="B12534" i="2"/>
  <c r="B17465" i="2"/>
  <c r="B15395" i="2"/>
  <c r="B11166" i="2"/>
  <c r="B5537" i="2"/>
  <c r="B22029" i="2"/>
  <c r="B20106" i="2"/>
  <c r="B16234" i="2"/>
  <c r="B16330" i="2"/>
  <c r="B20412" i="2"/>
  <c r="B24887" i="2"/>
  <c r="B32948" i="2"/>
  <c r="B21909" i="2"/>
  <c r="B24543" i="2"/>
  <c r="B29755" i="2"/>
  <c r="B1204" i="2"/>
  <c r="B28691" i="2"/>
  <c r="B11266" i="2"/>
  <c r="B29883" i="2"/>
  <c r="B22721" i="2"/>
  <c r="B1737" i="2"/>
  <c r="B33329" i="2"/>
  <c r="B4430" i="2"/>
  <c r="B22079" i="2"/>
  <c r="B15161" i="2"/>
  <c r="B7740" i="2"/>
  <c r="B325" i="2"/>
  <c r="B7843" i="2"/>
  <c r="B11488" i="2"/>
  <c r="B4590" i="2"/>
  <c r="B23410" i="2"/>
  <c r="B6278" i="2"/>
  <c r="B30330" i="2"/>
  <c r="B24512" i="2"/>
  <c r="B21224" i="2"/>
  <c r="B15027" i="2"/>
  <c r="B29762" i="2"/>
  <c r="B15115" i="2"/>
  <c r="B8893" i="2"/>
  <c r="B2854" i="2"/>
  <c r="B26903" i="2"/>
  <c r="B15635" i="2"/>
  <c r="B11227" i="2"/>
  <c r="B32421" i="2"/>
  <c r="B13594" i="2"/>
  <c r="B28109" i="2"/>
  <c r="B29073" i="2"/>
  <c r="B15057" i="2"/>
  <c r="B7222" i="2"/>
  <c r="B12706" i="2"/>
  <c r="B17048" i="2"/>
  <c r="B27362" i="2"/>
  <c r="B26381" i="2"/>
  <c r="B14525" i="2"/>
  <c r="B18637" i="2"/>
  <c r="B23503" i="2"/>
  <c r="B27810" i="2"/>
  <c r="B35745" i="2"/>
  <c r="B5292" i="2"/>
  <c r="B23835" i="2"/>
  <c r="B5420" i="2"/>
  <c r="B3131" i="2"/>
  <c r="B12582" i="2"/>
  <c r="B7480" i="2"/>
  <c r="B29975" i="2"/>
  <c r="B3723" i="2"/>
  <c r="B4928" i="2"/>
  <c r="B3412" i="2"/>
  <c r="B33371" i="2"/>
  <c r="B20554" i="2"/>
  <c r="B24697" i="2"/>
  <c r="B512" i="2"/>
  <c r="B12469" i="2"/>
  <c r="B34596" i="2"/>
  <c r="B24384" i="2"/>
  <c r="B8759" i="2"/>
  <c r="B25550" i="2"/>
  <c r="B15525" i="2"/>
  <c r="B5694" i="2"/>
  <c r="B12589" i="2"/>
  <c r="B35823" i="2"/>
  <c r="B23045" i="2"/>
  <c r="B28567" i="2"/>
  <c r="B10883" i="2"/>
  <c r="B5937" i="2"/>
  <c r="B35720" i="2"/>
  <c r="B23540" i="2"/>
  <c r="B18347" i="2"/>
  <c r="B4840" i="2"/>
  <c r="B24205" i="2"/>
  <c r="B11980" i="2"/>
  <c r="B33932" i="2"/>
  <c r="B31590" i="2"/>
  <c r="B14" i="2"/>
  <c r="B6836" i="2"/>
  <c r="B19723" i="2"/>
  <c r="B36040" i="2"/>
  <c r="B16984" i="2"/>
  <c r="B12468" i="2"/>
  <c r="B3741" i="2"/>
  <c r="B9570" i="2"/>
  <c r="B15905" i="2"/>
  <c r="B13865" i="2"/>
  <c r="B12256" i="2"/>
  <c r="B35188" i="2"/>
  <c r="B4855" i="2"/>
  <c r="B20663" i="2"/>
  <c r="B27701" i="2"/>
  <c r="B35992" i="2"/>
  <c r="B4989" i="2"/>
  <c r="B19298" i="2"/>
  <c r="B34271" i="2"/>
  <c r="B9630" i="2"/>
  <c r="B13751" i="2"/>
  <c r="B15669" i="2"/>
  <c r="B23704" i="2"/>
  <c r="B7034" i="2"/>
  <c r="B11366" i="2"/>
  <c r="B10537" i="2"/>
  <c r="B32141" i="2"/>
  <c r="B2315" i="2"/>
  <c r="B21250" i="2"/>
  <c r="B20644" i="2"/>
  <c r="B20948" i="2"/>
  <c r="B11581" i="2"/>
  <c r="B12804" i="2"/>
  <c r="B9725" i="2"/>
  <c r="B19638" i="2"/>
  <c r="B25043" i="2"/>
  <c r="B17327" i="2"/>
  <c r="B26976" i="2"/>
  <c r="B33383" i="2"/>
  <c r="B28463" i="2"/>
  <c r="B28121" i="2"/>
  <c r="B21736" i="2"/>
  <c r="B22723" i="2"/>
  <c r="B1201" i="2"/>
  <c r="B32422" i="2"/>
  <c r="B17138" i="2"/>
  <c r="B18752" i="2"/>
  <c r="B32589" i="2"/>
  <c r="B790" i="2"/>
  <c r="B16277" i="2"/>
  <c r="B34181" i="2"/>
  <c r="B36297" i="2"/>
  <c r="B10783" i="2"/>
  <c r="B31729" i="2"/>
  <c r="B14528" i="2"/>
  <c r="B22966" i="2"/>
  <c r="B10530" i="2"/>
  <c r="B20096" i="2"/>
  <c r="B23224" i="2"/>
  <c r="B36151" i="2"/>
  <c r="B28237" i="2"/>
  <c r="B31696" i="2"/>
  <c r="B1202" i="2"/>
  <c r="B18644" i="2"/>
  <c r="B13711" i="2"/>
  <c r="B14044" i="2"/>
  <c r="B29818" i="2"/>
  <c r="B28540" i="2"/>
  <c r="B21355" i="2"/>
  <c r="B9728" i="2"/>
  <c r="B34846" i="2"/>
  <c r="B34898" i="2"/>
  <c r="B9143" i="2"/>
  <c r="B34174" i="2"/>
  <c r="B8918" i="2"/>
  <c r="B34669" i="2"/>
  <c r="B33270" i="2"/>
  <c r="B4273" i="2"/>
  <c r="B24461" i="2"/>
  <c r="B1967" i="2"/>
  <c r="B31450" i="2"/>
  <c r="B26329" i="2"/>
  <c r="B22123" i="2"/>
  <c r="B21975" i="2"/>
  <c r="B14609" i="2"/>
  <c r="B16210" i="2"/>
  <c r="B29140" i="2"/>
  <c r="B32527" i="2"/>
  <c r="B35164" i="2"/>
  <c r="B12415" i="2"/>
  <c r="B17331" i="2"/>
  <c r="B26313" i="2"/>
  <c r="B16231" i="2"/>
  <c r="B5860" i="2"/>
  <c r="B1859" i="2"/>
  <c r="B28494" i="2"/>
  <c r="B4383" i="2"/>
  <c r="B35920" i="2"/>
  <c r="B13353" i="2"/>
  <c r="B17619" i="2"/>
  <c r="B628" i="2"/>
  <c r="B6241" i="2"/>
  <c r="B20236" i="2"/>
  <c r="B7509" i="2"/>
  <c r="B15462" i="2"/>
  <c r="B26562" i="2"/>
  <c r="B28296" i="2"/>
  <c r="B21319" i="2"/>
  <c r="B23126" i="2"/>
  <c r="B21287" i="2"/>
  <c r="B18497" i="2"/>
  <c r="B33255" i="2"/>
  <c r="B31973" i="2"/>
  <c r="B34125" i="2"/>
  <c r="B32243" i="2"/>
  <c r="B8200" i="2"/>
  <c r="B19445" i="2"/>
  <c r="B7975" i="2"/>
  <c r="B15394" i="2"/>
  <c r="B27049" i="2"/>
  <c r="B8002" i="2"/>
  <c r="B21496" i="2"/>
  <c r="B29887" i="2"/>
  <c r="B31262" i="2"/>
  <c r="B14627" i="2"/>
  <c r="B22986" i="2"/>
  <c r="B28094" i="2"/>
  <c r="B25868" i="2"/>
  <c r="B24836" i="2"/>
  <c r="B10424" i="2"/>
  <c r="B8773" i="2"/>
  <c r="B25215" i="2"/>
  <c r="B27495" i="2"/>
  <c r="B6360" i="2"/>
  <c r="B29718" i="2"/>
  <c r="B29064" i="2"/>
  <c r="B3020" i="2"/>
  <c r="B13548" i="2"/>
  <c r="B10504" i="2"/>
  <c r="B29623" i="2"/>
  <c r="B31207" i="2"/>
  <c r="B7495" i="2"/>
  <c r="B25257" i="2"/>
  <c r="B9495" i="2"/>
  <c r="B26783" i="2"/>
  <c r="B1999" i="2"/>
  <c r="B5025" i="2"/>
  <c r="B18107" i="2"/>
  <c r="B11302" i="2"/>
  <c r="B36099" i="2"/>
  <c r="B20282" i="2"/>
  <c r="B28122" i="2"/>
  <c r="B11592" i="2"/>
  <c r="B10365" i="2"/>
  <c r="B28064" i="2"/>
  <c r="B8772" i="2"/>
  <c r="B2669" i="2"/>
  <c r="B12905" i="2"/>
  <c r="B11822" i="2"/>
  <c r="B18755" i="2"/>
  <c r="B8352" i="2"/>
  <c r="B9681" i="2"/>
  <c r="B29580" i="2"/>
  <c r="B10528" i="2"/>
  <c r="B11018" i="2"/>
  <c r="B7253" i="2"/>
  <c r="B28925" i="2"/>
  <c r="B15116" i="2"/>
  <c r="B23244" i="2"/>
  <c r="B33641" i="2"/>
  <c r="B12807" i="2"/>
  <c r="B4900" i="2"/>
  <c r="B36332" i="2"/>
  <c r="B22658" i="2"/>
  <c r="B3483" i="2"/>
  <c r="B7950" i="2"/>
  <c r="B309" i="2"/>
  <c r="B10698" i="2"/>
  <c r="B2938" i="2"/>
  <c r="B4148" i="2"/>
  <c r="B8432" i="2"/>
  <c r="B22118" i="2"/>
  <c r="B23217" i="2"/>
  <c r="B23711" i="2"/>
  <c r="B24269" i="2"/>
  <c r="B4010" i="2"/>
  <c r="B35441" i="2"/>
  <c r="B9288" i="2"/>
  <c r="B25752" i="2"/>
  <c r="B21514" i="2"/>
  <c r="B12547" i="2"/>
  <c r="B26533" i="2"/>
  <c r="B3704" i="2"/>
  <c r="B17475" i="2"/>
  <c r="B8785" i="2"/>
  <c r="B10298" i="2"/>
  <c r="B10262" i="2"/>
  <c r="B4125" i="2"/>
  <c r="B16215" i="2"/>
  <c r="B9884" i="2"/>
  <c r="B4924" i="2"/>
  <c r="B13525" i="2"/>
  <c r="B35651" i="2"/>
  <c r="B858" i="2"/>
  <c r="B21597" i="2"/>
  <c r="B13247" i="2"/>
  <c r="B29857" i="2"/>
  <c r="B30262" i="2"/>
  <c r="B31182" i="2"/>
  <c r="B28241" i="2"/>
  <c r="B36265" i="2"/>
  <c r="B3239" i="2"/>
  <c r="B14279" i="2"/>
  <c r="B31452" i="2"/>
  <c r="B9552" i="2"/>
  <c r="B25841" i="2"/>
  <c r="B31889" i="2"/>
  <c r="B6471" i="2"/>
  <c r="B11482" i="2"/>
  <c r="B34928" i="2"/>
  <c r="B21955" i="2"/>
  <c r="B23922" i="2"/>
  <c r="B35324" i="2"/>
  <c r="B2585" i="2"/>
  <c r="B2523" i="2"/>
  <c r="B34180" i="2"/>
  <c r="B30723" i="2"/>
  <c r="B12064" i="2"/>
  <c r="B15176" i="2"/>
  <c r="B26362" i="2"/>
  <c r="B27338" i="2"/>
  <c r="B3132" i="2"/>
  <c r="B33326" i="2"/>
  <c r="B34281" i="2"/>
  <c r="B29569" i="2"/>
  <c r="B928" i="2"/>
  <c r="B22097" i="2"/>
  <c r="B3627" i="2"/>
  <c r="B4158" i="2"/>
  <c r="B8735" i="2"/>
  <c r="B31046" i="2"/>
  <c r="B13097" i="2"/>
  <c r="B23776" i="2"/>
  <c r="B52" i="2"/>
  <c r="B27857" i="2"/>
  <c r="B7129" i="2"/>
  <c r="B31062" i="2"/>
  <c r="B35836" i="2"/>
  <c r="B29557" i="2"/>
  <c r="B18007" i="2"/>
  <c r="B11085" i="2"/>
  <c r="B17618" i="2"/>
  <c r="B6779" i="2"/>
  <c r="B20776" i="2"/>
  <c r="B2016" i="2"/>
  <c r="B8695" i="2"/>
  <c r="B16886" i="2"/>
  <c r="B5581" i="2"/>
  <c r="B1110" i="2"/>
  <c r="B22922" i="2"/>
  <c r="B20252" i="2"/>
  <c r="B32308" i="2"/>
  <c r="B16592" i="2"/>
  <c r="B33861" i="2"/>
  <c r="B13651" i="2"/>
  <c r="B3343" i="2"/>
  <c r="B19927" i="2"/>
  <c r="B14768" i="2"/>
  <c r="B18073" i="2"/>
  <c r="B23616" i="2"/>
  <c r="B6104" i="2"/>
  <c r="B35151" i="2"/>
  <c r="B35791" i="2"/>
  <c r="B21232" i="2"/>
  <c r="B35831" i="2"/>
  <c r="B21919" i="2"/>
  <c r="B27203" i="2"/>
  <c r="B10809" i="2"/>
  <c r="B14944" i="2"/>
  <c r="B32483" i="2"/>
  <c r="B34902" i="2"/>
  <c r="B35006" i="2"/>
  <c r="B23587" i="2"/>
  <c r="B1091" i="2"/>
  <c r="B11333" i="2"/>
  <c r="B12671" i="2"/>
  <c r="B24387" i="2"/>
  <c r="B24923" i="2"/>
  <c r="B28895" i="2"/>
  <c r="B6029" i="2"/>
  <c r="B14933" i="2"/>
  <c r="B33019" i="2"/>
  <c r="B34603" i="2"/>
  <c r="B32588" i="2"/>
  <c r="B2500" i="2"/>
  <c r="B21121" i="2"/>
  <c r="B13846" i="2"/>
  <c r="B12499" i="2"/>
  <c r="B35390" i="2"/>
  <c r="B10408" i="2"/>
  <c r="B3163" i="2"/>
  <c r="B782" i="2"/>
  <c r="B31390" i="2"/>
  <c r="B9825" i="2"/>
  <c r="B484" i="2"/>
  <c r="B31259" i="2"/>
  <c r="B18832" i="2"/>
  <c r="B29849" i="2"/>
  <c r="B5806" i="2"/>
  <c r="B18022" i="2"/>
  <c r="B26719" i="2"/>
  <c r="B33322" i="2"/>
  <c r="B4249" i="2"/>
  <c r="B17542" i="2"/>
  <c r="B35091" i="2"/>
  <c r="B20077" i="2"/>
  <c r="B1584" i="2"/>
  <c r="B35837" i="2"/>
  <c r="B35379" i="2"/>
  <c r="B26650" i="2"/>
  <c r="B16828" i="2"/>
  <c r="B11813" i="2"/>
  <c r="B23175" i="2"/>
  <c r="B14319" i="2"/>
  <c r="B29682" i="2"/>
  <c r="B34110" i="2"/>
  <c r="B9638" i="2"/>
  <c r="B3577" i="2"/>
  <c r="B19964" i="2"/>
  <c r="B35106" i="2"/>
  <c r="B6637" i="2"/>
  <c r="B29510" i="2"/>
  <c r="B33127" i="2"/>
  <c r="B10548" i="2"/>
  <c r="B11214" i="2"/>
  <c r="B18014" i="2"/>
  <c r="B31760" i="2"/>
  <c r="B1914" i="2"/>
  <c r="B13094" i="2"/>
  <c r="B16041" i="2"/>
  <c r="B20376" i="2"/>
  <c r="B6405" i="2"/>
  <c r="B16679" i="2"/>
  <c r="B32848" i="2"/>
  <c r="B34945" i="2"/>
  <c r="B12326" i="2"/>
  <c r="B13862" i="2"/>
  <c r="B27061" i="2"/>
  <c r="B10870" i="2"/>
  <c r="B26660" i="2"/>
  <c r="B26338" i="2"/>
  <c r="B31373" i="2"/>
  <c r="B12259" i="2"/>
  <c r="B18760" i="2"/>
  <c r="B8471" i="2"/>
  <c r="B27713" i="2"/>
  <c r="B15238" i="2"/>
  <c r="B10021" i="2"/>
  <c r="B13208" i="2"/>
  <c r="B23508" i="2"/>
  <c r="B10347" i="2"/>
  <c r="B22212" i="2"/>
  <c r="B17741" i="2"/>
  <c r="B3670" i="2"/>
  <c r="B22151" i="2"/>
  <c r="B11455" i="2"/>
  <c r="B22435" i="2"/>
  <c r="B35194" i="2"/>
  <c r="B30877" i="2"/>
  <c r="B31860" i="2"/>
  <c r="B1347" i="2"/>
  <c r="B24813" i="2"/>
  <c r="B8018" i="2"/>
  <c r="B34836" i="2"/>
  <c r="B32630" i="2"/>
  <c r="B13508" i="2"/>
  <c r="B34371" i="2"/>
  <c r="B8170" i="2"/>
  <c r="B33704" i="2"/>
  <c r="B12330" i="2"/>
  <c r="B23444" i="2"/>
  <c r="B15097" i="2"/>
  <c r="B552" i="2"/>
  <c r="B26987" i="2"/>
  <c r="B8715" i="2"/>
  <c r="B192" i="2"/>
  <c r="B12991" i="2"/>
  <c r="B13134" i="2"/>
  <c r="B26918" i="2"/>
  <c r="B10748" i="2"/>
  <c r="B22157" i="2"/>
  <c r="B9253" i="2"/>
  <c r="B7072" i="2"/>
  <c r="B15353" i="2"/>
  <c r="B29577" i="2"/>
  <c r="B23824" i="2"/>
  <c r="B29589" i="2"/>
  <c r="B32235" i="2"/>
  <c r="B33912" i="2"/>
  <c r="B28149" i="2"/>
  <c r="B16819" i="2"/>
  <c r="B7197" i="2"/>
  <c r="B34710" i="2"/>
  <c r="B15588" i="2"/>
  <c r="B35110" i="2"/>
  <c r="B11979" i="2"/>
  <c r="B4254" i="2"/>
  <c r="B12360" i="2"/>
  <c r="B173" i="2"/>
  <c r="B28188" i="2"/>
  <c r="B7595" i="2"/>
  <c r="B6665" i="2"/>
  <c r="B14081" i="2"/>
  <c r="B6218" i="2"/>
  <c r="B33793" i="2"/>
  <c r="B35223" i="2"/>
  <c r="B17114" i="2"/>
  <c r="B21185" i="2"/>
  <c r="B17650" i="2"/>
  <c r="B7690" i="2"/>
  <c r="B6819" i="2"/>
  <c r="B103" i="2"/>
  <c r="B36293" i="2"/>
  <c r="B9916" i="2"/>
  <c r="B27695" i="2"/>
  <c r="B1435" i="2"/>
  <c r="B7085" i="2"/>
  <c r="B4203" i="2"/>
  <c r="B20949" i="2"/>
  <c r="B18388" i="2"/>
  <c r="B6293" i="2"/>
  <c r="B26473" i="2"/>
  <c r="B3461" i="2"/>
  <c r="B10735" i="2"/>
  <c r="B22679" i="2"/>
  <c r="B14189" i="2"/>
  <c r="B14174" i="2"/>
  <c r="B6463" i="2"/>
  <c r="B30681" i="2"/>
  <c r="B1319" i="2"/>
  <c r="B1356" i="2"/>
  <c r="B33683" i="2"/>
  <c r="B17769" i="2"/>
  <c r="B27674" i="2"/>
  <c r="B22096" i="2"/>
  <c r="B6542" i="2"/>
  <c r="B30721" i="2"/>
  <c r="B6816" i="2"/>
  <c r="B15168" i="2"/>
  <c r="B26133" i="2"/>
  <c r="B6861" i="2"/>
  <c r="B11012" i="2"/>
  <c r="B15780" i="2"/>
  <c r="B34671" i="2"/>
  <c r="B15352" i="2"/>
  <c r="B17488" i="2"/>
  <c r="B33582" i="2"/>
  <c r="B35282" i="2"/>
  <c r="B22299" i="2"/>
  <c r="B23484" i="2"/>
  <c r="B15272" i="2"/>
  <c r="B11939" i="2"/>
  <c r="B11470" i="2"/>
  <c r="B30055" i="2"/>
  <c r="B6406" i="2"/>
  <c r="B18252" i="2"/>
  <c r="B6335" i="2"/>
  <c r="B19370" i="2"/>
  <c r="B13763" i="2"/>
  <c r="B5357" i="2"/>
  <c r="B22329" i="2"/>
  <c r="B18070" i="2"/>
  <c r="B1567" i="2"/>
  <c r="B7116" i="2"/>
  <c r="B35755" i="2"/>
  <c r="B30651" i="2"/>
  <c r="B16951" i="2"/>
  <c r="B14875" i="2"/>
  <c r="B27809" i="2"/>
  <c r="B18362" i="2"/>
  <c r="B5126" i="2"/>
  <c r="B23289" i="2"/>
  <c r="B30219" i="2"/>
  <c r="B23652" i="2"/>
  <c r="B9541" i="2"/>
  <c r="B7174" i="2"/>
  <c r="B31722" i="2"/>
  <c r="B17218" i="2"/>
  <c r="B12079" i="2"/>
  <c r="B17925" i="2"/>
  <c r="B28935" i="2"/>
  <c r="B8090" i="2"/>
  <c r="B31538" i="2"/>
  <c r="B27081" i="2"/>
  <c r="B4622" i="2"/>
  <c r="B35537" i="2"/>
  <c r="B3093" i="2"/>
  <c r="B23127" i="2"/>
  <c r="B34730" i="2"/>
  <c r="B28424" i="2"/>
  <c r="B33837" i="2"/>
  <c r="B20375" i="2"/>
  <c r="B17004" i="2"/>
  <c r="B32104" i="2"/>
  <c r="B33644" i="2"/>
  <c r="B33111" i="2"/>
  <c r="B26880" i="2"/>
  <c r="B8915" i="2"/>
  <c r="B1901" i="2"/>
  <c r="B22473" i="2"/>
  <c r="B4024" i="2"/>
  <c r="B35576" i="2"/>
  <c r="B16878" i="2"/>
  <c r="B656" i="2"/>
  <c r="B1521" i="2"/>
  <c r="B16185" i="2"/>
  <c r="B27409" i="2"/>
  <c r="B33091" i="2"/>
  <c r="B18893" i="2"/>
  <c r="B9454" i="2"/>
  <c r="B23764" i="2"/>
  <c r="B6462" i="2"/>
  <c r="B1303" i="2"/>
  <c r="B9631" i="2"/>
  <c r="B11094" i="2"/>
  <c r="B23433" i="2"/>
  <c r="B25990" i="2"/>
  <c r="B13570" i="2"/>
  <c r="B8679" i="2"/>
  <c r="B16652" i="2"/>
  <c r="B31879" i="2"/>
  <c r="B25295" i="2"/>
  <c r="B10182" i="2"/>
  <c r="B19792" i="2"/>
  <c r="B30796" i="2"/>
  <c r="B4776" i="2"/>
  <c r="B4489" i="2"/>
  <c r="B19131" i="2"/>
  <c r="B24470" i="2"/>
  <c r="B18867" i="2"/>
  <c r="B12383" i="2"/>
  <c r="B19099" i="2"/>
  <c r="B16718" i="2"/>
  <c r="B27543" i="2"/>
  <c r="B16062" i="2"/>
  <c r="B1321" i="2"/>
  <c r="B2092" i="2"/>
  <c r="B5815" i="2"/>
  <c r="B11272" i="2"/>
  <c r="B27643" i="2"/>
  <c r="B30102" i="2"/>
  <c r="B22026" i="2"/>
  <c r="B2525" i="2"/>
  <c r="B8390" i="2"/>
  <c r="B14708" i="2"/>
  <c r="B28196" i="2"/>
  <c r="B22542" i="2"/>
  <c r="B6598" i="2"/>
  <c r="B32006" i="2"/>
  <c r="B3386" i="2"/>
  <c r="B33151" i="2"/>
  <c r="B26597" i="2"/>
  <c r="B36070" i="2"/>
  <c r="B34131" i="2"/>
  <c r="B15050" i="2"/>
  <c r="B20571" i="2"/>
  <c r="B8289" i="2"/>
  <c r="B32224" i="2"/>
  <c r="B19101" i="2"/>
  <c r="B15536" i="2"/>
  <c r="B33209" i="2"/>
  <c r="B9626" i="2"/>
  <c r="B2748" i="2"/>
  <c r="B948" i="2"/>
  <c r="B34221" i="2"/>
  <c r="B30418" i="2"/>
  <c r="B25678" i="2"/>
  <c r="B34880" i="2"/>
  <c r="B22571" i="2"/>
  <c r="B337" i="2"/>
  <c r="B18983" i="2"/>
  <c r="B13579" i="2"/>
  <c r="B5364" i="2"/>
  <c r="B27152" i="2"/>
  <c r="B10645" i="2"/>
  <c r="B29743" i="2"/>
  <c r="B16409" i="2"/>
  <c r="B3928" i="2"/>
  <c r="B13929" i="2"/>
  <c r="B12718" i="2"/>
  <c r="B19516" i="2"/>
  <c r="B29191" i="2"/>
  <c r="B16344" i="2"/>
  <c r="B30422" i="2"/>
  <c r="B1286" i="2"/>
  <c r="B33351" i="2"/>
  <c r="B28303" i="2"/>
  <c r="B28871" i="2"/>
  <c r="B2957" i="2"/>
  <c r="B12476" i="2"/>
  <c r="B1381" i="2"/>
  <c r="B24046" i="2"/>
  <c r="B9834" i="2"/>
  <c r="B28802" i="2"/>
  <c r="B12413" i="2"/>
  <c r="B29396" i="2"/>
  <c r="B9846" i="2"/>
  <c r="B7535" i="2"/>
  <c r="B22987" i="2"/>
  <c r="B8497" i="2"/>
  <c r="B20474" i="2"/>
  <c r="B20186" i="2"/>
  <c r="B19247" i="2"/>
  <c r="B2467" i="2"/>
  <c r="B24102" i="2"/>
  <c r="B6379" i="2"/>
  <c r="B23960" i="2"/>
  <c r="B17560" i="2"/>
  <c r="B6140" i="2"/>
  <c r="B23368" i="2"/>
  <c r="B6618" i="2"/>
  <c r="B9730" i="2"/>
  <c r="B14926" i="2"/>
  <c r="B29331" i="2"/>
  <c r="B12748" i="2"/>
  <c r="B6510" i="2"/>
  <c r="B20258" i="2"/>
  <c r="B15386" i="2"/>
  <c r="B35492" i="2"/>
  <c r="B22540" i="2"/>
  <c r="B8442" i="2"/>
  <c r="B4370" i="2"/>
  <c r="B19137" i="2"/>
  <c r="B2572" i="2"/>
  <c r="B14336" i="2"/>
  <c r="B758" i="2"/>
  <c r="B4743" i="2"/>
  <c r="B16229" i="2"/>
  <c r="B16608" i="2"/>
  <c r="B7482" i="2"/>
  <c r="B28839" i="2"/>
  <c r="B14320" i="2"/>
  <c r="B12884" i="2"/>
  <c r="B32587" i="2"/>
  <c r="B29706" i="2"/>
  <c r="B30812" i="2"/>
  <c r="B18188" i="2"/>
  <c r="B35902" i="2"/>
  <c r="B9977" i="2"/>
  <c r="B17069" i="2"/>
  <c r="B3512" i="2"/>
  <c r="B17735" i="2"/>
  <c r="B29614" i="2"/>
  <c r="B22487" i="2"/>
  <c r="B31513" i="2"/>
  <c r="B26299" i="2"/>
  <c r="B8767" i="2"/>
  <c r="B18995" i="2"/>
  <c r="B15850" i="2"/>
  <c r="B12201" i="2"/>
  <c r="B4288" i="2"/>
  <c r="B4666" i="2"/>
  <c r="B14823" i="2"/>
  <c r="B29953" i="2"/>
  <c r="B11247" i="2"/>
  <c r="B19359" i="2"/>
  <c r="B30132" i="2"/>
  <c r="B21318" i="2"/>
  <c r="B24842" i="2"/>
  <c r="B32942" i="2"/>
  <c r="B22631" i="2"/>
  <c r="B8393" i="2"/>
  <c r="B30222" i="2"/>
  <c r="B15205" i="2"/>
  <c r="B23177" i="2"/>
  <c r="B14857" i="2"/>
  <c r="B21249" i="2"/>
  <c r="B19009" i="2"/>
  <c r="B30654" i="2"/>
  <c r="B22494" i="2"/>
  <c r="B6064" i="2"/>
  <c r="B35965" i="2"/>
  <c r="B12564" i="2"/>
  <c r="B3254" i="2"/>
  <c r="B35328" i="2"/>
  <c r="B21619" i="2"/>
  <c r="B19957" i="2"/>
  <c r="B14315" i="2"/>
  <c r="B4632" i="2"/>
  <c r="B17333" i="2"/>
  <c r="B28226" i="2"/>
  <c r="B9074" i="2"/>
  <c r="B36126" i="2"/>
  <c r="B33892" i="2"/>
  <c r="B17580" i="2"/>
  <c r="B16687" i="2"/>
  <c r="B21049" i="2"/>
  <c r="B8199" i="2"/>
  <c r="B22919" i="2"/>
  <c r="B11768" i="2"/>
  <c r="B6792" i="2"/>
  <c r="B5096" i="2"/>
  <c r="B25276" i="2"/>
  <c r="B14226" i="2"/>
  <c r="B11719" i="2"/>
  <c r="B25397" i="2"/>
  <c r="B4966" i="2"/>
  <c r="B34722" i="2"/>
  <c r="B33447" i="2"/>
  <c r="B6856" i="2"/>
  <c r="B22090" i="2"/>
  <c r="B969" i="2"/>
  <c r="B12541" i="2"/>
  <c r="B32287" i="2"/>
  <c r="B19064" i="2"/>
  <c r="B34619" i="2"/>
  <c r="B21981" i="2"/>
  <c r="B18403" i="2"/>
  <c r="B1398" i="2"/>
  <c r="B28315" i="2"/>
  <c r="B20104" i="2"/>
  <c r="B34925" i="2"/>
  <c r="B33112" i="2"/>
  <c r="B10431" i="2"/>
  <c r="B16712" i="2"/>
  <c r="B35464" i="2"/>
  <c r="B8909" i="2"/>
  <c r="B13543" i="2"/>
  <c r="B20351" i="2"/>
  <c r="B24783" i="2"/>
  <c r="B13917" i="2"/>
  <c r="B17967" i="2"/>
  <c r="B35719" i="2"/>
  <c r="B29194" i="2"/>
  <c r="B36333" i="2"/>
  <c r="B25114" i="2"/>
  <c r="B32030" i="2"/>
  <c r="B29751" i="2"/>
  <c r="B30068" i="2"/>
  <c r="B23956" i="2"/>
  <c r="B15296" i="2"/>
  <c r="B1683" i="2"/>
  <c r="B28543" i="2"/>
  <c r="B35483" i="2"/>
  <c r="B19259" i="2"/>
  <c r="B19384" i="2"/>
  <c r="B24019" i="2"/>
  <c r="B12686" i="2"/>
  <c r="B32028" i="2"/>
  <c r="B15367" i="2"/>
  <c r="B18913" i="2"/>
  <c r="B2071" i="2"/>
  <c r="B9979" i="2"/>
  <c r="B4972" i="2"/>
  <c r="B28993" i="2"/>
  <c r="B12229" i="2"/>
  <c r="B31891" i="2"/>
  <c r="B16004" i="2"/>
  <c r="B2565" i="2"/>
  <c r="B21400" i="2"/>
  <c r="B6638" i="2"/>
  <c r="B4908" i="2"/>
  <c r="B13769" i="2"/>
  <c r="B23174" i="2"/>
  <c r="B3032" i="2"/>
  <c r="B18617" i="2"/>
  <c r="B6751" i="2"/>
  <c r="B20313" i="2"/>
  <c r="B27908" i="2"/>
  <c r="B15747" i="2"/>
  <c r="B26725" i="2"/>
  <c r="B15101" i="2"/>
  <c r="B4280" i="2"/>
  <c r="B2061" i="2"/>
  <c r="B31593" i="2"/>
  <c r="B27776" i="2"/>
  <c r="B32409" i="2"/>
  <c r="B14654" i="2"/>
  <c r="B13463" i="2"/>
  <c r="B30317" i="2"/>
  <c r="B9923" i="2"/>
  <c r="B24988" i="2"/>
  <c r="B24754" i="2"/>
  <c r="B10533" i="2"/>
  <c r="B25458" i="2"/>
  <c r="B10191" i="2"/>
  <c r="B13350" i="2"/>
  <c r="B8780" i="2"/>
  <c r="B8875" i="2"/>
  <c r="B36306" i="2"/>
  <c r="B4344" i="2"/>
  <c r="B4145" i="2"/>
  <c r="B132" i="2"/>
  <c r="B13898" i="2"/>
  <c r="B2804" i="2"/>
  <c r="B32217" i="2"/>
  <c r="B14338" i="2"/>
  <c r="B19883" i="2"/>
  <c r="B13643" i="2"/>
  <c r="B8313" i="2"/>
  <c r="B5384" i="2"/>
  <c r="B35494" i="2"/>
  <c r="B24960" i="2"/>
  <c r="B11300" i="2"/>
  <c r="B27650" i="2"/>
  <c r="B1268" i="2"/>
  <c r="B16744" i="2"/>
  <c r="B31751" i="2"/>
  <c r="B19544" i="2"/>
  <c r="B710" i="2"/>
  <c r="B22578" i="2"/>
  <c r="B472" i="2"/>
  <c r="B4367" i="2"/>
  <c r="B11856" i="2"/>
  <c r="B2006" i="2"/>
  <c r="B27342" i="2"/>
  <c r="B2050" i="2"/>
  <c r="B737" i="2"/>
  <c r="B24150" i="2"/>
  <c r="B36056" i="2"/>
  <c r="B12675" i="2"/>
  <c r="B23239" i="2"/>
  <c r="B27922" i="2"/>
  <c r="B23137" i="2"/>
  <c r="B14291" i="2"/>
  <c r="B35699" i="2"/>
  <c r="B5416" i="2"/>
  <c r="B4123" i="2"/>
  <c r="B31643" i="2"/>
  <c r="B22990" i="2"/>
  <c r="B18483" i="2"/>
  <c r="B1491" i="2"/>
  <c r="B11838" i="2"/>
  <c r="B1937" i="2"/>
  <c r="B21700" i="2"/>
  <c r="B24421" i="2"/>
  <c r="B11073" i="2"/>
  <c r="B2365" i="2"/>
  <c r="B27597" i="2"/>
  <c r="B8798" i="2"/>
  <c r="B31979" i="2"/>
  <c r="B13939" i="2"/>
  <c r="B6675" i="2"/>
  <c r="B31808" i="2"/>
  <c r="B20841" i="2"/>
  <c r="B5160" i="2"/>
  <c r="B23097" i="2"/>
  <c r="B6564" i="2"/>
  <c r="B4602" i="2"/>
  <c r="B27537" i="2"/>
  <c r="B17559" i="2"/>
  <c r="B31384" i="2"/>
  <c r="B28887" i="2"/>
  <c r="B20454" i="2"/>
  <c r="B7474" i="2"/>
  <c r="B34562" i="2"/>
  <c r="B24865" i="2"/>
  <c r="B27856" i="2"/>
  <c r="B8010" i="2"/>
  <c r="B11444" i="2"/>
  <c r="B34370" i="2"/>
  <c r="B30518" i="2"/>
  <c r="B19202" i="2"/>
  <c r="B26366" i="2"/>
  <c r="B26258" i="2"/>
  <c r="B18162" i="2"/>
  <c r="B29037" i="2"/>
  <c r="B1893" i="2"/>
  <c r="B28139" i="2"/>
  <c r="B21920" i="2"/>
  <c r="B29789" i="2"/>
  <c r="B36351" i="2"/>
  <c r="B6563" i="2"/>
  <c r="B3136" i="2"/>
  <c r="B8031" i="2"/>
  <c r="B18836" i="2"/>
  <c r="B239" i="2"/>
  <c r="B14494" i="2"/>
  <c r="B25198" i="2"/>
  <c r="B5680" i="2"/>
  <c r="B11202" i="2"/>
  <c r="B33738" i="2"/>
  <c r="B26884" i="2"/>
  <c r="B2043" i="2"/>
  <c r="B28385" i="2"/>
  <c r="B11097" i="2"/>
  <c r="B11489" i="2"/>
  <c r="B23145" i="2"/>
  <c r="B34243" i="2"/>
  <c r="B9792" i="2"/>
  <c r="B25135" i="2"/>
  <c r="B16749" i="2"/>
  <c r="B9089" i="2"/>
  <c r="B25819" i="2"/>
  <c r="B19623" i="2"/>
  <c r="B4409" i="2"/>
  <c r="B18970" i="2"/>
  <c r="B4710" i="2"/>
  <c r="B14870" i="2"/>
  <c r="B510" i="2"/>
  <c r="B33318" i="2"/>
  <c r="B34775" i="2"/>
  <c r="B34469" i="2"/>
  <c r="B30992" i="2"/>
  <c r="B33637" i="2"/>
  <c r="B1063" i="2"/>
  <c r="B9293" i="2"/>
  <c r="B9966" i="2"/>
  <c r="B30629" i="2"/>
  <c r="B10327" i="2"/>
  <c r="B12629" i="2"/>
  <c r="B31573" i="2"/>
  <c r="B34818" i="2"/>
  <c r="B18372" i="2"/>
  <c r="B2792" i="2"/>
  <c r="B11213" i="2"/>
  <c r="B3793" i="2"/>
  <c r="B13325" i="2"/>
  <c r="B7738" i="2"/>
  <c r="B23829" i="2"/>
  <c r="B31665" i="2"/>
  <c r="B1025" i="2"/>
  <c r="B15290" i="2"/>
  <c r="B32227" i="2"/>
  <c r="B23311" i="2"/>
  <c r="B11339" i="2"/>
  <c r="B14094" i="2"/>
  <c r="B4376" i="2"/>
  <c r="B16519" i="2"/>
  <c r="B20025" i="2"/>
  <c r="B6789" i="2"/>
  <c r="B25252" i="2"/>
  <c r="B27760" i="2"/>
  <c r="B29189" i="2"/>
  <c r="B29632" i="2"/>
  <c r="B31170" i="2"/>
  <c r="B11399" i="2"/>
  <c r="B5373" i="2"/>
  <c r="B30780" i="2"/>
  <c r="B30059" i="2"/>
  <c r="B15538" i="2"/>
  <c r="B33543" i="2"/>
  <c r="B13132" i="2"/>
  <c r="B16666" i="2"/>
  <c r="B25471" i="2"/>
  <c r="B3506" i="2"/>
  <c r="B32199" i="2"/>
  <c r="B25245" i="2"/>
  <c r="B2247" i="2"/>
  <c r="B3705" i="2"/>
  <c r="B20901" i="2"/>
  <c r="B28948" i="2"/>
  <c r="B17599" i="2"/>
  <c r="B22577" i="2"/>
  <c r="B27746" i="2"/>
  <c r="B17649" i="2"/>
  <c r="B32063" i="2"/>
  <c r="B21227" i="2"/>
  <c r="B18881" i="2"/>
  <c r="B27742" i="2"/>
  <c r="B4213" i="2"/>
  <c r="B11825" i="2"/>
  <c r="B18871" i="2"/>
  <c r="B5101" i="2"/>
  <c r="B16770" i="2"/>
  <c r="B31522" i="2"/>
  <c r="B22862" i="2"/>
  <c r="B2511" i="2"/>
  <c r="B4484" i="2"/>
  <c r="B32553" i="2"/>
  <c r="B29646" i="2"/>
  <c r="B36295" i="2"/>
  <c r="B13902" i="2"/>
  <c r="B11437" i="2"/>
  <c r="B24144" i="2"/>
  <c r="B9393" i="2"/>
  <c r="B20196" i="2"/>
  <c r="B34327" i="2"/>
  <c r="B10077" i="2"/>
  <c r="B35466" i="2"/>
  <c r="B29695" i="2"/>
  <c r="B792" i="2"/>
  <c r="B13049" i="2"/>
  <c r="B13142" i="2"/>
  <c r="B15541" i="2"/>
  <c r="B27576" i="2"/>
  <c r="B26335" i="2"/>
  <c r="B28082" i="2"/>
  <c r="B9668" i="2"/>
  <c r="B23108" i="2"/>
  <c r="B27855" i="2"/>
  <c r="B10064" i="2"/>
  <c r="B24751" i="2"/>
  <c r="B26501" i="2"/>
  <c r="B19905" i="2"/>
  <c r="B20918" i="2"/>
  <c r="B26408" i="2"/>
  <c r="B32823" i="2"/>
  <c r="B7924" i="2"/>
  <c r="B1785" i="2"/>
  <c r="B2979" i="2"/>
  <c r="B6583" i="2"/>
  <c r="B1705" i="2"/>
  <c r="B24417" i="2"/>
  <c r="B35523" i="2"/>
  <c r="B10462" i="2"/>
  <c r="B25024" i="2"/>
  <c r="B13237" i="2"/>
  <c r="B27506" i="2"/>
  <c r="B10086" i="2"/>
  <c r="B20062" i="2"/>
  <c r="B32116" i="2"/>
  <c r="B23867" i="2"/>
  <c r="B21891" i="2"/>
  <c r="B24412" i="2"/>
  <c r="B4544" i="2"/>
  <c r="B7154" i="2"/>
  <c r="B9474" i="2"/>
  <c r="B11286" i="2"/>
  <c r="B26845" i="2"/>
  <c r="B6304" i="2"/>
  <c r="B35737" i="2"/>
  <c r="B25536" i="2"/>
  <c r="B32774" i="2"/>
  <c r="B22535" i="2"/>
  <c r="B33824" i="2"/>
  <c r="B26052" i="2"/>
  <c r="B20673" i="2"/>
  <c r="B29221" i="2"/>
  <c r="B2810" i="2"/>
  <c r="B34173" i="2"/>
  <c r="B15206" i="2"/>
  <c r="B13323" i="2"/>
  <c r="B27757" i="2"/>
  <c r="B9647" i="2"/>
  <c r="B67" i="2"/>
  <c r="B15956" i="2"/>
  <c r="B33474" i="2"/>
  <c r="B28650" i="2"/>
  <c r="B5009" i="2"/>
  <c r="B12312" i="2"/>
  <c r="B15043" i="2"/>
  <c r="B31188" i="2"/>
  <c r="B29757" i="2"/>
  <c r="B28790" i="2"/>
  <c r="B27703" i="2"/>
  <c r="B19827" i="2"/>
  <c r="B15487" i="2"/>
  <c r="B21754" i="2"/>
  <c r="B26926" i="2"/>
  <c r="B5614" i="2"/>
  <c r="B23984" i="2"/>
  <c r="B1011" i="2"/>
  <c r="B31626" i="2"/>
  <c r="B21297" i="2"/>
  <c r="B17606" i="2"/>
  <c r="B27286" i="2"/>
  <c r="B35049" i="2"/>
  <c r="B7682" i="2"/>
  <c r="B19547" i="2"/>
  <c r="B22564" i="2"/>
  <c r="B31939" i="2"/>
  <c r="B21268" i="2"/>
  <c r="B1837" i="2"/>
  <c r="B33658" i="2"/>
  <c r="B24136" i="2"/>
  <c r="B15013" i="2"/>
  <c r="B21865" i="2"/>
  <c r="B27008" i="2"/>
  <c r="B30477" i="2"/>
  <c r="B4994" i="2"/>
  <c r="B10887" i="2"/>
  <c r="B26646" i="2"/>
  <c r="B33136" i="2"/>
  <c r="B20181" i="2"/>
  <c r="B6060" i="2"/>
  <c r="B34814" i="2"/>
  <c r="B17095" i="2"/>
  <c r="B11129" i="2"/>
  <c r="B28918" i="2"/>
  <c r="B25302" i="2"/>
  <c r="B32464" i="2"/>
  <c r="B25742" i="2"/>
  <c r="B5378" i="2"/>
  <c r="B24576" i="2"/>
  <c r="B5295" i="2"/>
  <c r="B2264" i="2"/>
  <c r="B20503" i="2"/>
  <c r="B17785" i="2"/>
  <c r="B34262" i="2"/>
  <c r="B33525" i="2"/>
  <c r="B23155" i="2"/>
  <c r="B24001" i="2"/>
  <c r="B29928" i="2"/>
  <c r="B25858" i="2"/>
  <c r="B18614" i="2"/>
  <c r="B9790" i="2"/>
  <c r="B34801" i="2"/>
  <c r="B20779" i="2"/>
  <c r="B19609" i="2"/>
  <c r="B11757" i="2"/>
  <c r="B24567" i="2"/>
  <c r="B33412" i="2"/>
  <c r="B3173" i="2"/>
  <c r="B12996" i="2"/>
  <c r="B22680" i="2"/>
  <c r="B22669" i="2"/>
  <c r="B23567" i="2"/>
  <c r="B31762" i="2"/>
  <c r="B12381" i="2"/>
  <c r="B8384" i="2"/>
  <c r="B14538" i="2"/>
  <c r="B11807" i="2"/>
  <c r="B13016" i="2"/>
  <c r="B22003" i="2"/>
  <c r="B34871" i="2"/>
  <c r="B16556" i="2"/>
  <c r="B30035" i="2"/>
  <c r="B5924" i="2"/>
  <c r="B5609" i="2"/>
  <c r="B9466" i="2"/>
  <c r="B7654" i="2"/>
  <c r="B24736" i="2"/>
  <c r="B33848" i="2"/>
  <c r="B11152" i="2"/>
  <c r="B17677" i="2"/>
  <c r="B13892" i="2"/>
  <c r="B16980" i="2"/>
  <c r="B30808" i="2"/>
  <c r="B18600" i="2"/>
  <c r="B18465" i="2"/>
  <c r="B34088" i="2"/>
  <c r="B26197" i="2"/>
  <c r="B27969" i="2"/>
  <c r="B11052" i="2"/>
  <c r="B31646" i="2"/>
  <c r="B34210" i="2"/>
  <c r="B5318" i="2"/>
  <c r="B22866" i="2"/>
  <c r="B12750" i="2"/>
  <c r="B11797" i="2"/>
  <c r="B18011" i="2"/>
  <c r="B1485" i="2"/>
  <c r="B10186" i="2"/>
  <c r="B30528" i="2"/>
  <c r="B12779" i="2"/>
  <c r="B30192" i="2"/>
  <c r="B31537" i="2"/>
  <c r="B6989" i="2"/>
  <c r="B26905" i="2"/>
  <c r="B12166" i="2"/>
  <c r="B4387" i="2"/>
  <c r="B23871" i="2"/>
  <c r="B12603" i="2"/>
  <c r="B24545" i="2"/>
  <c r="B1136" i="2"/>
  <c r="B9238" i="2"/>
  <c r="B2531" i="2"/>
  <c r="B22630" i="2"/>
  <c r="B7325" i="2"/>
  <c r="B20264" i="2"/>
  <c r="B27639" i="2"/>
  <c r="B26339" i="2"/>
  <c r="B3442" i="2"/>
  <c r="B32487" i="2"/>
  <c r="B27974" i="2"/>
  <c r="B7479" i="2"/>
  <c r="B23107" i="2"/>
  <c r="B2353" i="2"/>
  <c r="B6129" i="2"/>
  <c r="B16079" i="2"/>
  <c r="B25242" i="2"/>
  <c r="B12600" i="2"/>
  <c r="B13654" i="2"/>
  <c r="B20824" i="2"/>
  <c r="B180" i="2"/>
  <c r="B21361" i="2"/>
  <c r="B11913" i="2"/>
  <c r="B22078" i="2"/>
  <c r="B23209" i="2"/>
  <c r="B17267" i="2"/>
  <c r="B18267" i="2"/>
  <c r="B31151" i="2"/>
  <c r="B20643" i="2"/>
  <c r="B10923" i="2"/>
  <c r="B13501" i="2"/>
  <c r="B8629" i="2"/>
  <c r="B33952" i="2"/>
  <c r="B34025" i="2"/>
  <c r="B3127" i="2"/>
  <c r="B10316" i="2"/>
  <c r="B19124" i="2"/>
  <c r="B18279" i="2"/>
  <c r="B32545" i="2"/>
  <c r="B22057" i="2"/>
  <c r="B15578" i="2"/>
  <c r="B23595" i="2"/>
  <c r="B11142" i="2"/>
  <c r="B19472" i="2"/>
  <c r="B7438" i="2"/>
  <c r="B15455" i="2"/>
  <c r="B29376" i="2"/>
  <c r="B6022" i="2"/>
  <c r="B33753" i="2"/>
  <c r="B27762" i="2"/>
  <c r="B34668" i="2"/>
  <c r="B34658" i="2"/>
  <c r="B8902" i="2"/>
  <c r="B14078" i="2"/>
  <c r="B34615" i="2"/>
  <c r="B23729" i="2"/>
  <c r="B10313" i="2"/>
  <c r="B8646" i="2"/>
  <c r="B3815" i="2"/>
  <c r="B4740" i="2"/>
  <c r="B35656" i="2"/>
  <c r="B24258" i="2"/>
  <c r="B29727" i="2"/>
  <c r="B7547" i="2"/>
  <c r="B26913" i="2"/>
  <c r="B27003" i="2"/>
  <c r="B33517" i="2"/>
  <c r="B12358" i="2"/>
  <c r="B10552" i="2"/>
  <c r="B25137" i="2"/>
  <c r="B21370" i="2"/>
  <c r="B3473" i="2"/>
  <c r="B19581" i="2"/>
  <c r="B24873" i="2"/>
  <c r="B20783" i="2"/>
  <c r="B22291" i="2"/>
  <c r="B9615" i="2"/>
  <c r="B596" i="2"/>
  <c r="B28684" i="2"/>
  <c r="B16313" i="2"/>
  <c r="B9106" i="2"/>
  <c r="B12619" i="2"/>
  <c r="B4160" i="2"/>
  <c r="B7576" i="2"/>
  <c r="B9899" i="2"/>
  <c r="B8654" i="2"/>
  <c r="B5857" i="2"/>
  <c r="B8607" i="2"/>
  <c r="B7955" i="2"/>
  <c r="B2404" i="2"/>
  <c r="B19092" i="2"/>
  <c r="B11383" i="2"/>
  <c r="B19182" i="2"/>
  <c r="B31802" i="2"/>
  <c r="B10665" i="2"/>
  <c r="B30576" i="2"/>
  <c r="B35695" i="2"/>
  <c r="B16969" i="2"/>
  <c r="B14833" i="2"/>
  <c r="B9472" i="2"/>
  <c r="B15768" i="2"/>
  <c r="B9231" i="2"/>
  <c r="B9377" i="2"/>
  <c r="B3229" i="2"/>
  <c r="B28243" i="2"/>
  <c r="B16458" i="2"/>
  <c r="B22605" i="2"/>
  <c r="B24423" i="2"/>
  <c r="B14535" i="2"/>
  <c r="B20587" i="2"/>
  <c r="B23788" i="2"/>
  <c r="B1332" i="2"/>
  <c r="B28617" i="2"/>
  <c r="B34308" i="2"/>
  <c r="B30719" i="2"/>
  <c r="B24862" i="2"/>
  <c r="B2244" i="2"/>
  <c r="B9653" i="2"/>
  <c r="B19031" i="2"/>
  <c r="B5200" i="2"/>
  <c r="B15967" i="2"/>
  <c r="B30901" i="2"/>
  <c r="B35219" i="2"/>
  <c r="B28609" i="2"/>
  <c r="B20292" i="2"/>
  <c r="B20830" i="2"/>
  <c r="B36089" i="2"/>
  <c r="B29035" i="2"/>
  <c r="B25760" i="2"/>
  <c r="B26216" i="2"/>
  <c r="B18432" i="2"/>
  <c r="B14691" i="2"/>
  <c r="B26046" i="2"/>
  <c r="B8597" i="2"/>
  <c r="B26702" i="2"/>
  <c r="B11440" i="2"/>
  <c r="B14761" i="2"/>
  <c r="B16470" i="2"/>
  <c r="B3464" i="2"/>
  <c r="B36264" i="2"/>
  <c r="B19834" i="2"/>
  <c r="B1426" i="2"/>
  <c r="B4823" i="2"/>
  <c r="B15253" i="2"/>
  <c r="B21308" i="2"/>
  <c r="B14861" i="2"/>
  <c r="B30355" i="2"/>
  <c r="B1449" i="2"/>
  <c r="B20860" i="2"/>
  <c r="B35147" i="2"/>
  <c r="B35662" i="2"/>
  <c r="B17519" i="2"/>
  <c r="B682" i="2"/>
  <c r="B35388" i="2"/>
  <c r="B7084" i="2"/>
  <c r="B25662" i="2"/>
  <c r="B20865" i="2"/>
  <c r="B33271" i="2"/>
  <c r="B3659" i="2"/>
  <c r="B25966" i="2"/>
  <c r="B17104" i="2"/>
  <c r="B26136" i="2"/>
  <c r="B477" i="2"/>
  <c r="B31138" i="2"/>
  <c r="B980" i="2"/>
  <c r="B23799" i="2"/>
  <c r="B24016" i="2"/>
  <c r="B25737" i="2"/>
  <c r="B28459" i="2"/>
  <c r="B25561" i="2"/>
  <c r="B7914" i="2"/>
  <c r="B9503" i="2"/>
  <c r="B4366" i="2"/>
  <c r="B33155" i="2"/>
  <c r="B12188" i="2"/>
  <c r="B8253" i="2"/>
  <c r="B35229" i="2"/>
  <c r="B22528" i="2"/>
  <c r="B29865" i="2"/>
  <c r="B22670" i="2"/>
  <c r="B9540" i="2"/>
  <c r="B33671" i="2"/>
  <c r="B10399" i="2"/>
  <c r="B5282" i="2"/>
  <c r="B35148" i="2"/>
  <c r="B18620" i="2"/>
  <c r="B12647" i="2"/>
  <c r="B7669" i="2"/>
  <c r="B1954" i="2"/>
  <c r="B8916" i="2"/>
  <c r="B3978" i="2"/>
  <c r="B26201" i="2"/>
  <c r="B20098" i="2"/>
  <c r="B17147" i="2"/>
  <c r="B23696" i="2"/>
  <c r="B13733" i="2"/>
  <c r="B25854" i="2"/>
  <c r="B33023" i="2"/>
  <c r="B8468" i="2"/>
  <c r="B13575" i="2"/>
  <c r="B23590" i="2"/>
  <c r="B34144" i="2"/>
  <c r="B34825" i="2"/>
  <c r="B30647" i="2"/>
  <c r="B26567" i="2"/>
  <c r="B14728" i="2"/>
  <c r="B17378" i="2"/>
  <c r="B18254" i="2"/>
  <c r="B31424" i="2"/>
  <c r="B27924" i="2"/>
  <c r="B23150" i="2"/>
  <c r="B155" i="2"/>
  <c r="B32750" i="2"/>
  <c r="B23551" i="2"/>
  <c r="B10070" i="2"/>
  <c r="B4290" i="2"/>
  <c r="B35612" i="2"/>
  <c r="B4317" i="2"/>
  <c r="B9059" i="2"/>
  <c r="B12767" i="2"/>
  <c r="B21405" i="2"/>
  <c r="B27233" i="2"/>
  <c r="B4325" i="2"/>
  <c r="B15675" i="2"/>
  <c r="B26204" i="2"/>
  <c r="B4824" i="2"/>
  <c r="B7191" i="2"/>
  <c r="B21285" i="2"/>
  <c r="B24148" i="2"/>
  <c r="B31463" i="2"/>
  <c r="B6823" i="2"/>
  <c r="B29242" i="2"/>
  <c r="B26916" i="2"/>
  <c r="B3312" i="2"/>
  <c r="B32225" i="2"/>
  <c r="B23576" i="2"/>
  <c r="B29328" i="2"/>
  <c r="B34007" i="2"/>
  <c r="B18943" i="2"/>
  <c r="B25082" i="2"/>
  <c r="B11765" i="2"/>
  <c r="B20746" i="2"/>
  <c r="B21272" i="2"/>
  <c r="B27400" i="2"/>
  <c r="B8187" i="2"/>
  <c r="B27912" i="2"/>
  <c r="B15783" i="2"/>
  <c r="B29360" i="2"/>
  <c r="B35691" i="2"/>
  <c r="B33428" i="2"/>
  <c r="B25725" i="2"/>
  <c r="B22238" i="2"/>
  <c r="B18817" i="2"/>
  <c r="B7957" i="2"/>
  <c r="B12576" i="2"/>
  <c r="B11282" i="2"/>
  <c r="B29793" i="2"/>
  <c r="B32284" i="2"/>
  <c r="B13056" i="2"/>
  <c r="B5277" i="2"/>
  <c r="B14848" i="2"/>
  <c r="B14684" i="2"/>
  <c r="B34676" i="2"/>
  <c r="B6317" i="2"/>
  <c r="B3842" i="2"/>
  <c r="B21863" i="2"/>
  <c r="B35868" i="2"/>
  <c r="B3597" i="2"/>
  <c r="B36189" i="2"/>
  <c r="B29445" i="2"/>
  <c r="B4205" i="2"/>
  <c r="B14873" i="2"/>
  <c r="B18128" i="2"/>
  <c r="B17187" i="2"/>
  <c r="B26615" i="2"/>
  <c r="B29800" i="2"/>
  <c r="B32467" i="2"/>
  <c r="B33037" i="2"/>
  <c r="B18222" i="2"/>
  <c r="B15897" i="2"/>
  <c r="B28116" i="2"/>
  <c r="B2161" i="2"/>
  <c r="B21611" i="2"/>
  <c r="B26100" i="2"/>
  <c r="B3532" i="2"/>
  <c r="B17173" i="2"/>
  <c r="B4806" i="2"/>
  <c r="B33790" i="2"/>
  <c r="B20094" i="2"/>
  <c r="B8876" i="2"/>
  <c r="B129" i="2"/>
  <c r="B31381" i="2"/>
  <c r="B19709" i="2"/>
  <c r="B27434" i="2"/>
  <c r="B14349" i="2"/>
  <c r="B29047" i="2"/>
  <c r="B3860" i="2"/>
  <c r="B4822" i="2"/>
  <c r="B7737" i="2"/>
  <c r="B14766" i="2"/>
  <c r="B1399" i="2"/>
  <c r="B36322" i="2"/>
  <c r="B28660" i="2"/>
  <c r="B13425" i="2"/>
  <c r="B35476" i="2"/>
  <c r="B31737" i="2"/>
  <c r="B32390" i="2"/>
  <c r="B34168" i="2"/>
  <c r="B13616" i="2"/>
  <c r="B11160" i="2"/>
  <c r="B35963" i="2"/>
  <c r="B856" i="2"/>
  <c r="B5764" i="2"/>
  <c r="B23864" i="2"/>
  <c r="B22649" i="2"/>
  <c r="B27958" i="2"/>
  <c r="B27876" i="2"/>
  <c r="B21280" i="2"/>
  <c r="B13319" i="2"/>
  <c r="B13092" i="2"/>
  <c r="B10770" i="2"/>
  <c r="B18292" i="2"/>
  <c r="B17349" i="2"/>
  <c r="B15017" i="2"/>
  <c r="B30993" i="2"/>
  <c r="B26652" i="2"/>
  <c r="B6138" i="2"/>
  <c r="B12699" i="2"/>
  <c r="B292" i="2"/>
  <c r="B23706" i="2"/>
  <c r="B6885" i="2"/>
  <c r="B1635" i="2"/>
  <c r="B31836" i="2"/>
  <c r="B28166" i="2"/>
  <c r="B34423" i="2"/>
  <c r="B23232" i="2"/>
  <c r="B22074" i="2"/>
  <c r="B24944" i="2"/>
  <c r="B29220" i="2"/>
  <c r="B2682" i="2"/>
  <c r="B35793" i="2"/>
  <c r="B1474" i="2"/>
  <c r="B31408" i="2"/>
  <c r="B26715" i="2"/>
  <c r="B16761" i="2"/>
  <c r="B5314" i="2"/>
  <c r="B11332" i="2"/>
  <c r="B23363" i="2"/>
  <c r="B14898" i="2"/>
  <c r="B1456" i="2"/>
  <c r="B23902" i="2"/>
  <c r="B12973" i="2"/>
  <c r="B502" i="2"/>
  <c r="B21962" i="2"/>
  <c r="B12949" i="2"/>
  <c r="B32433" i="2"/>
  <c r="B7121" i="2"/>
  <c r="B35196" i="2"/>
  <c r="B25535" i="2"/>
  <c r="B29426" i="2"/>
  <c r="B20923" i="2"/>
  <c r="B10601" i="2"/>
  <c r="B2761" i="2"/>
  <c r="B12423" i="2"/>
  <c r="B31429" i="2"/>
  <c r="B15070" i="2"/>
  <c r="B6908" i="2"/>
  <c r="B23231" i="2"/>
  <c r="B31264" i="2"/>
  <c r="B33456" i="2"/>
  <c r="B7542" i="2"/>
  <c r="B11554" i="2"/>
  <c r="B12225" i="2"/>
  <c r="B17792" i="2"/>
  <c r="B12790" i="2"/>
  <c r="B14607" i="2"/>
  <c r="B26522" i="2"/>
  <c r="B24065" i="2"/>
  <c r="B16688" i="2"/>
  <c r="B34154" i="2"/>
  <c r="B6363" i="2"/>
  <c r="B12950" i="2"/>
  <c r="B179" i="2"/>
  <c r="B9038" i="2"/>
  <c r="B34090" i="2"/>
  <c r="B35132" i="2"/>
  <c r="B27337" i="2"/>
  <c r="B27394" i="2"/>
  <c r="B11137" i="2"/>
  <c r="B31444" i="2"/>
  <c r="B9928" i="2"/>
  <c r="B2569" i="2"/>
  <c r="B23185" i="2"/>
  <c r="B30133" i="2"/>
  <c r="B28525" i="2"/>
  <c r="B4961" i="2"/>
  <c r="B5636" i="2"/>
  <c r="B4581" i="2"/>
  <c r="B12883" i="2"/>
  <c r="B36257" i="2"/>
  <c r="B29858" i="2"/>
  <c r="B23029" i="2"/>
  <c r="B20889" i="2"/>
  <c r="B19265" i="2"/>
  <c r="B30024" i="2"/>
  <c r="B17276" i="2"/>
  <c r="B31410" i="2"/>
  <c r="B20237" i="2"/>
  <c r="B34477" i="2"/>
  <c r="B6824" i="2"/>
  <c r="B1052" i="2"/>
  <c r="B19835" i="2"/>
  <c r="B16840" i="2"/>
  <c r="B7681" i="2"/>
  <c r="B13578" i="2"/>
  <c r="B33979" i="2"/>
  <c r="B30486" i="2"/>
  <c r="B26834" i="2"/>
  <c r="B26619" i="2"/>
  <c r="B28692" i="2"/>
  <c r="B4946" i="2"/>
  <c r="B33759" i="2"/>
  <c r="B29346" i="2"/>
  <c r="B9201" i="2"/>
  <c r="B23543" i="2"/>
  <c r="B31464" i="2"/>
  <c r="B8460" i="2"/>
  <c r="B26521" i="2"/>
  <c r="B32251" i="2"/>
  <c r="B30942" i="2"/>
  <c r="B20119" i="2"/>
  <c r="B13798" i="2"/>
  <c r="B25227" i="2"/>
  <c r="B16287" i="2"/>
  <c r="B19991" i="2"/>
  <c r="B18135" i="2"/>
  <c r="B23645" i="2"/>
  <c r="B4014" i="2"/>
  <c r="B29117" i="2"/>
  <c r="B7645" i="2"/>
  <c r="B13415" i="2"/>
  <c r="B2468" i="2"/>
  <c r="B26975" i="2"/>
  <c r="B33599" i="2"/>
  <c r="B6087" i="2"/>
  <c r="B8703" i="2"/>
  <c r="B21441" i="2"/>
  <c r="B29145" i="2"/>
  <c r="B31319" i="2"/>
  <c r="B33178" i="2"/>
  <c r="B30382" i="2"/>
  <c r="B16283" i="2"/>
  <c r="B4287" i="2"/>
  <c r="B22323" i="2"/>
  <c r="B35036" i="2"/>
  <c r="B8114" i="2"/>
  <c r="B3022" i="2"/>
  <c r="B7067" i="2"/>
  <c r="B16955" i="2"/>
  <c r="B18410" i="2"/>
  <c r="B31594" i="2"/>
  <c r="B19814" i="2"/>
  <c r="B6181" i="2"/>
  <c r="B25983" i="2"/>
  <c r="B9314" i="2"/>
  <c r="B12287" i="2"/>
  <c r="B24730" i="2"/>
  <c r="B11766" i="2"/>
  <c r="B20121" i="2"/>
  <c r="B21592" i="2"/>
  <c r="B13674" i="2"/>
  <c r="B18912" i="2"/>
  <c r="B24342" i="2"/>
  <c r="B32282" i="2"/>
  <c r="B2003" i="2"/>
  <c r="B24458" i="2"/>
  <c r="B28483" i="2"/>
  <c r="B32459" i="2"/>
  <c r="B22822" i="2"/>
  <c r="B3816" i="2"/>
  <c r="B27909" i="2"/>
  <c r="B4152" i="2"/>
  <c r="B18574" i="2"/>
  <c r="B20290" i="2"/>
  <c r="B15441" i="2"/>
  <c r="B15023" i="2"/>
  <c r="B1186" i="2"/>
  <c r="B17177" i="2"/>
  <c r="B24961" i="2"/>
  <c r="B25673" i="2"/>
  <c r="B24650" i="2"/>
  <c r="B30457" i="2"/>
  <c r="B6147" i="2"/>
  <c r="B27376" i="2"/>
  <c r="B7589" i="2"/>
  <c r="B15323" i="2"/>
  <c r="B23958" i="2"/>
  <c r="B19069" i="2"/>
  <c r="B26001" i="2"/>
  <c r="B34771" i="2"/>
  <c r="B27333" i="2"/>
  <c r="B21423" i="2"/>
  <c r="B7939" i="2"/>
  <c r="B16131" i="2"/>
  <c r="B14639" i="2"/>
  <c r="B17563" i="2"/>
  <c r="B29170" i="2"/>
  <c r="B13932" i="2"/>
  <c r="B13100" i="2"/>
  <c r="B3050" i="2"/>
  <c r="B14982" i="2"/>
  <c r="B6735" i="2"/>
  <c r="B34781" i="2"/>
  <c r="B10730" i="2"/>
  <c r="B2655" i="2"/>
  <c r="B32280" i="2"/>
  <c r="B29519" i="2"/>
  <c r="B13249" i="2"/>
  <c r="B16655" i="2"/>
  <c r="B23767" i="2"/>
  <c r="B11066" i="2"/>
  <c r="B8882" i="2"/>
  <c r="B381" i="2"/>
  <c r="B2490" i="2"/>
  <c r="B36100" i="2"/>
  <c r="B5729" i="2"/>
  <c r="B30645" i="2"/>
  <c r="B13849" i="2"/>
  <c r="B11065" i="2"/>
  <c r="B31304" i="2"/>
  <c r="B9224" i="2"/>
  <c r="B28598" i="2"/>
  <c r="B14488" i="2"/>
  <c r="B33047" i="2"/>
  <c r="B32820" i="2"/>
  <c r="B22100" i="2"/>
  <c r="B7383" i="2"/>
  <c r="B29349" i="2"/>
  <c r="B25147" i="2"/>
  <c r="B2737" i="2"/>
  <c r="B14281" i="2"/>
  <c r="B31048" i="2"/>
  <c r="B22265" i="2"/>
  <c r="B2087" i="2"/>
  <c r="B751" i="2"/>
  <c r="B3505" i="2"/>
  <c r="B29949" i="2"/>
  <c r="B27686" i="2"/>
  <c r="B504" i="2"/>
  <c r="B31842" i="2"/>
  <c r="B4012" i="2"/>
  <c r="B21830" i="2"/>
  <c r="B2238" i="2"/>
  <c r="B12114" i="2"/>
  <c r="B23043" i="2"/>
  <c r="B10567" i="2"/>
  <c r="B28475" i="2"/>
  <c r="B9256" i="2"/>
  <c r="B13549" i="2"/>
  <c r="B20796" i="2"/>
  <c r="B8110" i="2"/>
  <c r="B812" i="2"/>
  <c r="B35432" i="2"/>
  <c r="B1365" i="2"/>
  <c r="B3435" i="2"/>
  <c r="B14626" i="2"/>
  <c r="B31957" i="2"/>
  <c r="B34079" i="2"/>
  <c r="B35642" i="2"/>
  <c r="B32874" i="2"/>
  <c r="B43" i="2"/>
  <c r="B6097" i="2"/>
  <c r="B9545" i="2"/>
  <c r="B22945" i="2"/>
  <c r="B30310" i="2"/>
  <c r="B35396" i="2"/>
  <c r="B5290" i="2"/>
  <c r="B24735" i="2"/>
  <c r="B24766" i="2"/>
  <c r="B10310" i="2"/>
  <c r="B32337" i="2"/>
  <c r="B34991" i="2"/>
  <c r="B971" i="2"/>
  <c r="B21705" i="2"/>
  <c r="B511" i="2"/>
  <c r="B7534" i="2"/>
  <c r="B25178" i="2"/>
  <c r="B1043" i="2"/>
  <c r="B8985" i="2"/>
  <c r="B26761" i="2"/>
  <c r="B272" i="2"/>
  <c r="B26927" i="2"/>
  <c r="B15774" i="2"/>
  <c r="B22538" i="2"/>
  <c r="B17277" i="2"/>
  <c r="B18623" i="2"/>
  <c r="B32920" i="2"/>
  <c r="B3332" i="2"/>
  <c r="B1046" i="2"/>
  <c r="B15316" i="2"/>
  <c r="B19158" i="2"/>
  <c r="B29741" i="2"/>
  <c r="B24606" i="2"/>
  <c r="B25121" i="2"/>
  <c r="B28507" i="2"/>
  <c r="B27186" i="2"/>
  <c r="B18978" i="2"/>
  <c r="B21330" i="2"/>
  <c r="B10825" i="2"/>
  <c r="B17435" i="2"/>
  <c r="B32" i="2"/>
  <c r="B13954" i="2"/>
  <c r="B1021" i="2"/>
  <c r="B30811" i="2"/>
  <c r="B17777" i="2"/>
  <c r="B29172" i="2"/>
  <c r="B19946" i="2"/>
  <c r="B886" i="2"/>
  <c r="B8433" i="2"/>
  <c r="B14163" i="2"/>
  <c r="B5743" i="2"/>
  <c r="B12462" i="2"/>
  <c r="B21321" i="2"/>
  <c r="B12310" i="2"/>
  <c r="B28831" i="2"/>
  <c r="B15096" i="2"/>
  <c r="B29845" i="2"/>
  <c r="B3195" i="2"/>
  <c r="B31937" i="2"/>
  <c r="B12022" i="2"/>
  <c r="B27172" i="2"/>
  <c r="B28553" i="2"/>
  <c r="B10377" i="2"/>
  <c r="B16271" i="2"/>
  <c r="B18685" i="2"/>
  <c r="B30708" i="2"/>
  <c r="B34563" i="2"/>
  <c r="B28263" i="2"/>
  <c r="B14866" i="2"/>
  <c r="B25136" i="2"/>
  <c r="B22478" i="2"/>
  <c r="B18435" i="2"/>
  <c r="B27078" i="2"/>
  <c r="B8203" i="2"/>
  <c r="B28137" i="2"/>
  <c r="B11637" i="2"/>
  <c r="B4815" i="2"/>
  <c r="B34851" i="2"/>
  <c r="B30298" i="2"/>
  <c r="B35372" i="2"/>
  <c r="B34927" i="2"/>
  <c r="B12053" i="2"/>
  <c r="B26396" i="2"/>
  <c r="B34732" i="2"/>
  <c r="B17688" i="2"/>
  <c r="B1774" i="2"/>
  <c r="B12707" i="2"/>
  <c r="B21115" i="2"/>
  <c r="B257" i="2"/>
  <c r="B15543" i="2"/>
  <c r="B14783" i="2"/>
  <c r="B4006" i="2"/>
  <c r="B7647" i="2"/>
  <c r="B30136" i="2"/>
  <c r="B31616" i="2"/>
  <c r="B18988" i="2"/>
  <c r="B36358" i="2"/>
  <c r="B36116" i="2"/>
  <c r="B9874" i="2"/>
  <c r="B19404" i="2"/>
  <c r="B34187" i="2"/>
  <c r="B29428" i="2"/>
  <c r="B10998" i="2"/>
  <c r="B33787" i="2"/>
  <c r="B23022" i="2"/>
  <c r="B28977" i="2"/>
  <c r="B30193" i="2"/>
  <c r="B16060" i="2"/>
  <c r="B12912" i="2"/>
  <c r="B20002" i="2"/>
  <c r="B1593" i="2"/>
  <c r="B19292" i="2"/>
  <c r="B30394" i="2"/>
  <c r="B29151" i="2"/>
  <c r="B248" i="2"/>
  <c r="B33862" i="2"/>
  <c r="B5294" i="2"/>
  <c r="B2966" i="2"/>
  <c r="B12591" i="2"/>
  <c r="B3153" i="2"/>
  <c r="B9755" i="2"/>
  <c r="B26664" i="2"/>
  <c r="B3433" i="2"/>
  <c r="B30350" i="2"/>
  <c r="B18302" i="2"/>
  <c r="B18363" i="2"/>
  <c r="B2062" i="2"/>
  <c r="B18106" i="2"/>
  <c r="B17647" i="2"/>
  <c r="B14285" i="2"/>
  <c r="B28818" i="2"/>
  <c r="B36051" i="2"/>
  <c r="B35786" i="2"/>
  <c r="B10108" i="2"/>
  <c r="B4030" i="2"/>
  <c r="B6873" i="2"/>
  <c r="B29816" i="2"/>
  <c r="B3069" i="2"/>
  <c r="B22925" i="2"/>
  <c r="B9353" i="2"/>
  <c r="B1251" i="2"/>
  <c r="B30532" i="2"/>
  <c r="B34661" i="2"/>
  <c r="B24729" i="2"/>
  <c r="B8811" i="2"/>
  <c r="B15898" i="2"/>
  <c r="B589" i="2"/>
  <c r="B27905" i="2"/>
  <c r="B27469" i="2"/>
  <c r="B14029" i="2"/>
  <c r="B28605" i="2"/>
  <c r="B5355" i="2"/>
  <c r="B15923" i="2"/>
  <c r="B33264" i="2"/>
  <c r="B22947" i="2"/>
  <c r="B2862" i="2"/>
  <c r="B9905" i="2"/>
  <c r="B32547" i="2"/>
  <c r="B7219" i="2"/>
  <c r="B2969" i="2"/>
  <c r="B13402" i="2"/>
  <c r="B25719" i="2"/>
  <c r="B33595" i="2"/>
  <c r="B19932" i="2"/>
  <c r="B7362" i="2"/>
  <c r="B27479" i="2"/>
  <c r="B15965" i="2"/>
  <c r="B4771" i="2"/>
  <c r="B16577" i="2"/>
  <c r="B15981" i="2"/>
  <c r="B31337" i="2"/>
  <c r="B22362" i="2"/>
  <c r="B3651" i="2"/>
  <c r="B761" i="2"/>
  <c r="B7421" i="2"/>
  <c r="B24454" i="2"/>
  <c r="B16014" i="2"/>
  <c r="B28218" i="2"/>
  <c r="B6407" i="2"/>
  <c r="B20086" i="2"/>
  <c r="B2311" i="2"/>
  <c r="B9070" i="2"/>
  <c r="B10285" i="2"/>
  <c r="B22386" i="2"/>
  <c r="B35865" i="2"/>
  <c r="B24602" i="2"/>
  <c r="B7567" i="2"/>
  <c r="B27557" i="2"/>
  <c r="B14510" i="2"/>
  <c r="B29991" i="2"/>
  <c r="B21375" i="2"/>
  <c r="B34351" i="2"/>
  <c r="B28458" i="2"/>
  <c r="B14856" i="2"/>
  <c r="B4618" i="2"/>
  <c r="B27878" i="2"/>
  <c r="B20576" i="2"/>
  <c r="B11382" i="2"/>
  <c r="B4156" i="2"/>
  <c r="B24663" i="2"/>
  <c r="B12402" i="2"/>
  <c r="B13820" i="2"/>
  <c r="B2749" i="2"/>
  <c r="B33564" i="2"/>
  <c r="B13802" i="2"/>
  <c r="B4058" i="2"/>
  <c r="B2911" i="2"/>
  <c r="B18442" i="2"/>
  <c r="B6251" i="2"/>
  <c r="B12710" i="2"/>
  <c r="B20016" i="2"/>
  <c r="B29711" i="2"/>
  <c r="B20605" i="2"/>
  <c r="B1073" i="2"/>
  <c r="B14753" i="2"/>
  <c r="B15366" i="2"/>
  <c r="B1387" i="2"/>
  <c r="B10114" i="2"/>
  <c r="B25151" i="2"/>
  <c r="B27800" i="2"/>
  <c r="B9219" i="2"/>
  <c r="B5992" i="2"/>
  <c r="B33835" i="2"/>
  <c r="B15921" i="2"/>
  <c r="B34784" i="2"/>
  <c r="B8941" i="2"/>
  <c r="B34794" i="2"/>
  <c r="B469" i="2"/>
  <c r="B15372" i="2"/>
  <c r="B17164" i="2"/>
  <c r="B14497" i="2"/>
  <c r="B6606" i="2"/>
  <c r="B30946" i="2"/>
  <c r="B25803" i="2"/>
  <c r="B15660" i="2"/>
  <c r="B6971" i="2"/>
  <c r="B3742" i="2"/>
  <c r="B17189" i="2"/>
  <c r="B8987" i="2"/>
  <c r="B20136" i="2"/>
  <c r="B7899" i="2"/>
  <c r="B1834" i="2"/>
  <c r="B30938" i="2"/>
  <c r="B30579" i="2"/>
  <c r="B14201" i="2"/>
  <c r="B4042" i="2"/>
  <c r="B28257" i="2"/>
  <c r="B34352" i="2"/>
  <c r="B26547" i="2"/>
  <c r="B13900" i="2"/>
  <c r="B798" i="2"/>
  <c r="B22659" i="2"/>
  <c r="B17202" i="2"/>
  <c r="B20127" i="2"/>
  <c r="B30392" i="2"/>
  <c r="B33177" i="2"/>
  <c r="B3633" i="2"/>
  <c r="B19465" i="2"/>
  <c r="B13936" i="2"/>
  <c r="B6669" i="2"/>
  <c r="B32590" i="2"/>
  <c r="B27985" i="2"/>
  <c r="B16191" i="2"/>
  <c r="B31749" i="2"/>
  <c r="B32460" i="2"/>
  <c r="B35170" i="2"/>
  <c r="B18847" i="2"/>
  <c r="B20308" i="2"/>
  <c r="B34139" i="2"/>
  <c r="B8202" i="2"/>
  <c r="B18079" i="2"/>
  <c r="B19294" i="2"/>
  <c r="B21982" i="2"/>
  <c r="B16132" i="2"/>
  <c r="B10775" i="2"/>
  <c r="B16932" i="2"/>
  <c r="B17934" i="2"/>
  <c r="B1287" i="2"/>
  <c r="B23388" i="2"/>
  <c r="B1913" i="2"/>
  <c r="B12032" i="2"/>
  <c r="B11406" i="2"/>
  <c r="B23720" i="2"/>
  <c r="B19653" i="2"/>
  <c r="B29383" i="2"/>
  <c r="B9302" i="2"/>
  <c r="B3584" i="2"/>
  <c r="B725" i="2"/>
  <c r="B22891" i="2"/>
  <c r="B5530" i="2"/>
  <c r="B29464" i="2"/>
  <c r="B29537" i="2"/>
  <c r="B20606" i="2"/>
  <c r="B20260" i="2"/>
  <c r="B11178" i="2"/>
  <c r="B26427" i="2"/>
  <c r="B25461" i="2"/>
  <c r="B28425" i="2"/>
  <c r="B36368" i="2"/>
  <c r="B9250" i="2"/>
  <c r="B32579" i="2"/>
  <c r="B34413" i="2"/>
  <c r="B22865" i="2"/>
  <c r="B32079" i="2"/>
  <c r="B655" i="2"/>
  <c r="B25623" i="2"/>
  <c r="B14347" i="2"/>
  <c r="B31958" i="2"/>
  <c r="B17025" i="2"/>
  <c r="B21504" i="2"/>
  <c r="B22361" i="2"/>
  <c r="B28821" i="2"/>
  <c r="B5998" i="2"/>
  <c r="B7901" i="2"/>
  <c r="B33341" i="2"/>
  <c r="B28084" i="2"/>
  <c r="B8140" i="2"/>
  <c r="B5692" i="2"/>
  <c r="B32360" i="2"/>
  <c r="B11316" i="2"/>
  <c r="B27865" i="2"/>
  <c r="B21844" i="2"/>
  <c r="B24391" i="2"/>
  <c r="B31412" i="2"/>
  <c r="B34537" i="2"/>
  <c r="B15984" i="2"/>
  <c r="B12189" i="2"/>
  <c r="B31613" i="2"/>
  <c r="B4061" i="2"/>
  <c r="B18794" i="2"/>
  <c r="B18816" i="2"/>
  <c r="B15475" i="2"/>
  <c r="B1633" i="2"/>
  <c r="B22051" i="2"/>
  <c r="B13379" i="2"/>
  <c r="B3688" i="2"/>
  <c r="B11723" i="2"/>
  <c r="B6201" i="2"/>
  <c r="B21473" i="2"/>
  <c r="B6397" i="2"/>
  <c r="B20215" i="2"/>
  <c r="B6258" i="2"/>
  <c r="B17630" i="2"/>
  <c r="B11895" i="2"/>
  <c r="B15728" i="2"/>
  <c r="B33472" i="2"/>
  <c r="B4785" i="2"/>
  <c r="B26072" i="2"/>
  <c r="B27133" i="2"/>
  <c r="B7427" i="2"/>
  <c r="B22182" i="2"/>
  <c r="B6222" i="2"/>
  <c r="B14513" i="2"/>
  <c r="B23962" i="2"/>
  <c r="B23243" i="2"/>
  <c r="B16724" i="2"/>
  <c r="B14549" i="2"/>
  <c r="B14824" i="2"/>
  <c r="B4848" i="2"/>
  <c r="B17851" i="2"/>
  <c r="B21850" i="2"/>
  <c r="B19337" i="2"/>
  <c r="B24552" i="2"/>
  <c r="B26872" i="2"/>
  <c r="B18999" i="2"/>
  <c r="B3135" i="2"/>
  <c r="B28402" i="2"/>
  <c r="B4066" i="2"/>
  <c r="B415" i="2"/>
  <c r="B17298" i="2"/>
  <c r="B517" i="2"/>
  <c r="B854" i="2"/>
  <c r="B13206" i="2"/>
  <c r="B29036" i="2"/>
  <c r="B26296" i="2"/>
  <c r="B15433" i="2"/>
  <c r="B992" i="2"/>
  <c r="B5368" i="2"/>
  <c r="B35667" i="2"/>
  <c r="B3303" i="2"/>
  <c r="B34319" i="2"/>
  <c r="B28455" i="2"/>
  <c r="B3764" i="2"/>
  <c r="B25248" i="2"/>
  <c r="B23256" i="2"/>
  <c r="B24904" i="2"/>
  <c r="B12514" i="2"/>
  <c r="B31568" i="2"/>
  <c r="B19531" i="2"/>
  <c r="B31597" i="2"/>
  <c r="B20184" i="2"/>
  <c r="B23577" i="2"/>
  <c r="B35900" i="2"/>
  <c r="B35264" i="2"/>
  <c r="B36003" i="2"/>
  <c r="B25816" i="2"/>
  <c r="B22260" i="2"/>
  <c r="B26373" i="2"/>
  <c r="B5557" i="2"/>
  <c r="B29166" i="2"/>
  <c r="B779" i="2"/>
  <c r="B4416" i="2"/>
  <c r="B30288" i="2"/>
  <c r="B13963" i="2"/>
  <c r="B24469" i="2"/>
  <c r="B200" i="2"/>
  <c r="B33544" i="2"/>
  <c r="B5457" i="2"/>
  <c r="B35530" i="2"/>
  <c r="B7605" i="2"/>
  <c r="B29261" i="2"/>
  <c r="B171" i="2"/>
  <c r="B8435" i="2"/>
  <c r="B19856" i="2"/>
  <c r="B13731" i="2"/>
  <c r="B10385" i="2"/>
  <c r="B9902" i="2"/>
  <c r="B14440" i="2"/>
  <c r="B1324" i="2"/>
  <c r="B14104" i="2"/>
  <c r="B7769" i="2"/>
  <c r="B29904" i="2"/>
  <c r="B30841" i="2"/>
  <c r="B7135" i="2"/>
  <c r="B29966" i="2"/>
  <c r="B2049" i="2"/>
  <c r="B12399" i="2"/>
  <c r="B13761" i="2"/>
  <c r="B32197" i="2"/>
  <c r="B24085" i="2"/>
  <c r="B19552" i="2"/>
  <c r="B17922" i="2"/>
  <c r="B3325" i="2"/>
  <c r="B17716" i="2"/>
  <c r="B31107" i="2"/>
  <c r="B1105" i="2"/>
  <c r="B31409" i="2"/>
  <c r="B21598" i="2"/>
  <c r="B2895" i="2"/>
  <c r="B34301" i="2"/>
  <c r="B30781" i="2"/>
  <c r="B32132" i="2"/>
  <c r="B25988" i="2"/>
  <c r="B23898" i="2"/>
  <c r="B26155" i="2"/>
  <c r="B28986" i="2"/>
  <c r="B25246" i="2"/>
  <c r="B35349" i="2"/>
  <c r="B3818" i="2"/>
  <c r="B22804" i="2"/>
  <c r="B4910" i="2"/>
  <c r="B35160" i="2"/>
  <c r="B26041" i="2"/>
  <c r="B35287" i="2"/>
  <c r="B66" i="2"/>
  <c r="B22561" i="2"/>
  <c r="B14259" i="2"/>
  <c r="B5491" i="2"/>
  <c r="B10790" i="2"/>
  <c r="B23038" i="2"/>
  <c r="B32832" i="2"/>
  <c r="B9277" i="2"/>
  <c r="B6889" i="2"/>
  <c r="B28260" i="2"/>
  <c r="B25655" i="2"/>
  <c r="B18156" i="2"/>
  <c r="B29710" i="2"/>
  <c r="B20859" i="2"/>
  <c r="B2930" i="2"/>
  <c r="B18834" i="2"/>
  <c r="B8944" i="2"/>
  <c r="B20507" i="2"/>
  <c r="B5994" i="2"/>
  <c r="B20856" i="2"/>
  <c r="B13765" i="2"/>
  <c r="B11466" i="2"/>
  <c r="B24768" i="2"/>
  <c r="B7208" i="2"/>
  <c r="B16756" i="2"/>
  <c r="B18657" i="2"/>
  <c r="B34108" i="2"/>
  <c r="B21072" i="2"/>
  <c r="B15322" i="2"/>
  <c r="B22515" i="2"/>
  <c r="B36230" i="2"/>
  <c r="B20980" i="2"/>
  <c r="B31873" i="2"/>
  <c r="B27179" i="2"/>
  <c r="B26822" i="2"/>
  <c r="B27577" i="2"/>
  <c r="B2639" i="2"/>
  <c r="B33180" i="2"/>
  <c r="B35272" i="2"/>
  <c r="B18238" i="2"/>
  <c r="B15128" i="2"/>
  <c r="B11989" i="2"/>
  <c r="B22460" i="2"/>
  <c r="B17334" i="2"/>
  <c r="B25421" i="2"/>
  <c r="B14193" i="2"/>
  <c r="B26360" i="2"/>
  <c r="B1264" i="2"/>
  <c r="B27328" i="2"/>
  <c r="B12044" i="2"/>
  <c r="B1328" i="2"/>
  <c r="B2831" i="2"/>
  <c r="B8791" i="2"/>
  <c r="B10541" i="2"/>
  <c r="B8035" i="2"/>
  <c r="B32175" i="2"/>
  <c r="B32550" i="2"/>
  <c r="B409" i="2"/>
  <c r="B4172" i="2"/>
  <c r="B26006" i="2"/>
  <c r="B18103" i="2"/>
  <c r="B33172" i="2"/>
  <c r="B3060" i="2"/>
  <c r="B6171" i="2"/>
  <c r="B3055" i="2"/>
  <c r="B12017" i="2"/>
  <c r="B8266" i="2"/>
  <c r="B4036" i="2"/>
  <c r="B21811" i="2"/>
  <c r="B25531" i="2"/>
  <c r="B27379" i="2"/>
  <c r="B31395" i="2"/>
  <c r="B632" i="2"/>
  <c r="B24222" i="2"/>
  <c r="B29607" i="2"/>
  <c r="B21302" i="2"/>
  <c r="B5168" i="2"/>
  <c r="B34643" i="2"/>
  <c r="B30634" i="2"/>
  <c r="B12921" i="2"/>
  <c r="B12162" i="2"/>
  <c r="B4069" i="2"/>
  <c r="B13388" i="2"/>
  <c r="B14749" i="2"/>
  <c r="B15415" i="2"/>
  <c r="B21354" i="2"/>
  <c r="B21051" i="2"/>
  <c r="B27162" i="2"/>
  <c r="B20214" i="2"/>
  <c r="B26486" i="2"/>
  <c r="B23631" i="2"/>
  <c r="B4682" i="2"/>
  <c r="B19690" i="2"/>
  <c r="B29147" i="2"/>
  <c r="B35454" i="2"/>
  <c r="B36245" i="2"/>
  <c r="B14113" i="2"/>
  <c r="B1647" i="2"/>
  <c r="B25853" i="2"/>
  <c r="B4864" i="2"/>
  <c r="B34798" i="2"/>
  <c r="B33010" i="2"/>
  <c r="B6852" i="2"/>
  <c r="B946" i="2"/>
  <c r="B14842" i="2"/>
  <c r="B31633" i="2"/>
  <c r="B20538" i="2"/>
  <c r="B3068" i="2"/>
  <c r="B7722" i="2"/>
  <c r="B35158" i="2"/>
  <c r="B21594" i="2"/>
  <c r="B2838" i="2"/>
  <c r="B4698" i="2"/>
  <c r="B12208" i="2"/>
  <c r="B140" i="2"/>
  <c r="B29914" i="2"/>
  <c r="B19971" i="2"/>
  <c r="B33056" i="2"/>
  <c r="B19179" i="2"/>
  <c r="B3911" i="2"/>
  <c r="B29786" i="2"/>
  <c r="B23210" i="2"/>
  <c r="B547" i="2"/>
  <c r="B10024" i="2"/>
  <c r="B7593" i="2"/>
  <c r="B28210" i="2"/>
  <c r="B25639" i="2"/>
  <c r="B21381" i="2"/>
  <c r="B21155" i="2"/>
  <c r="B6831" i="2"/>
  <c r="B8042" i="2"/>
  <c r="B8319" i="2"/>
  <c r="B10280" i="2"/>
  <c r="B15060" i="2"/>
  <c r="B34394" i="2"/>
  <c r="B30968" i="2"/>
  <c r="B4630" i="2"/>
  <c r="B13605" i="2"/>
  <c r="B30724" i="2"/>
  <c r="B2018" i="2"/>
  <c r="B10406" i="2"/>
  <c r="B30859" i="2"/>
  <c r="B9628" i="2"/>
  <c r="B24246" i="2"/>
  <c r="B21875" i="2"/>
  <c r="B16375" i="2"/>
  <c r="B4096" i="2"/>
  <c r="B26593" i="2"/>
  <c r="B12284" i="2"/>
  <c r="B13216" i="2"/>
  <c r="B27039" i="2"/>
  <c r="B15935" i="2"/>
  <c r="B27042" i="2"/>
  <c r="B10779" i="2"/>
  <c r="B27789" i="2"/>
  <c r="B32352" i="2"/>
  <c r="B31355" i="2"/>
  <c r="B297" i="2"/>
  <c r="B25523" i="2"/>
  <c r="B14674" i="2"/>
  <c r="B28643" i="2"/>
  <c r="B34380" i="2"/>
  <c r="B8355" i="2"/>
  <c r="B22869" i="2"/>
  <c r="B18475" i="2"/>
  <c r="B5632" i="2"/>
  <c r="B31213" i="2"/>
  <c r="B8531" i="2"/>
  <c r="B12519" i="2"/>
  <c r="B21742" i="2"/>
  <c r="B13368" i="2"/>
  <c r="B26281" i="2"/>
  <c r="B24284" i="2"/>
  <c r="B33082" i="2"/>
  <c r="B1293" i="2"/>
  <c r="B29985" i="2"/>
  <c r="B9493" i="2"/>
  <c r="B30445" i="2"/>
  <c r="B2722" i="2"/>
  <c r="B24472" i="2"/>
  <c r="B399" i="2"/>
  <c r="B21000" i="2"/>
  <c r="B25722" i="2"/>
  <c r="B35201" i="2"/>
  <c r="B19909" i="2"/>
  <c r="B383" i="2"/>
  <c r="B2751" i="2"/>
  <c r="B5577" i="2"/>
  <c r="B10768" i="2"/>
  <c r="B2269" i="2"/>
  <c r="B1151" i="2"/>
  <c r="B5925" i="2"/>
  <c r="B25580" i="2"/>
  <c r="B21419" i="2"/>
  <c r="B11759" i="2"/>
  <c r="B28911" i="2"/>
  <c r="B36107" i="2"/>
  <c r="B2526" i="2"/>
  <c r="B19057" i="2"/>
  <c r="B16618" i="2"/>
  <c r="B32343" i="2"/>
  <c r="B10203" i="2"/>
  <c r="B9436" i="2"/>
  <c r="B36190" i="2"/>
  <c r="B12788" i="2"/>
  <c r="B4346" i="2"/>
  <c r="B2126" i="2"/>
  <c r="B23374" i="2"/>
  <c r="B34391" i="2"/>
  <c r="B7271" i="2"/>
  <c r="B23236" i="2"/>
  <c r="B18480" i="2"/>
  <c r="B24702" i="2"/>
  <c r="B19475" i="2"/>
  <c r="B28612" i="2"/>
  <c r="B32933" i="2"/>
  <c r="B17288" i="2"/>
  <c r="B5539" i="2"/>
  <c r="B7388" i="2"/>
  <c r="B26721" i="2"/>
  <c r="B12404" i="2"/>
  <c r="B33766" i="2"/>
  <c r="B22351" i="2"/>
  <c r="B540" i="2"/>
  <c r="B17834" i="2"/>
  <c r="B20490" i="2"/>
  <c r="B6944" i="2"/>
  <c r="B4854" i="2"/>
  <c r="B26275" i="2"/>
  <c r="B11308" i="2"/>
  <c r="B803" i="2"/>
  <c r="B2194" i="2"/>
  <c r="B3041" i="2"/>
  <c r="B3634" i="2"/>
  <c r="B26645" i="2"/>
  <c r="B12336" i="2"/>
  <c r="B1083" i="2"/>
  <c r="B27369" i="2"/>
  <c r="B16018" i="2"/>
  <c r="B29860" i="2"/>
  <c r="B12928" i="2"/>
  <c r="B18399" i="2"/>
  <c r="B21950" i="2"/>
  <c r="B6523" i="2"/>
  <c r="B27790" i="2"/>
  <c r="B3578" i="2"/>
  <c r="B7096" i="2"/>
  <c r="B24540" i="2"/>
  <c r="B4902" i="2"/>
  <c r="B3953" i="2"/>
  <c r="B17240" i="2"/>
  <c r="B35003" i="2"/>
  <c r="B3864" i="2"/>
  <c r="B35098" i="2"/>
  <c r="B7356" i="2"/>
  <c r="B20718" i="2"/>
  <c r="B20992" i="2"/>
  <c r="B30716" i="2"/>
  <c r="B11936" i="2"/>
  <c r="B23439" i="2"/>
  <c r="B29224" i="2"/>
  <c r="B32221" i="2"/>
  <c r="B28675" i="2"/>
  <c r="B32624" i="2"/>
  <c r="B8921" i="2"/>
  <c r="B1361" i="2"/>
  <c r="B31415" i="2"/>
  <c r="B17772" i="2"/>
  <c r="B10689" i="2"/>
  <c r="B860" i="2"/>
  <c r="B19635" i="2"/>
  <c r="B29826" i="2"/>
  <c r="B3569" i="2"/>
  <c r="B8135" i="2"/>
  <c r="B31961" i="2"/>
  <c r="B26185" i="2"/>
  <c r="B1422" i="2"/>
  <c r="B10392" i="2"/>
  <c r="B5167" i="2"/>
  <c r="B10376" i="2"/>
  <c r="B3912" i="2"/>
  <c r="B2007" i="2"/>
  <c r="B32838" i="2"/>
  <c r="B31629" i="2"/>
  <c r="B4990" i="2"/>
  <c r="B8156" i="2"/>
  <c r="B21550" i="2"/>
  <c r="B23238" i="2"/>
  <c r="B23596" i="2"/>
  <c r="B2530" i="2"/>
  <c r="B10823" i="2"/>
  <c r="B8508" i="2"/>
  <c r="B33211" i="2"/>
  <c r="B16734" i="2"/>
  <c r="B27170" i="2"/>
  <c r="B4447" i="2"/>
  <c r="B14705" i="2"/>
  <c r="B22085" i="2"/>
  <c r="B21282" i="2"/>
  <c r="B22921" i="2"/>
  <c r="B23251" i="2"/>
  <c r="B35218" i="2"/>
  <c r="B5410" i="2"/>
  <c r="B24151" i="2"/>
  <c r="B36249" i="2"/>
  <c r="B5038" i="2"/>
  <c r="B1145" i="2"/>
  <c r="B18239" i="2"/>
  <c r="B36108" i="2"/>
  <c r="B21617" i="2"/>
  <c r="B17776" i="2"/>
  <c r="B13517" i="2"/>
  <c r="B10829" i="2"/>
  <c r="B25711" i="2"/>
  <c r="B28288" i="2"/>
  <c r="B33448" i="2"/>
  <c r="B30362" i="2"/>
  <c r="B8984" i="2"/>
  <c r="B35882" i="2"/>
  <c r="B10609" i="2"/>
  <c r="B13188" i="2"/>
  <c r="B25984" i="2"/>
  <c r="B15555" i="2"/>
  <c r="B982" i="2"/>
  <c r="B20957" i="2"/>
  <c r="B12038" i="2"/>
  <c r="B10997" i="2"/>
  <c r="B6287" i="2"/>
  <c r="B15899" i="2"/>
  <c r="B19183" i="2"/>
  <c r="B18448" i="2"/>
  <c r="B11524" i="2"/>
  <c r="B20577" i="2"/>
  <c r="B3991" i="2"/>
  <c r="B29044" i="2"/>
  <c r="B4016" i="2"/>
  <c r="B13875" i="2"/>
  <c r="B11879" i="2"/>
  <c r="B27490" i="2"/>
  <c r="B26890" i="2"/>
  <c r="B26859" i="2"/>
  <c r="B19618" i="2"/>
  <c r="B13739" i="2"/>
  <c r="B11546" i="2"/>
  <c r="B18494" i="2"/>
  <c r="B9270" i="2"/>
  <c r="B9648" i="2"/>
  <c r="B20036" i="2"/>
  <c r="B33737" i="2"/>
  <c r="B4025" i="2"/>
  <c r="B11041" i="2"/>
  <c r="B8006" i="2"/>
  <c r="B13025" i="2"/>
  <c r="B13726" i="2"/>
  <c r="B13969" i="2"/>
  <c r="B28756" i="2"/>
  <c r="B34911" i="2"/>
  <c r="B10311" i="2"/>
  <c r="B16156" i="2"/>
  <c r="B11700" i="2"/>
  <c r="B6106" i="2"/>
  <c r="B35427" i="2"/>
  <c r="B33677" i="2"/>
  <c r="B10187" i="2"/>
  <c r="B29595" i="2"/>
  <c r="B27237" i="2"/>
  <c r="B28123" i="2"/>
  <c r="B7082" i="2"/>
  <c r="B92" i="2"/>
  <c r="B12827" i="2"/>
  <c r="B8862" i="2"/>
  <c r="B12581" i="2"/>
  <c r="B11397" i="2"/>
  <c r="B4471" i="2"/>
  <c r="B5518" i="2"/>
  <c r="B6758" i="2"/>
  <c r="B13093" i="2"/>
  <c r="B16472" i="2"/>
  <c r="B21449" i="2"/>
  <c r="B7371" i="2"/>
  <c r="B3233" i="2"/>
  <c r="B24910" i="2"/>
  <c r="B33335" i="2"/>
  <c r="B24608" i="2"/>
  <c r="B33731" i="2"/>
  <c r="B31317" i="2"/>
  <c r="B12876" i="2"/>
  <c r="B34250" i="2"/>
  <c r="B14020" i="2"/>
  <c r="B6737" i="2"/>
  <c r="B9460" i="2"/>
  <c r="B13787" i="2"/>
  <c r="B21382" i="2"/>
  <c r="B32943" i="2"/>
  <c r="B24919" i="2"/>
  <c r="B5492" i="2"/>
  <c r="B15164" i="2"/>
  <c r="B24312" i="2"/>
  <c r="B3689" i="2"/>
  <c r="B24756" i="2"/>
  <c r="B10214" i="2"/>
  <c r="B26944" i="2"/>
  <c r="B3698" i="2"/>
  <c r="B15299" i="2"/>
  <c r="B8145" i="2"/>
  <c r="B26380" i="2"/>
  <c r="B21103" i="2"/>
  <c r="B30446" i="2"/>
  <c r="B35776" i="2"/>
  <c r="B452" i="2"/>
  <c r="B4171" i="2"/>
  <c r="B10061" i="2"/>
  <c r="B2657" i="2"/>
  <c r="B7511" i="2"/>
  <c r="B30409" i="2"/>
  <c r="B27192" i="2"/>
  <c r="B19770" i="2"/>
  <c r="B11480" i="2"/>
  <c r="B4603" i="2"/>
  <c r="B18826" i="2"/>
  <c r="B26149" i="2"/>
  <c r="B25688" i="2"/>
  <c r="B10052" i="2"/>
  <c r="B13028" i="2"/>
  <c r="B768" i="2"/>
  <c r="B27344" i="2"/>
  <c r="B31960" i="2"/>
  <c r="B29288" i="2"/>
  <c r="B30676" i="2"/>
  <c r="B17094" i="2"/>
  <c r="B10972" i="2"/>
  <c r="B34929" i="2"/>
  <c r="B17658" i="2"/>
  <c r="B2272" i="2"/>
  <c r="B5116" i="2"/>
  <c r="B9877" i="2"/>
  <c r="B18203" i="2"/>
  <c r="B17823" i="2"/>
  <c r="B14505" i="2"/>
  <c r="B8733" i="2"/>
  <c r="B24192" i="2"/>
  <c r="B4940" i="2"/>
  <c r="B21442" i="2"/>
  <c r="B22500" i="2"/>
  <c r="B8453" i="2"/>
  <c r="B20537" i="2"/>
  <c r="B6446" i="2"/>
  <c r="B21636" i="2"/>
  <c r="B6299" i="2"/>
  <c r="B2310" i="2"/>
  <c r="B21263" i="2"/>
  <c r="B29720" i="2"/>
  <c r="B12803" i="2"/>
  <c r="B24201" i="2"/>
  <c r="B23365" i="2"/>
  <c r="B30084" i="2"/>
  <c r="B10109" i="2"/>
  <c r="B20782" i="2"/>
  <c r="B1942" i="2"/>
  <c r="B6202" i="2"/>
  <c r="B10844" i="2"/>
  <c r="B25936" i="2"/>
  <c r="B35423" i="2"/>
  <c r="B31563" i="2"/>
  <c r="B12467" i="2"/>
  <c r="B32898" i="2"/>
  <c r="B13240" i="2"/>
  <c r="B10704" i="2"/>
  <c r="B26667" i="2"/>
  <c r="B24125" i="2"/>
  <c r="B30702" i="2"/>
  <c r="B34149" i="2"/>
  <c r="B9395" i="2"/>
  <c r="B4796" i="2"/>
  <c r="B25438" i="2"/>
  <c r="B9374" i="2"/>
  <c r="B7661" i="2"/>
  <c r="B17096" i="2"/>
  <c r="B19048" i="2"/>
  <c r="B28017" i="2"/>
  <c r="B35751" i="2"/>
  <c r="B12889" i="2"/>
  <c r="B7230" i="2"/>
  <c r="B14164" i="2"/>
  <c r="B36294" i="2"/>
  <c r="B30291" i="2"/>
  <c r="B28662" i="2"/>
  <c r="B29149" i="2"/>
  <c r="B28128" i="2"/>
  <c r="B18679" i="2"/>
  <c r="B10866" i="2"/>
  <c r="B16149" i="2"/>
  <c r="B27403" i="2"/>
  <c r="B23943" i="2"/>
  <c r="B33025" i="2"/>
  <c r="B32629" i="2"/>
  <c r="B11153" i="2"/>
  <c r="B36307" i="2"/>
  <c r="B33174" i="2"/>
  <c r="B9489" i="2"/>
  <c r="B2501" i="2"/>
  <c r="B21794" i="2"/>
  <c r="B16468" i="2"/>
  <c r="B31064" i="2"/>
  <c r="B27339" i="2"/>
  <c r="B21581" i="2"/>
  <c r="B16929" i="2"/>
  <c r="B29384" i="2"/>
  <c r="B33542" i="2"/>
  <c r="B32219" i="2"/>
  <c r="B35214" i="2"/>
  <c r="B21788" i="2"/>
  <c r="B29628" i="2"/>
  <c r="B9558" i="2"/>
  <c r="B474" i="2"/>
  <c r="B31620" i="2"/>
  <c r="B33501" i="2"/>
  <c r="B3940" i="2"/>
  <c r="B6261" i="2"/>
  <c r="B10764" i="2"/>
  <c r="B28381" i="2"/>
  <c r="B25839" i="2"/>
  <c r="B8036" i="2"/>
  <c r="B5823" i="2"/>
  <c r="B35845" i="2"/>
  <c r="B11317" i="2"/>
  <c r="B12556" i="2"/>
  <c r="B14588" i="2"/>
  <c r="B26990" i="2"/>
  <c r="B31498" i="2"/>
  <c r="B23082" i="2"/>
  <c r="B6010" i="2"/>
  <c r="B8940" i="2"/>
  <c r="B5568" i="2"/>
  <c r="B29473" i="2"/>
  <c r="B17690" i="2"/>
  <c r="B32557" i="2"/>
  <c r="B17120" i="2"/>
  <c r="B27492" i="2"/>
  <c r="B3728" i="2"/>
  <c r="B5175" i="2"/>
  <c r="B15752" i="2"/>
  <c r="B253" i="2"/>
  <c r="B26974" i="2"/>
  <c r="B4436" i="2"/>
  <c r="B5043" i="2"/>
  <c r="B13341" i="2"/>
  <c r="B27996" i="2"/>
  <c r="B16396" i="2"/>
  <c r="B3302" i="2"/>
  <c r="B22039" i="2"/>
  <c r="B15558" i="2"/>
  <c r="B35011" i="2"/>
  <c r="B13949" i="2"/>
  <c r="B22525" i="2"/>
  <c r="B32417" i="2"/>
  <c r="B8991" i="2"/>
  <c r="B9838" i="2"/>
  <c r="B11921" i="2"/>
  <c r="B12832" i="2"/>
  <c r="B36319" i="2"/>
  <c r="B19996" i="2"/>
  <c r="B10241" i="2"/>
  <c r="B19167" i="2"/>
  <c r="B30338" i="2"/>
  <c r="B20764" i="2"/>
  <c r="B25735" i="2"/>
  <c r="B3743" i="2"/>
  <c r="B10142" i="2"/>
  <c r="B14280" i="2"/>
  <c r="B8154" i="2"/>
  <c r="B35540" i="2"/>
  <c r="B24117" i="2"/>
  <c r="B5389" i="2"/>
  <c r="B31231" i="2"/>
  <c r="B23906" i="2"/>
  <c r="B1030" i="2"/>
  <c r="B1752" i="2"/>
  <c r="B17689" i="2"/>
  <c r="B29778" i="2"/>
  <c r="B6969" i="2"/>
  <c r="B19677" i="2"/>
  <c r="B31389" i="2"/>
  <c r="B6072" i="2"/>
  <c r="B27329" i="2"/>
  <c r="B20569" i="2"/>
  <c r="B15048" i="2"/>
  <c r="B27761" i="2"/>
  <c r="B35096" i="2"/>
  <c r="B22634" i="2"/>
  <c r="B32885" i="2"/>
  <c r="B36150" i="2"/>
  <c r="B14740" i="2"/>
  <c r="B18195" i="2"/>
  <c r="B27731" i="2"/>
  <c r="B11932" i="2"/>
  <c r="B7626" i="2"/>
  <c r="B24896" i="2"/>
  <c r="B12805" i="2"/>
  <c r="B10211" i="2"/>
  <c r="B35480" i="2"/>
  <c r="B6870" i="2"/>
  <c r="B24587" i="2"/>
  <c r="B4896" i="2"/>
  <c r="B3273" i="2"/>
  <c r="B18930" i="2"/>
  <c r="B26854" i="2"/>
  <c r="B23723" i="2"/>
  <c r="B27994" i="2"/>
  <c r="B11176" i="2"/>
  <c r="B18519" i="2"/>
  <c r="B18997" i="2"/>
  <c r="B4789" i="2"/>
  <c r="B6995" i="2"/>
  <c r="B26734" i="2"/>
  <c r="B27582" i="2"/>
  <c r="B388" i="2"/>
  <c r="B4311" i="2"/>
  <c r="B17573" i="2"/>
  <c r="B10007" i="2"/>
  <c r="B14850" i="2"/>
  <c r="B15319" i="2"/>
  <c r="B31232" i="2"/>
  <c r="B21001" i="2"/>
  <c r="B25935" i="2"/>
  <c r="B8362" i="2"/>
  <c r="B33748" i="2"/>
  <c r="B24966" i="2"/>
  <c r="B5681" i="2"/>
  <c r="B10303" i="2"/>
  <c r="B26096" i="2"/>
  <c r="B27913" i="2"/>
  <c r="B26772" i="2"/>
  <c r="B8710" i="2"/>
  <c r="B10816" i="2"/>
  <c r="B33154" i="2"/>
  <c r="B13255" i="2"/>
  <c r="B32195" i="2"/>
  <c r="B17117" i="2"/>
  <c r="B8103" i="2"/>
  <c r="B36195" i="2"/>
  <c r="B4644" i="2"/>
  <c r="B17629" i="2"/>
  <c r="B35613" i="2"/>
  <c r="B9483" i="2"/>
  <c r="B5881" i="2"/>
  <c r="B12221" i="2"/>
  <c r="B26021" i="2"/>
  <c r="B31572" i="2"/>
  <c r="B30566" i="2"/>
  <c r="B20198" i="2"/>
  <c r="B7580" i="2"/>
  <c r="B11830" i="2"/>
  <c r="B10239" i="2"/>
  <c r="B13776" i="2"/>
  <c r="B6645" i="2"/>
  <c r="B32436" i="2"/>
  <c r="B15564" i="2"/>
  <c r="B35210" i="2"/>
  <c r="B7368" i="2"/>
  <c r="B16702" i="2"/>
  <c r="B15866" i="2"/>
  <c r="B22974" i="2"/>
  <c r="B20097" i="2"/>
  <c r="B25780" i="2"/>
  <c r="B31123" i="2"/>
  <c r="B30828" i="2"/>
  <c r="B30419" i="2"/>
  <c r="B30705" i="2"/>
  <c r="B11967" i="2"/>
  <c r="B17021" i="2"/>
  <c r="B15073" i="2"/>
  <c r="B9423" i="2"/>
  <c r="B6842" i="2"/>
  <c r="B1407" i="2"/>
  <c r="B1934" i="2"/>
  <c r="B24528" i="2"/>
  <c r="B18197" i="2"/>
  <c r="B5365" i="2"/>
  <c r="B25423" i="2"/>
  <c r="B3778" i="2"/>
  <c r="B23879" i="2"/>
  <c r="B21895" i="2"/>
  <c r="B19380" i="2"/>
  <c r="B33362" i="2"/>
  <c r="B16491" i="2"/>
  <c r="B457" i="2"/>
  <c r="B22436" i="2"/>
  <c r="B9865" i="2"/>
  <c r="B8686" i="2"/>
  <c r="B31142" i="2"/>
  <c r="B8141" i="2"/>
  <c r="B15468" i="2"/>
  <c r="B34227" i="2"/>
  <c r="B1111" i="2"/>
  <c r="B21165" i="2"/>
  <c r="B473" i="2"/>
  <c r="B25141" i="2"/>
  <c r="B25915" i="2"/>
  <c r="B13569" i="2"/>
  <c r="B2910" i="2"/>
  <c r="B11359" i="2"/>
  <c r="B25358" i="2"/>
  <c r="B2920" i="2"/>
  <c r="B521" i="2"/>
  <c r="B20318" i="2"/>
  <c r="B23851" i="2"/>
  <c r="B18259" i="2"/>
  <c r="B1991" i="2"/>
  <c r="B16147" i="2"/>
  <c r="B19026" i="2"/>
  <c r="B8828" i="2"/>
  <c r="B17106" i="2"/>
  <c r="B25920" i="2"/>
  <c r="B18143" i="2"/>
  <c r="B18110" i="2"/>
  <c r="B22663" i="2"/>
  <c r="B19965" i="2"/>
  <c r="B24092" i="2"/>
  <c r="B19311" i="2"/>
  <c r="B18124" i="2"/>
  <c r="B17039" i="2"/>
  <c r="B31474" i="2"/>
  <c r="B6952" i="2"/>
  <c r="B25204" i="2"/>
  <c r="B2687" i="2"/>
  <c r="B13610" i="2"/>
  <c r="B26402" i="2"/>
  <c r="B26004" i="2"/>
  <c r="B32691" i="2"/>
  <c r="B1008" i="2"/>
  <c r="B36362" i="2"/>
  <c r="B17145" i="2"/>
  <c r="B29332" i="2"/>
  <c r="B31018" i="2"/>
  <c r="B31877" i="2"/>
  <c r="B14132" i="2"/>
  <c r="B25968" i="2"/>
  <c r="B33626" i="2"/>
  <c r="B30269" i="2"/>
  <c r="B34832" i="2"/>
  <c r="B21034" i="2"/>
  <c r="B12436" i="2"/>
  <c r="B7343" i="2"/>
  <c r="B4526" i="2"/>
  <c r="B11875" i="2"/>
  <c r="B23966" i="2"/>
  <c r="B10935" i="2"/>
  <c r="B5445" i="2"/>
  <c r="B16376" i="2"/>
  <c r="B25407" i="2"/>
  <c r="B36035" i="2"/>
  <c r="B5478" i="2"/>
  <c r="B6634" i="2"/>
  <c r="B33262" i="2"/>
  <c r="B18860" i="2"/>
  <c r="B34996" i="2"/>
  <c r="B8403" i="2"/>
  <c r="B31912" i="2"/>
  <c r="B19079" i="2"/>
  <c r="B5100" i="2"/>
  <c r="B17175" i="2"/>
  <c r="B7125" i="2"/>
  <c r="B8334" i="2"/>
  <c r="B35273" i="2"/>
  <c r="B25041" i="2"/>
  <c r="B25800" i="2"/>
  <c r="B10678" i="2"/>
  <c r="B17959" i="2"/>
  <c r="B4337" i="2"/>
  <c r="B19293" i="2"/>
  <c r="B32862" i="2"/>
  <c r="B24045" i="2"/>
  <c r="B23170" i="2"/>
  <c r="B31309" i="2"/>
  <c r="B12087" i="2"/>
  <c r="B4850" i="2"/>
  <c r="B8222" i="2"/>
  <c r="B2973" i="2"/>
  <c r="B26040" i="2"/>
  <c r="B17524" i="2"/>
  <c r="B4543" i="2"/>
  <c r="B4011" i="2"/>
  <c r="B21310" i="2"/>
  <c r="B19702" i="2"/>
  <c r="B15456" i="2"/>
  <c r="B9065" i="2"/>
  <c r="B5192" i="2"/>
  <c r="B28715" i="2"/>
  <c r="B23892" i="2"/>
  <c r="B11209" i="2"/>
  <c r="B23429" i="2"/>
  <c r="B35261" i="2"/>
  <c r="B7766" i="2"/>
  <c r="B29666" i="2"/>
  <c r="B2216" i="2"/>
  <c r="B16678" i="2"/>
  <c r="B15277" i="2"/>
  <c r="B27900" i="2"/>
  <c r="B1987" i="2"/>
  <c r="B30196" i="2"/>
  <c r="B442" i="2"/>
  <c r="B22583" i="2"/>
  <c r="B12783" i="2"/>
  <c r="B19765" i="2"/>
  <c r="B25705" i="2"/>
  <c r="B6249" i="2"/>
  <c r="B10006" i="2"/>
  <c r="B27600" i="2"/>
  <c r="B32770" i="2"/>
  <c r="B189" i="2"/>
  <c r="B7447" i="2"/>
  <c r="B10568" i="2"/>
  <c r="B18533" i="2"/>
  <c r="B7285" i="2"/>
  <c r="B3152" i="2"/>
  <c r="B14895" i="2"/>
  <c r="B14517" i="2"/>
  <c r="B30123" i="2"/>
  <c r="B4654" i="2"/>
  <c r="B15969" i="2"/>
  <c r="B31813" i="2"/>
  <c r="B29662" i="2"/>
  <c r="B35718" i="2"/>
  <c r="B29514" i="2"/>
  <c r="B14880" i="2"/>
  <c r="B24283" i="2"/>
  <c r="B19705" i="2"/>
  <c r="B6781" i="2"/>
  <c r="B5372" i="2"/>
  <c r="B22442" i="2"/>
  <c r="B1481" i="2"/>
  <c r="B23048" i="2"/>
  <c r="B13169" i="2"/>
  <c r="B22207" i="2"/>
  <c r="B26764" i="2"/>
  <c r="B32575" i="2"/>
  <c r="B16974" i="2"/>
  <c r="B20137" i="2"/>
  <c r="B18667" i="2"/>
  <c r="B11221" i="2"/>
  <c r="B12006" i="2"/>
  <c r="B24480" i="2"/>
  <c r="B35877" i="2"/>
  <c r="B20614" i="2"/>
  <c r="B27579" i="2"/>
  <c r="B27658" i="2"/>
  <c r="B23214" i="2"/>
  <c r="B15546" i="2"/>
  <c r="B35805" i="2"/>
  <c r="B27877" i="2"/>
  <c r="B4984" i="2"/>
  <c r="B12538" i="2"/>
  <c r="B20146" i="2"/>
  <c r="B26115" i="2"/>
  <c r="B29382" i="2"/>
  <c r="B26363" i="2"/>
  <c r="B1404" i="2"/>
  <c r="B7606" i="2"/>
  <c r="B29168" i="2"/>
  <c r="B17534" i="2"/>
  <c r="B10853" i="2"/>
  <c r="B3113" i="2"/>
  <c r="B4856" i="2"/>
  <c r="B27937" i="2"/>
  <c r="B4901" i="2"/>
  <c r="B6243" i="2"/>
  <c r="B11935" i="2"/>
  <c r="B24097" i="2"/>
  <c r="B29298" i="2"/>
  <c r="B23128" i="2"/>
  <c r="B12811" i="2"/>
  <c r="B21921" i="2"/>
  <c r="B25206" i="2"/>
  <c r="B9710" i="2"/>
  <c r="B24632" i="2"/>
  <c r="B8013" i="2"/>
  <c r="B2688" i="2"/>
  <c r="B1372" i="2"/>
  <c r="B31604" i="2"/>
  <c r="B11079" i="2"/>
  <c r="B33244" i="2"/>
  <c r="B7972" i="2"/>
  <c r="B21566" i="2"/>
  <c r="B32024" i="2"/>
  <c r="B11771" i="2"/>
  <c r="B3177" i="2"/>
  <c r="B21295" i="2"/>
  <c r="B17476" i="2"/>
  <c r="B21413" i="2"/>
  <c r="B33430" i="2"/>
  <c r="B31586" i="2"/>
  <c r="B28901" i="2"/>
  <c r="B25833" i="2"/>
  <c r="B4333" i="2"/>
  <c r="B27322" i="2"/>
  <c r="B15706" i="2"/>
  <c r="B32440" i="2"/>
  <c r="B30080" i="2"/>
  <c r="B23416" i="2"/>
  <c r="B11670" i="2"/>
  <c r="B20648" i="2"/>
  <c r="B34620" i="2"/>
  <c r="B31161" i="2"/>
  <c r="B21364" i="2"/>
  <c r="B15782" i="2"/>
  <c r="B28849" i="2"/>
  <c r="B32066" i="2"/>
  <c r="B3450" i="2"/>
  <c r="B32484" i="2"/>
  <c r="B35857" i="2"/>
  <c r="B28939" i="2"/>
  <c r="B31969" i="2"/>
  <c r="B24270" i="2"/>
  <c r="B28406" i="2"/>
  <c r="B16976" i="2"/>
  <c r="B20114" i="2"/>
  <c r="B3305" i="2"/>
  <c r="B29881" i="2"/>
  <c r="B6931" i="2"/>
  <c r="B19261" i="2"/>
  <c r="B14718" i="2"/>
  <c r="B28354" i="2"/>
  <c r="B5111" i="2"/>
  <c r="B12683" i="2"/>
  <c r="B30625" i="2"/>
  <c r="B27241" i="2"/>
  <c r="B34764" i="2"/>
  <c r="B28748" i="2"/>
  <c r="B24227" i="2"/>
  <c r="B32498" i="2"/>
  <c r="B6705" i="2"/>
  <c r="B21110" i="2"/>
  <c r="B36260" i="2"/>
  <c r="B32188" i="2"/>
  <c r="B33417" i="2"/>
  <c r="B2711" i="2"/>
  <c r="B5798" i="2"/>
  <c r="B20422" i="2"/>
  <c r="B25207" i="2"/>
  <c r="B3385" i="2"/>
  <c r="B15038" i="2"/>
  <c r="B13609" i="2"/>
  <c r="B6516" i="2"/>
  <c r="B12620" i="2"/>
  <c r="B28979" i="2"/>
  <c r="B3589" i="2"/>
  <c r="B23395" i="2"/>
  <c r="B29370" i="2"/>
  <c r="B19845" i="2"/>
  <c r="B18556" i="2"/>
  <c r="B2635" i="2"/>
  <c r="B14787" i="2"/>
  <c r="B12866" i="2"/>
  <c r="B5589" i="2"/>
  <c r="B11378" i="2"/>
  <c r="B15488" i="2"/>
  <c r="B9862" i="2"/>
  <c r="B15275" i="2"/>
  <c r="B31566" i="2"/>
  <c r="B26824" i="2"/>
  <c r="B3241" i="2"/>
  <c r="B26724" i="2"/>
  <c r="B9750" i="2"/>
  <c r="B20655" i="2"/>
  <c r="B19844" i="2"/>
  <c r="B13034" i="2"/>
  <c r="B6716" i="2"/>
  <c r="B24090" i="2"/>
  <c r="B4139" i="2"/>
  <c r="B10302" i="2"/>
  <c r="B24434" i="2"/>
  <c r="B33491" i="2"/>
  <c r="B34910" i="2"/>
  <c r="B3097" i="2"/>
  <c r="B28428" i="2"/>
  <c r="B22641" i="2"/>
  <c r="B29354" i="2"/>
  <c r="B25172" i="2"/>
  <c r="B33596" i="2"/>
  <c r="B24317" i="2"/>
  <c r="B21940" i="2"/>
  <c r="B5869" i="2"/>
  <c r="B34494" i="2"/>
  <c r="B18323" i="2"/>
  <c r="B3899" i="2"/>
  <c r="B3981" i="2"/>
  <c r="B35076" i="2"/>
  <c r="B4951" i="2"/>
  <c r="B3366" i="2"/>
  <c r="B3602" i="2"/>
  <c r="B31818" i="2"/>
  <c r="B24693" i="2"/>
  <c r="B25120" i="2"/>
  <c r="B24316" i="2"/>
  <c r="B33165" i="2"/>
  <c r="B35685" i="2"/>
  <c r="B10941" i="2"/>
  <c r="B33222" i="2"/>
  <c r="B32555" i="2"/>
  <c r="B33528" i="2"/>
  <c r="B19471" i="2"/>
  <c r="B2899" i="2"/>
  <c r="B34074" i="2"/>
  <c r="B5811" i="2"/>
  <c r="B18638" i="2"/>
  <c r="B1412" i="2"/>
  <c r="B3148" i="2"/>
  <c r="B24042" i="2"/>
  <c r="B30890" i="2"/>
  <c r="B20051" i="2"/>
  <c r="B15437" i="2"/>
  <c r="B13792" i="2"/>
  <c r="B23929" i="2"/>
  <c r="B17193" i="2"/>
  <c r="B22836" i="2"/>
  <c r="B11131" i="2"/>
  <c r="B14371" i="2"/>
  <c r="B1393" i="2"/>
  <c r="B23486" i="2"/>
  <c r="B35911" i="2"/>
  <c r="B6701" i="2"/>
  <c r="B36071" i="2"/>
  <c r="B29719" i="2"/>
  <c r="B4818" i="2"/>
  <c r="B33161" i="2"/>
  <c r="B5935" i="2"/>
  <c r="B14058" i="2"/>
  <c r="B13113" i="2"/>
  <c r="B19272" i="2"/>
  <c r="B2864" i="2"/>
  <c r="B23964" i="2"/>
  <c r="B27763" i="2"/>
  <c r="B28026" i="2"/>
  <c r="B7399" i="2"/>
  <c r="B5804" i="2"/>
  <c r="B13102" i="2"/>
  <c r="B3264" i="2"/>
  <c r="B16509" i="2"/>
  <c r="B18722" i="2"/>
  <c r="B15359" i="2"/>
  <c r="B6553" i="2"/>
  <c r="B26032" i="2"/>
  <c r="B29070" i="2"/>
  <c r="B21776" i="2"/>
  <c r="B5981" i="2"/>
  <c r="B4918" i="2"/>
  <c r="B4107" i="2"/>
  <c r="B18827" i="2"/>
  <c r="B17633" i="2"/>
  <c r="B18857" i="2"/>
  <c r="B20052" i="2"/>
  <c r="B8383" i="2"/>
  <c r="B25736" i="2"/>
  <c r="B2795" i="2"/>
  <c r="B21236" i="2"/>
  <c r="B8527" i="2"/>
  <c r="B10169" i="2"/>
  <c r="B5359" i="2"/>
  <c r="B33955" i="2"/>
  <c r="B7132" i="2"/>
  <c r="B35580" i="2"/>
  <c r="B24332" i="2"/>
  <c r="B16188" i="2"/>
  <c r="B17635" i="2"/>
  <c r="B26988" i="2"/>
  <c r="B28958" i="2"/>
  <c r="B12826" i="2"/>
  <c r="B17127" i="2"/>
  <c r="B34501" i="2"/>
  <c r="B21987" i="2"/>
  <c r="B8211" i="2"/>
  <c r="B22549" i="2"/>
  <c r="B8178" i="2"/>
  <c r="B20319" i="2"/>
  <c r="B20568" i="2"/>
  <c r="B10519" i="2"/>
  <c r="B19724" i="2"/>
  <c r="B6622" i="2"/>
  <c r="B26874" i="2"/>
  <c r="B31466" i="2"/>
  <c r="B32469" i="2"/>
  <c r="B32033" i="2"/>
  <c r="B10105" i="2"/>
  <c r="B30051" i="2"/>
  <c r="B11343" i="2"/>
  <c r="B21826" i="2"/>
  <c r="B35233" i="2"/>
  <c r="B1339" i="2"/>
  <c r="B24028" i="2"/>
  <c r="B35713" i="2"/>
  <c r="B13171" i="2"/>
  <c r="B336" i="2"/>
  <c r="B14614" i="2"/>
  <c r="B27933" i="2"/>
  <c r="B19390" i="2"/>
  <c r="B28618" i="2"/>
  <c r="B1285" i="2"/>
  <c r="B8914" i="2"/>
  <c r="B29038" i="2"/>
  <c r="B8115" i="2"/>
  <c r="B18125" i="2"/>
  <c r="B23001" i="2"/>
  <c r="B36290" i="2"/>
  <c r="B15592" i="2"/>
  <c r="B5664" i="2"/>
  <c r="B22489" i="2"/>
  <c r="B8931" i="2"/>
  <c r="B15569" i="2"/>
  <c r="B22580" i="2"/>
  <c r="B16169" i="2"/>
  <c r="B28314" i="2"/>
  <c r="B35787" i="2"/>
  <c r="B6626" i="2"/>
  <c r="B16327" i="2"/>
  <c r="B920" i="2"/>
  <c r="B30324" i="2"/>
  <c r="B34586" i="2"/>
  <c r="B20855" i="2"/>
  <c r="B5023" i="2"/>
  <c r="B13043" i="2"/>
  <c r="B13563" i="2"/>
  <c r="B3170" i="2"/>
  <c r="B28661" i="2"/>
  <c r="B22589" i="2"/>
  <c r="B28564" i="2"/>
  <c r="B24565" i="2"/>
  <c r="B22495" i="2"/>
  <c r="B32162" i="2"/>
  <c r="B2337" i="2"/>
  <c r="B28988" i="2"/>
  <c r="B22274" i="2"/>
  <c r="B34236" i="2"/>
  <c r="B27708" i="2"/>
  <c r="B26780" i="2"/>
  <c r="B13427" i="2"/>
  <c r="B4987" i="2"/>
  <c r="B26757" i="2"/>
  <c r="B12689" i="2"/>
  <c r="B9341" i="2"/>
  <c r="B7294" i="2"/>
  <c r="B27717" i="2"/>
  <c r="B28945" i="2"/>
  <c r="B17292" i="2"/>
  <c r="B6301" i="2"/>
  <c r="B19460" i="2"/>
  <c r="B22651" i="2"/>
  <c r="B21517" i="2"/>
  <c r="B8954" i="2"/>
  <c r="B27642" i="2"/>
  <c r="B8608" i="2"/>
  <c r="B29553" i="2"/>
  <c r="B26541" i="2"/>
  <c r="B7366" i="2"/>
  <c r="B19032" i="2"/>
  <c r="B14360" i="2"/>
  <c r="B29986" i="2"/>
  <c r="B6055" i="2"/>
  <c r="B6126" i="2"/>
  <c r="B34475" i="2"/>
  <c r="B9433" i="2"/>
  <c r="B9300" i="2"/>
  <c r="B15508" i="2"/>
  <c r="B36144" i="2"/>
  <c r="B7470" i="2"/>
  <c r="B34933" i="2"/>
  <c r="B18707" i="2"/>
  <c r="B9784" i="2"/>
  <c r="B25849" i="2"/>
  <c r="B15329" i="2"/>
  <c r="B25740" i="2"/>
  <c r="B32707" i="2"/>
  <c r="B12753" i="2"/>
  <c r="B12914" i="2"/>
  <c r="B8340" i="2"/>
  <c r="B22767" i="2"/>
  <c r="B28635" i="2"/>
  <c r="B9949" i="2"/>
  <c r="B24289" i="2"/>
  <c r="B3724" i="2"/>
  <c r="B16019" i="2"/>
  <c r="B6838" i="2"/>
  <c r="B22289" i="2"/>
  <c r="B18914" i="2"/>
  <c r="B3275" i="2"/>
  <c r="B32759" i="2"/>
  <c r="B25913" i="2"/>
  <c r="B2716" i="2"/>
  <c r="B8626" i="2"/>
  <c r="B19758" i="2"/>
  <c r="B22087" i="2"/>
  <c r="B3580" i="2"/>
  <c r="B35916" i="2"/>
  <c r="B10425" i="2"/>
  <c r="B17284" i="2"/>
  <c r="B12357" i="2"/>
  <c r="B1478" i="2"/>
  <c r="B32096" i="2"/>
  <c r="B19963" i="2"/>
  <c r="B25761" i="2"/>
  <c r="B28387" i="2"/>
  <c r="B15593" i="2"/>
  <c r="B9134" i="2"/>
  <c r="B26469" i="2"/>
  <c r="B2338" i="2"/>
  <c r="B8831" i="2"/>
  <c r="B29362" i="2"/>
  <c r="B7138" i="2"/>
  <c r="B5888" i="2"/>
  <c r="B3000" i="2"/>
  <c r="B16845" i="2"/>
  <c r="B7800" i="2"/>
  <c r="B1434" i="2"/>
  <c r="B19443" i="2"/>
  <c r="B1570" i="2"/>
  <c r="B19028" i="2"/>
  <c r="B6974" i="2"/>
  <c r="B32964" i="2"/>
  <c r="B31545" i="2"/>
  <c r="B11056" i="2"/>
  <c r="B9621" i="2"/>
  <c r="B27585" i="2"/>
  <c r="B22062" i="2"/>
  <c r="B23504" i="2"/>
  <c r="B16674" i="2"/>
  <c r="B21753" i="2"/>
  <c r="B33230" i="2"/>
  <c r="B733" i="2"/>
  <c r="B30104" i="2"/>
  <c r="B2729" i="2"/>
  <c r="B15385" i="2"/>
  <c r="B15942" i="2"/>
  <c r="B5929" i="2"/>
  <c r="B34827" i="2"/>
  <c r="B26282" i="2"/>
  <c r="B26594" i="2"/>
  <c r="B19976" i="2"/>
  <c r="B16111" i="2"/>
  <c r="B10457" i="2"/>
  <c r="B21138" i="2"/>
  <c r="B332" i="2"/>
  <c r="B22264" i="2"/>
  <c r="B26635" i="2"/>
  <c r="B1139" i="2"/>
  <c r="B7699" i="2"/>
  <c r="B21834" i="2"/>
  <c r="B10177" i="2"/>
  <c r="B34032" i="2"/>
  <c r="B33529" i="2"/>
  <c r="B6784" i="2"/>
  <c r="B12135" i="2"/>
  <c r="B27610" i="2"/>
  <c r="B22484" i="2"/>
  <c r="B1463" i="2"/>
  <c r="B9209" i="2"/>
  <c r="B28791" i="2"/>
  <c r="B10538" i="2"/>
  <c r="B22717" i="2"/>
  <c r="B3608" i="2"/>
  <c r="B14797" i="2"/>
  <c r="B33652" i="2"/>
  <c r="B8852" i="2"/>
  <c r="B31823" i="2"/>
  <c r="B34760" i="2"/>
  <c r="B7467" i="2"/>
  <c r="B36330" i="2"/>
  <c r="B16681" i="2"/>
  <c r="B16268" i="2"/>
  <c r="B23961" i="2"/>
  <c r="B11732" i="2"/>
  <c r="B33727" i="2"/>
  <c r="B15251" i="2"/>
  <c r="B8861" i="2"/>
  <c r="B15139" i="2"/>
  <c r="B31832" i="2"/>
  <c r="B23938" i="2"/>
  <c r="B1335" i="2"/>
  <c r="B1012" i="2"/>
  <c r="B2539" i="2"/>
  <c r="B26770" i="2"/>
  <c r="B30374" i="2"/>
  <c r="B28146" i="2"/>
  <c r="B16506" i="2"/>
  <c r="B19839" i="2"/>
  <c r="B1400" i="2"/>
  <c r="B7581" i="2"/>
  <c r="B21380" i="2"/>
  <c r="B20551" i="2"/>
  <c r="B20483" i="2"/>
  <c r="B14450" i="2"/>
  <c r="B2496" i="2"/>
  <c r="B2174" i="2"/>
  <c r="B4427" i="2"/>
  <c r="B33649" i="2"/>
  <c r="B19884" i="2"/>
  <c r="B10407" i="2"/>
  <c r="B35035" i="2"/>
  <c r="B5999" i="2"/>
  <c r="B25634" i="2"/>
  <c r="B24186" i="2"/>
  <c r="B32169" i="2"/>
  <c r="B8569" i="2"/>
  <c r="B13417" i="2"/>
  <c r="B9114" i="2"/>
  <c r="B1220" i="2"/>
  <c r="B16204" i="2"/>
  <c r="B10973" i="2"/>
  <c r="B7550" i="2"/>
  <c r="B33044" i="2"/>
  <c r="B15668" i="2"/>
  <c r="B18848" i="2"/>
  <c r="B23310" i="2"/>
  <c r="B24147" i="2"/>
  <c r="B33668" i="2"/>
  <c r="B36296" i="2"/>
  <c r="B28474" i="2"/>
  <c r="B27323" i="2"/>
  <c r="B2233" i="2"/>
  <c r="B34841" i="2"/>
  <c r="B28740" i="2"/>
  <c r="B18039" i="2"/>
  <c r="B5673" i="2"/>
  <c r="B28565" i="2"/>
  <c r="B23028" i="2"/>
  <c r="B23033" i="2"/>
  <c r="B30679" i="2"/>
  <c r="B20530" i="2"/>
  <c r="B30972" i="2"/>
  <c r="B30821" i="2"/>
  <c r="B32958" i="2"/>
  <c r="B22939" i="2"/>
  <c r="B13968" i="2"/>
  <c r="B28597" i="2"/>
  <c r="B5044" i="2"/>
  <c r="B30558" i="2"/>
  <c r="B26628" i="2"/>
  <c r="B27562" i="2"/>
  <c r="B18437" i="2"/>
  <c r="B3565" i="2"/>
  <c r="B15184" i="2"/>
  <c r="B16624" i="2"/>
  <c r="B31010" i="2"/>
  <c r="B7180" i="2"/>
  <c r="B9026" i="2"/>
  <c r="B12457" i="2"/>
  <c r="B20359" i="2"/>
  <c r="B20467" i="2"/>
  <c r="B7079" i="2"/>
  <c r="B24643" i="2"/>
  <c r="B6530" i="2"/>
  <c r="B35088" i="2"/>
  <c r="B5638" i="2"/>
  <c r="B5374" i="2"/>
  <c r="B10670" i="2"/>
  <c r="B9487" i="2"/>
  <c r="B25703" i="2"/>
  <c r="B32264" i="2"/>
  <c r="B34393" i="2"/>
  <c r="B7600" i="2"/>
  <c r="B18932" i="2"/>
  <c r="B30502" i="2"/>
  <c r="B306" i="2"/>
  <c r="B34397" i="2"/>
  <c r="B31645" i="2"/>
  <c r="B16999" i="2"/>
  <c r="B15952" i="2"/>
  <c r="B10349" i="2"/>
  <c r="B23235" i="2"/>
  <c r="B18587" i="2"/>
  <c r="B6410" i="2"/>
  <c r="B25596" i="2"/>
  <c r="B31544" i="2"/>
  <c r="B8237" i="2"/>
  <c r="B5583" i="2"/>
  <c r="B27070" i="2"/>
  <c r="B29323" i="2"/>
  <c r="B13984" i="2"/>
  <c r="B4906" i="2"/>
  <c r="B20556" i="2"/>
  <c r="B29814" i="2"/>
  <c r="B36244" i="2"/>
  <c r="B34957" i="2"/>
  <c r="B29425" i="2"/>
  <c r="B9310" i="2"/>
  <c r="B21561" i="2"/>
  <c r="B12934" i="2"/>
  <c r="B24822" i="2"/>
  <c r="B28227" i="2"/>
  <c r="B26736" i="2"/>
  <c r="B2674" i="2"/>
  <c r="B9574" i="2"/>
  <c r="B33635" i="2"/>
  <c r="B29555" i="2"/>
  <c r="B24196" i="2"/>
  <c r="B6189" i="2"/>
  <c r="B15047" i="2"/>
  <c r="B9510" i="2"/>
  <c r="B11190" i="2"/>
  <c r="B25640" i="2"/>
  <c r="B7211" i="2"/>
  <c r="B31484" i="2"/>
  <c r="B9322" i="2"/>
  <c r="B22777" i="2"/>
  <c r="B28033" i="2"/>
  <c r="B22465" i="2"/>
  <c r="B13285" i="2"/>
  <c r="B5876" i="2"/>
  <c r="B28952" i="2"/>
  <c r="B9211" i="2"/>
  <c r="B7201" i="2"/>
  <c r="B33801" i="2"/>
  <c r="B17359" i="2"/>
  <c r="B12380" i="2"/>
  <c r="B22985" i="2"/>
  <c r="B3235" i="2"/>
  <c r="B15616" i="2"/>
  <c r="B2254" i="2"/>
  <c r="B26374" i="2"/>
  <c r="B26449" i="2"/>
  <c r="B3692" i="2"/>
  <c r="B12177" i="2"/>
  <c r="B13629" i="2"/>
  <c r="B23467" i="2"/>
  <c r="B22539" i="2"/>
  <c r="B33882" i="2"/>
  <c r="B31027" i="2"/>
  <c r="B36162" i="2"/>
  <c r="B2574" i="2"/>
  <c r="B864" i="2"/>
  <c r="B13316" i="2"/>
  <c r="B10345" i="2"/>
  <c r="B10369" i="2"/>
  <c r="B14672" i="2"/>
  <c r="B28908" i="2"/>
  <c r="B1368" i="2"/>
  <c r="B20444" i="2"/>
  <c r="B16288" i="2"/>
  <c r="B27303" i="2"/>
  <c r="B26582" i="2"/>
  <c r="B13013" i="2"/>
  <c r="B31898" i="2"/>
  <c r="B16394" i="2"/>
  <c r="B6361" i="2"/>
  <c r="B31788" i="2"/>
  <c r="B5300" i="2"/>
  <c r="B33409" i="2"/>
  <c r="B21134" i="2"/>
  <c r="B12737" i="2"/>
  <c r="B13544" i="2"/>
  <c r="B10523" i="2"/>
  <c r="B20966" i="2"/>
  <c r="B5118" i="2"/>
  <c r="B12397" i="2"/>
  <c r="B16033" i="2"/>
  <c r="B25811" i="2"/>
  <c r="B21048" i="2"/>
  <c r="B33489" i="2"/>
  <c r="B10088" i="2"/>
  <c r="B4239" i="2"/>
  <c r="B7559" i="2"/>
  <c r="B10465" i="2"/>
  <c r="B28043" i="2"/>
  <c r="B2900" i="2"/>
  <c r="B18558" i="2"/>
  <c r="B12148" i="2"/>
  <c r="B16036" i="2"/>
  <c r="B3292" i="2"/>
  <c r="B18568" i="2"/>
  <c r="B7836" i="2"/>
  <c r="B30287" i="2"/>
  <c r="B9292" i="2"/>
  <c r="B1822" i="2"/>
  <c r="B1936" i="2"/>
  <c r="B10574" i="2"/>
  <c r="B36084" i="2"/>
  <c r="B28886" i="2"/>
  <c r="B12997" i="2"/>
  <c r="B21097" i="2"/>
  <c r="B20777" i="2"/>
  <c r="B33734" i="2"/>
  <c r="B19407" i="2"/>
  <c r="B22573" i="2"/>
  <c r="B29603" i="2"/>
  <c r="B850" i="2"/>
  <c r="B21475" i="2"/>
  <c r="B35084" i="2"/>
  <c r="B1067" i="2"/>
  <c r="B5187" i="2"/>
  <c r="B25180" i="2"/>
  <c r="B7504" i="2"/>
  <c r="B1116" i="2"/>
  <c r="B9723" i="2"/>
  <c r="B7516" i="2"/>
  <c r="B33808" i="2"/>
  <c r="B2387" i="2"/>
  <c r="B8397" i="2"/>
  <c r="B16176" i="2"/>
  <c r="B7905" i="2"/>
  <c r="B1747" i="2"/>
  <c r="B1872" i="2"/>
  <c r="B15002" i="2"/>
  <c r="B21692" i="2"/>
  <c r="B3018" i="2"/>
  <c r="B14224" i="2"/>
  <c r="B16266" i="2"/>
  <c r="B26818" i="2"/>
  <c r="B7159" i="2"/>
  <c r="B32098" i="2"/>
  <c r="B33664" i="2"/>
  <c r="B2187" i="2"/>
  <c r="B1519" i="2"/>
  <c r="B28889" i="2"/>
  <c r="B2292" i="2"/>
  <c r="B5156" i="2"/>
  <c r="B1572" i="2"/>
  <c r="B24537" i="2"/>
  <c r="B20572" i="2"/>
  <c r="B32366" i="2"/>
  <c r="B31144" i="2"/>
  <c r="B23364" i="2"/>
  <c r="B29493" i="2"/>
  <c r="B1189" i="2"/>
  <c r="B2528" i="2"/>
  <c r="B26047" i="2"/>
  <c r="B15374" i="2"/>
  <c r="B25200" i="2"/>
  <c r="B34963" i="2"/>
  <c r="B1722" i="2"/>
  <c r="B7418" i="2"/>
  <c r="B1477" i="2"/>
  <c r="B1096" i="2"/>
  <c r="B23335" i="2"/>
  <c r="B10141" i="2"/>
  <c r="B32397" i="2"/>
  <c r="B7748" i="2"/>
  <c r="B21815" i="2"/>
  <c r="B4692" i="2"/>
  <c r="B24577" i="2"/>
  <c r="B31769" i="2"/>
  <c r="B24779" i="2"/>
  <c r="B4230" i="2"/>
  <c r="B5468" i="2"/>
  <c r="B13988" i="2"/>
  <c r="B788" i="2"/>
  <c r="B2549" i="2"/>
  <c r="B63" i="2"/>
  <c r="B17031" i="2"/>
  <c r="B21878" i="2"/>
  <c r="B29759" i="2"/>
  <c r="B5898" i="2"/>
  <c r="B11180" i="2"/>
  <c r="B2363" i="2"/>
  <c r="B19174" i="2"/>
  <c r="B4128" i="2"/>
  <c r="B12634" i="2"/>
  <c r="B2414" i="2"/>
  <c r="B13975" i="2"/>
  <c r="B29771" i="2"/>
  <c r="B11730" i="2"/>
  <c r="B18196" i="2"/>
  <c r="B14425" i="2"/>
  <c r="B9934" i="2"/>
  <c r="B9325" i="2"/>
  <c r="B19440" i="2"/>
  <c r="B27871" i="2"/>
  <c r="B8099" i="2"/>
  <c r="B15470" i="2"/>
  <c r="B24422" i="2"/>
  <c r="B32807" i="2"/>
  <c r="B12193" i="2"/>
  <c r="B27137" i="2"/>
  <c r="B18217" i="2"/>
  <c r="B10995" i="2"/>
  <c r="B34072" i="2"/>
  <c r="B4166" i="2"/>
  <c r="B10627" i="2"/>
  <c r="B25617" i="2"/>
  <c r="B25058" i="2"/>
  <c r="B21925" i="2"/>
  <c r="B22080" i="2"/>
  <c r="B16645" i="2"/>
  <c r="B29001" i="2"/>
  <c r="B15011" i="2"/>
  <c r="B8809" i="2"/>
  <c r="B17299" i="2"/>
  <c r="B20248" i="2"/>
  <c r="B35873" i="2"/>
  <c r="B29506" i="2"/>
  <c r="B34541" i="2"/>
  <c r="B20564" i="2"/>
  <c r="B1997" i="2"/>
  <c r="B16256" i="2"/>
  <c r="B23391" i="2"/>
  <c r="B27916" i="2"/>
  <c r="B14590" i="2"/>
  <c r="B22654" i="2"/>
  <c r="B23295" i="2"/>
  <c r="B33080" i="2"/>
  <c r="B35408" i="2"/>
  <c r="B9961" i="2"/>
  <c r="B12968" i="2"/>
  <c r="B7064" i="2"/>
  <c r="B861" i="2"/>
  <c r="B14340" i="2"/>
  <c r="B15881" i="2"/>
  <c r="B35690" i="2"/>
  <c r="B3640" i="2"/>
  <c r="B19018" i="2"/>
  <c r="B2961" i="2"/>
  <c r="B18013" i="2"/>
  <c r="B25128" i="2"/>
  <c r="B31241" i="2"/>
  <c r="B20940" i="2"/>
  <c r="B24229" i="2"/>
  <c r="B21970" i="2"/>
  <c r="B2208" i="2"/>
  <c r="B3401" i="2"/>
  <c r="B10558" i="2"/>
  <c r="B13644" i="2"/>
  <c r="B21905" i="2"/>
  <c r="B11769" i="2"/>
  <c r="B23095" i="2"/>
  <c r="B12651" i="2"/>
  <c r="B9087" i="2"/>
  <c r="B1275" i="2"/>
  <c r="B19470" i="2"/>
  <c r="B26194" i="2"/>
  <c r="B36361" i="2"/>
  <c r="B6746" i="2"/>
  <c r="B13960" i="2"/>
  <c r="B14745" i="2"/>
  <c r="B31176" i="2"/>
  <c r="B12102" i="2"/>
  <c r="B21627" i="2"/>
  <c r="B11511" i="2"/>
  <c r="B23248" i="2"/>
  <c r="B22830" i="2"/>
  <c r="B1039" i="2"/>
  <c r="B19924" i="2"/>
  <c r="B24940" i="2"/>
  <c r="B29550" i="2"/>
  <c r="B24897" i="2"/>
  <c r="B29842" i="2"/>
  <c r="B23408" i="2"/>
  <c r="B34845" i="2"/>
  <c r="B14996" i="2"/>
  <c r="B4322" i="2"/>
  <c r="B35643" i="2"/>
  <c r="B4113" i="2"/>
  <c r="B30845" i="2"/>
  <c r="B10037" i="2"/>
  <c r="B20603" i="2"/>
  <c r="B21007" i="2"/>
  <c r="B30434" i="2"/>
  <c r="B32627" i="2"/>
  <c r="B23942" i="2"/>
  <c r="B5019" i="2"/>
  <c r="B2204" i="2"/>
  <c r="B34378" i="2"/>
  <c r="B14978" i="2"/>
  <c r="B15202" i="2"/>
  <c r="B31278" i="2"/>
  <c r="B35235" i="2"/>
  <c r="B18910" i="2"/>
  <c r="B20588" i="2"/>
  <c r="B13345" i="2"/>
  <c r="B11715" i="2"/>
  <c r="B10749" i="2"/>
  <c r="B18769" i="2"/>
  <c r="B22992" i="2"/>
  <c r="B6750" i="2"/>
  <c r="B19810" i="2"/>
  <c r="B21590" i="2"/>
  <c r="B13307" i="2"/>
  <c r="B4558" i="2"/>
  <c r="B5358" i="2"/>
  <c r="B9760" i="2"/>
  <c r="B31539" i="2"/>
  <c r="B10281" i="2"/>
  <c r="B4246" i="2"/>
  <c r="B11074" i="2"/>
  <c r="B4314" i="2"/>
  <c r="B7637" i="2"/>
  <c r="B6979" i="2"/>
  <c r="B14908" i="2"/>
  <c r="B19877" i="2"/>
  <c r="B15535" i="2"/>
  <c r="B24803" i="2"/>
  <c r="B23054" i="2"/>
  <c r="B25322" i="2"/>
  <c r="B25718" i="2"/>
  <c r="B1751" i="2"/>
  <c r="B12069" i="2"/>
  <c r="B11776" i="2"/>
  <c r="B17419" i="2"/>
  <c r="B28496" i="2"/>
  <c r="B22639" i="2"/>
  <c r="B11736" i="2"/>
  <c r="B19736" i="2"/>
  <c r="B21238" i="2"/>
  <c r="B23932" i="2"/>
  <c r="B15109" i="2"/>
  <c r="B16831" i="2"/>
  <c r="B12240" i="2"/>
  <c r="B26641" i="2"/>
  <c r="B21213" i="2"/>
  <c r="B9013" i="2"/>
  <c r="B742" i="2"/>
  <c r="B2643" i="2"/>
  <c r="B36186" i="2"/>
  <c r="B7309" i="2"/>
  <c r="B20279" i="2"/>
  <c r="B22890" i="2"/>
  <c r="B27358" i="2"/>
  <c r="B3045" i="2"/>
  <c r="B9362" i="2"/>
  <c r="B15809" i="2"/>
  <c r="B10032" i="2"/>
  <c r="B30507" i="2"/>
  <c r="B31462" i="2"/>
  <c r="B29375" i="2"/>
  <c r="B36082" i="2"/>
  <c r="B2458" i="2"/>
  <c r="B9678" i="2"/>
  <c r="B15908" i="2"/>
  <c r="B34504" i="2"/>
  <c r="B30833" i="2"/>
  <c r="B29905" i="2"/>
  <c r="B32537" i="2"/>
  <c r="B10826" i="2"/>
  <c r="B30256" i="2"/>
  <c r="B21990" i="2"/>
  <c r="B1779" i="2"/>
  <c r="B24497" i="2"/>
  <c r="B10085" i="2"/>
  <c r="B2392" i="2"/>
  <c r="B31375" i="2"/>
  <c r="B5380" i="2"/>
  <c r="B28580" i="2"/>
  <c r="B1070" i="2"/>
  <c r="B25092" i="2"/>
  <c r="B34340" i="2"/>
  <c r="B213" i="2"/>
  <c r="B11833" i="2"/>
  <c r="B33966" i="2"/>
  <c r="B36279" i="2"/>
  <c r="B17966" i="2"/>
  <c r="B5944" i="2"/>
  <c r="B29785" i="2"/>
  <c r="B9624" i="2"/>
  <c r="B31853" i="2"/>
  <c r="B23828" i="2"/>
  <c r="B2178" i="2"/>
  <c r="B18003" i="2"/>
  <c r="B23008" i="2"/>
  <c r="B6355" i="2"/>
  <c r="B5762" i="2"/>
  <c r="B21786" i="2"/>
  <c r="B9324" i="2"/>
  <c r="B16385" i="2"/>
  <c r="B7005" i="2"/>
  <c r="B7837" i="2"/>
  <c r="B13469" i="2"/>
  <c r="B11028" i="2"/>
  <c r="B9481" i="2"/>
  <c r="B23109" i="2"/>
  <c r="B14069" i="2"/>
  <c r="B21681" i="2"/>
  <c r="B15781" i="2"/>
  <c r="B27826" i="2"/>
  <c r="B19345" i="2"/>
  <c r="B23886" i="2"/>
  <c r="B18778" i="2"/>
  <c r="B9992" i="2"/>
  <c r="B16370" i="2"/>
  <c r="B1709" i="2"/>
  <c r="B17304" i="2"/>
  <c r="B33509" i="2"/>
  <c r="B19559" i="2"/>
  <c r="B24198" i="2"/>
  <c r="B13620" i="2"/>
  <c r="B25720" i="2"/>
  <c r="B20570" i="2"/>
  <c r="B23852" i="2"/>
  <c r="B4320" i="2"/>
  <c r="B31706" i="2"/>
  <c r="B22740" i="2"/>
  <c r="B14948" i="2"/>
  <c r="B5260" i="2"/>
  <c r="B9355" i="2"/>
  <c r="B33375" i="2"/>
  <c r="B16354" i="2"/>
  <c r="B6244" i="2"/>
  <c r="B3676" i="2"/>
  <c r="B5800" i="2"/>
  <c r="B25756" i="2"/>
  <c r="B15786" i="2"/>
  <c r="B9199" i="2"/>
  <c r="B32128" i="2"/>
  <c r="B12633" i="2"/>
  <c r="B23278" i="2"/>
  <c r="B17574" i="2"/>
  <c r="B22438" i="2"/>
  <c r="B9997" i="2"/>
  <c r="B34263" i="2"/>
  <c r="B3879" i="2"/>
  <c r="B22516" i="2"/>
  <c r="B10312" i="2"/>
  <c r="B7303" i="2"/>
  <c r="B3451" i="2"/>
  <c r="B27919" i="2"/>
  <c r="B32605" i="2"/>
  <c r="B7883" i="2"/>
  <c r="B10894" i="2"/>
  <c r="B24870" i="2"/>
  <c r="B24714" i="2"/>
  <c r="B28325" i="2"/>
  <c r="B34275" i="2"/>
  <c r="B492" i="2"/>
  <c r="B14234" i="2"/>
  <c r="B32205" i="2"/>
  <c r="B9799" i="2"/>
  <c r="B13840" i="2"/>
  <c r="B8910" i="2"/>
  <c r="B7984" i="2"/>
  <c r="B21743" i="2"/>
  <c r="B17168" i="2"/>
  <c r="B26765" i="2"/>
  <c r="B20789" i="2"/>
  <c r="B10858" i="2"/>
  <c r="B5868" i="2"/>
  <c r="B4764" i="2"/>
  <c r="B14733" i="2"/>
  <c r="B11064" i="2"/>
  <c r="B9578" i="2"/>
  <c r="B32192" i="2"/>
  <c r="B3827" i="2"/>
  <c r="B24194" i="2"/>
  <c r="B33795" i="2"/>
  <c r="B12768" i="2"/>
  <c r="B21079" i="2"/>
  <c r="B23664" i="2"/>
  <c r="B17947" i="2"/>
  <c r="B28209" i="2"/>
  <c r="B3612" i="2"/>
  <c r="B28686" i="2"/>
  <c r="B5366" i="2"/>
  <c r="B27846" i="2"/>
  <c r="B6021" i="2"/>
  <c r="B15777" i="2"/>
  <c r="B6170" i="2"/>
  <c r="B23027" i="2"/>
  <c r="B22998" i="2"/>
  <c r="B35377" i="2"/>
  <c r="B767" i="2"/>
  <c r="B4707" i="2"/>
  <c r="B32552" i="2"/>
  <c r="B7672" i="2"/>
  <c r="B3015" i="2"/>
  <c r="B22543" i="2"/>
  <c r="B33922" i="2"/>
  <c r="B13060" i="2"/>
  <c r="B22912" i="2"/>
  <c r="B26327" i="2"/>
  <c r="B18901" i="2"/>
  <c r="B26748" i="2"/>
  <c r="B453" i="2"/>
  <c r="B8466" i="2"/>
  <c r="B481" i="2"/>
  <c r="B28737" i="2"/>
  <c r="B16285" i="2"/>
  <c r="B32485" i="2"/>
  <c r="B25692" i="2"/>
  <c r="B5093" i="2"/>
  <c r="B21843" i="2"/>
  <c r="B22928" i="2"/>
  <c r="B2170" i="2"/>
  <c r="B9303" i="2"/>
  <c r="B27804" i="2"/>
  <c r="B29226" i="2"/>
  <c r="B34138" i="2"/>
  <c r="B13443" i="2"/>
  <c r="B2443" i="2"/>
  <c r="B727" i="2"/>
  <c r="B9946" i="2"/>
  <c r="B9804" i="2"/>
  <c r="B4637" i="2"/>
  <c r="B4360" i="2"/>
  <c r="B14275" i="2"/>
  <c r="B27966" i="2"/>
  <c r="B8913" i="2"/>
  <c r="B6274" i="2"/>
  <c r="B17730" i="2"/>
  <c r="B5186" i="2"/>
  <c r="B9588" i="2"/>
  <c r="B31695" i="2"/>
  <c r="B32007" i="2"/>
  <c r="B33708" i="2"/>
  <c r="B10210" i="2"/>
  <c r="B5386" i="2"/>
  <c r="B8906" i="2"/>
  <c r="B29896" i="2"/>
  <c r="B28176" i="2"/>
  <c r="B33349" i="2"/>
  <c r="B5563" i="2"/>
  <c r="B15420" i="2"/>
  <c r="B35426" i="2"/>
  <c r="B16766" i="2"/>
  <c r="B8995" i="2"/>
  <c r="B20131" i="2"/>
  <c r="B757" i="2"/>
  <c r="B31535" i="2"/>
  <c r="B26076" i="2"/>
  <c r="B18733" i="2"/>
  <c r="B3652" i="2"/>
  <c r="B23957" i="2"/>
  <c r="B25452" i="2"/>
  <c r="B31548" i="2"/>
  <c r="B4093" i="2"/>
  <c r="B30170" i="2"/>
  <c r="B10216" i="2"/>
  <c r="B17357" i="2"/>
  <c r="B3789" i="2"/>
  <c r="B19047" i="2"/>
  <c r="B25288" i="2"/>
  <c r="B35226" i="2"/>
  <c r="B25815" i="2"/>
  <c r="B24687" i="2"/>
  <c r="B24880" i="2"/>
  <c r="B33387" i="2"/>
  <c r="B17089" i="2"/>
  <c r="B30411" i="2"/>
  <c r="B25773" i="2"/>
  <c r="B18109" i="2"/>
  <c r="B26668" i="2"/>
  <c r="B12029" i="2"/>
  <c r="B7524" i="2"/>
  <c r="B20883" i="2"/>
  <c r="B18409" i="2"/>
  <c r="B33317" i="2"/>
  <c r="B28484" i="2"/>
  <c r="B5590" i="2"/>
  <c r="B23760" i="2"/>
  <c r="B24708" i="2"/>
  <c r="B16448" i="2"/>
  <c r="B6157" i="2"/>
  <c r="B20302" i="2"/>
  <c r="B18090" i="2"/>
  <c r="B28006" i="2"/>
  <c r="B19152" i="2"/>
  <c r="B14096" i="2"/>
  <c r="B3225" i="2"/>
  <c r="B17902" i="2"/>
  <c r="B34028" i="2"/>
  <c r="B23268" i="2"/>
  <c r="B16916" i="2"/>
  <c r="B30742" i="2"/>
  <c r="B4927" i="2"/>
  <c r="B30752" i="2"/>
  <c r="B17020" i="2"/>
  <c r="B2513" i="2"/>
  <c r="B9030" i="2"/>
  <c r="B31865" i="2"/>
  <c r="B7032" i="2"/>
  <c r="B15281" i="2"/>
  <c r="B26519" i="2"/>
  <c r="B1512" i="2"/>
  <c r="B4820" i="2"/>
  <c r="B19252" i="2"/>
  <c r="B7012" i="2"/>
  <c r="B33038" i="2"/>
  <c r="B34790" i="2"/>
  <c r="B23573" i="2"/>
  <c r="B15947" i="2"/>
  <c r="B1121" i="2"/>
  <c r="B24069" i="2"/>
  <c r="B17209" i="2"/>
  <c r="B3637" i="2"/>
  <c r="B12852" i="2"/>
  <c r="B17272" i="2"/>
  <c r="B29868" i="2"/>
  <c r="B27305" i="2"/>
  <c r="B15320" i="2"/>
  <c r="B8276" i="2"/>
  <c r="B34358" i="2"/>
  <c r="B1961" i="2"/>
  <c r="B10611" i="2"/>
  <c r="B35794" i="2"/>
  <c r="B29159" i="2"/>
  <c r="B23758" i="2"/>
  <c r="B19671" i="2"/>
  <c r="B5647" i="2"/>
  <c r="B18586" i="2"/>
  <c r="B19065" i="2"/>
  <c r="B33360" i="2"/>
  <c r="B25631" i="2"/>
  <c r="B25916" i="2"/>
  <c r="B16357" i="2"/>
  <c r="B31583" i="2"/>
  <c r="B17495" i="2"/>
  <c r="B30510" i="2"/>
  <c r="B14362" i="2"/>
  <c r="B30648" i="2"/>
  <c r="B35406" i="2"/>
  <c r="B23820" i="2"/>
  <c r="B17158" i="2"/>
  <c r="B19071" i="2"/>
  <c r="B29299" i="2"/>
  <c r="B17590" i="2"/>
  <c r="B1767" i="2"/>
  <c r="B669" i="2"/>
  <c r="B940" i="2"/>
  <c r="B26644" i="2"/>
  <c r="B6787" i="2"/>
  <c r="B20225" i="2"/>
  <c r="B6344" i="2"/>
  <c r="B16613" i="2"/>
  <c r="B32245" i="2"/>
  <c r="B16946" i="2"/>
  <c r="B405" i="2"/>
  <c r="B23094" i="2"/>
  <c r="B21393" i="2"/>
  <c r="B26756" i="2"/>
  <c r="B33924" i="2"/>
  <c r="B2785" i="2"/>
  <c r="B2120" i="2"/>
  <c r="B31403" i="2"/>
  <c r="B13632" i="2"/>
  <c r="B15826" i="2"/>
  <c r="B2521" i="2"/>
  <c r="B2833" i="2"/>
  <c r="B11335" i="2"/>
  <c r="B7698" i="2"/>
  <c r="B18756" i="2"/>
  <c r="B5996" i="2"/>
  <c r="B2030" i="2"/>
  <c r="B27740" i="2"/>
  <c r="B20649" i="2"/>
  <c r="B34114" i="2"/>
  <c r="B1484" i="2"/>
  <c r="B24048" i="2"/>
  <c r="B29491" i="2"/>
  <c r="B30404" i="2"/>
  <c r="B15988" i="2"/>
  <c r="B24459" i="2"/>
  <c r="B33159" i="2"/>
  <c r="B29401" i="2"/>
  <c r="B33302" i="2"/>
  <c r="B26279" i="2"/>
  <c r="B19055" i="2"/>
  <c r="B4007" i="2"/>
  <c r="B3983" i="2"/>
  <c r="B28400" i="2"/>
  <c r="B11564" i="2"/>
  <c r="B7404" i="2"/>
  <c r="B24352" i="2"/>
  <c r="B31704" i="2"/>
  <c r="B8441" i="2"/>
  <c r="B4065" i="2"/>
  <c r="B32748" i="2"/>
  <c r="B1650" i="2"/>
  <c r="B32688" i="2"/>
  <c r="B31746" i="2"/>
  <c r="B19015" i="2"/>
  <c r="B15852" i="2"/>
  <c r="B33347" i="2"/>
  <c r="B35231" i="2"/>
  <c r="B16217" i="2"/>
  <c r="B33067" i="2"/>
  <c r="B30342" i="2"/>
  <c r="B33553" i="2"/>
  <c r="B27034" i="2"/>
  <c r="B27128" i="2"/>
  <c r="B26778" i="2"/>
  <c r="B5816" i="2"/>
  <c r="B23714" i="2"/>
  <c r="B21075" i="2"/>
  <c r="B15760" i="2"/>
  <c r="B2942" i="2"/>
  <c r="B22828" i="2"/>
  <c r="B11031" i="2"/>
  <c r="B21257" i="2"/>
  <c r="B34152" i="2"/>
  <c r="B16783" i="2"/>
  <c r="B28305" i="2"/>
  <c r="B2004" i="2"/>
  <c r="B6350" i="2"/>
  <c r="B10817" i="2"/>
  <c r="B17878" i="2"/>
  <c r="B17750" i="2"/>
  <c r="B31328" i="2"/>
  <c r="B13081" i="2"/>
  <c r="B18093" i="2"/>
  <c r="B30631" i="2"/>
  <c r="B29517" i="2"/>
  <c r="B32849" i="2"/>
  <c r="B20159" i="2"/>
  <c r="B14974" i="2"/>
  <c r="B12337" i="2"/>
  <c r="B31284" i="2"/>
  <c r="B17660" i="2"/>
  <c r="B24639" i="2"/>
  <c r="B4846" i="2"/>
  <c r="B4727" i="2"/>
  <c r="B27268" i="2"/>
  <c r="B29435" i="2"/>
  <c r="B29820" i="2"/>
  <c r="B27794" i="2"/>
  <c r="B7644" i="2"/>
  <c r="B35578" i="2"/>
  <c r="B24682" i="2"/>
  <c r="B25340" i="2"/>
  <c r="B16086" i="2"/>
  <c r="B36224" i="2"/>
  <c r="B15203" i="2"/>
  <c r="B36156" i="2"/>
  <c r="B33963" i="2"/>
  <c r="B26140" i="2"/>
  <c r="B11059" i="2"/>
  <c r="B19573" i="2"/>
  <c r="B21" i="2"/>
  <c r="B3236" i="2"/>
  <c r="B3403" i="2"/>
  <c r="B20522" i="2"/>
  <c r="B9208" i="2"/>
  <c r="B6853" i="2"/>
  <c r="B11775" i="2"/>
  <c r="B20745" i="2"/>
  <c r="B15078" i="2"/>
  <c r="B2457" i="2"/>
  <c r="B9206" i="2"/>
  <c r="B28054" i="2"/>
  <c r="B17571" i="2"/>
  <c r="B35417" i="2"/>
  <c r="B24548" i="2"/>
  <c r="B2327" i="2"/>
  <c r="B14135" i="2"/>
  <c r="B19662" i="2"/>
  <c r="B35350" i="2"/>
  <c r="B31603" i="2"/>
  <c r="B25937" i="2"/>
  <c r="B2553" i="2"/>
  <c r="B27121" i="2"/>
  <c r="B15654" i="2"/>
  <c r="B32895" i="2"/>
  <c r="B33406" i="2"/>
  <c r="B23399" i="2"/>
  <c r="B34267" i="2"/>
  <c r="B8865" i="2"/>
  <c r="B19053" i="2"/>
  <c r="B9110" i="2"/>
  <c r="B29837" i="2"/>
  <c r="B6326" i="2"/>
  <c r="B3133" i="2"/>
  <c r="B25632" i="2"/>
  <c r="B27609" i="2"/>
  <c r="B26401" i="2"/>
  <c r="B23426" i="2"/>
  <c r="B16898" i="2"/>
  <c r="B7689" i="2"/>
  <c r="B15638" i="2"/>
  <c r="B19639" i="2"/>
  <c r="B32084" i="2"/>
  <c r="B35887" i="2"/>
  <c r="B29286" i="2"/>
  <c r="B26954" i="2"/>
  <c r="B27166" i="2"/>
  <c r="B15324" i="2"/>
  <c r="B14247" i="2"/>
  <c r="B13697" i="2"/>
  <c r="B30325" i="2"/>
  <c r="B21298" i="2"/>
  <c r="B3514" i="2"/>
  <c r="B33269" i="2"/>
  <c r="B7827" i="2"/>
  <c r="B33426" i="2"/>
  <c r="B3066" i="2"/>
  <c r="B27340" i="2"/>
  <c r="B2184" i="2"/>
  <c r="B4691" i="2"/>
  <c r="B8163" i="2"/>
  <c r="B19872" i="2"/>
  <c r="B524" i="2"/>
  <c r="B32481" i="2"/>
  <c r="B14263" i="2"/>
  <c r="B31763" i="2"/>
  <c r="B7680" i="2"/>
  <c r="B20332" i="2"/>
  <c r="B33610" i="2"/>
  <c r="B584" i="2"/>
  <c r="B19897" i="2"/>
  <c r="B20528" i="2"/>
  <c r="B5455" i="2"/>
  <c r="B11197" i="2"/>
  <c r="B6574" i="2"/>
  <c r="B17386" i="2"/>
  <c r="B9240" i="2"/>
  <c r="B5477" i="2"/>
  <c r="B28321" i="2"/>
  <c r="B14838" i="2"/>
  <c r="B32708" i="2"/>
  <c r="B20404" i="2"/>
  <c r="B20667" i="2"/>
  <c r="B22762" i="2"/>
  <c r="B30672" i="2"/>
  <c r="B9112" i="2"/>
  <c r="B7326" i="2"/>
  <c r="B21797" i="2"/>
  <c r="B25686" i="2"/>
  <c r="B19262" i="2"/>
  <c r="B30089" i="2"/>
  <c r="B20339" i="2"/>
  <c r="B28649" i="2"/>
  <c r="B13227" i="2"/>
  <c r="B8838" i="2"/>
  <c r="B5745" i="2"/>
  <c r="B6231" i="2"/>
  <c r="B33413" i="2"/>
  <c r="B20218" i="2"/>
  <c r="B6734" i="2"/>
  <c r="B1379" i="2"/>
  <c r="B34708" i="2"/>
  <c r="B33150" i="2"/>
  <c r="B26697" i="2"/>
  <c r="B6206" i="2"/>
  <c r="B22497" i="2"/>
  <c r="B29487" i="2"/>
  <c r="B1333" i="2"/>
  <c r="B12645" i="2"/>
  <c r="B18018" i="2"/>
  <c r="B28902" i="2"/>
  <c r="B9186" i="2"/>
  <c r="B18076" i="2"/>
  <c r="B8538" i="2"/>
  <c r="B20561" i="2"/>
  <c r="B22280" i="2"/>
  <c r="B14288" i="2"/>
  <c r="B5414" i="2"/>
  <c r="B36209" i="2"/>
  <c r="B19939" i="2"/>
  <c r="B31726" i="2"/>
  <c r="B1974" i="2"/>
  <c r="B10384" i="2"/>
  <c r="B34231" i="2"/>
  <c r="B11992" i="2"/>
  <c r="B16964" i="2"/>
  <c r="B7894" i="2"/>
  <c r="B23386" i="2"/>
  <c r="B8040" i="2"/>
  <c r="B25943" i="2"/>
  <c r="B17964" i="2"/>
  <c r="B19887" i="2"/>
  <c r="B26520" i="2"/>
  <c r="B10909" i="2"/>
  <c r="B26540" i="2"/>
  <c r="B27413" i="2"/>
  <c r="B34190" i="2"/>
  <c r="B22843" i="2"/>
  <c r="B8500" i="2"/>
  <c r="B11547" i="2"/>
  <c r="B23348" i="2"/>
  <c r="B26130" i="2"/>
  <c r="B23014" i="2"/>
  <c r="B31888" i="2"/>
  <c r="B13359" i="2"/>
  <c r="B19655" i="2"/>
  <c r="B21443" i="2"/>
  <c r="B24267" i="2"/>
  <c r="B564" i="2"/>
  <c r="B11563" i="2"/>
  <c r="B16956" i="2"/>
  <c r="B33287" i="2"/>
  <c r="B13660" i="2"/>
  <c r="B31901" i="2"/>
  <c r="B27475" i="2"/>
  <c r="B32973" i="2"/>
  <c r="B59" i="2"/>
  <c r="B29671" i="2"/>
  <c r="B2268" i="2"/>
  <c r="B14176" i="2"/>
  <c r="B35262" i="2"/>
  <c r="B4032" i="2"/>
  <c r="B13728" i="2"/>
  <c r="B21300" i="2"/>
  <c r="B30031" i="2"/>
  <c r="B25350" i="2"/>
  <c r="B8455" i="2"/>
  <c r="B27310" i="2"/>
  <c r="B26793" i="2"/>
  <c r="B10386" i="2"/>
  <c r="B28733" i="2"/>
  <c r="B19568" i="2"/>
  <c r="B23240" i="2"/>
  <c r="B11535" i="2"/>
  <c r="B1784" i="2"/>
  <c r="B19624" i="2"/>
  <c r="B22792" i="2"/>
  <c r="B1051" i="2"/>
  <c r="B21996" i="2"/>
  <c r="B25879" i="2"/>
  <c r="B20961" i="2"/>
  <c r="B11254" i="2"/>
  <c r="B7971" i="2"/>
  <c r="B20514" i="2"/>
  <c r="B445" i="2"/>
  <c r="B27895" i="2"/>
  <c r="B28833" i="2"/>
  <c r="B20759" i="2"/>
  <c r="B8770" i="2"/>
  <c r="B30489" i="2"/>
  <c r="B5650" i="2"/>
  <c r="B23771" i="2"/>
  <c r="B1735" i="2"/>
  <c r="B27125" i="2"/>
  <c r="B14346" i="2"/>
  <c r="B22867" i="2"/>
  <c r="B990" i="2"/>
  <c r="B11491" i="2"/>
  <c r="B14743" i="2"/>
  <c r="B17200" i="2"/>
  <c r="B25687" i="2"/>
  <c r="B8994" i="2"/>
  <c r="B25706" i="2"/>
  <c r="B19166" i="2"/>
  <c r="B9547" i="2"/>
  <c r="B2394" i="2"/>
  <c r="B749" i="2"/>
  <c r="B20984" i="2"/>
  <c r="B16178" i="2"/>
  <c r="B24134" i="2"/>
  <c r="B7364" i="2"/>
  <c r="B24146" i="2"/>
  <c r="B7441" i="2"/>
  <c r="B27772" i="2"/>
  <c r="B25616" i="2"/>
  <c r="B23641" i="2"/>
  <c r="B36006" i="2"/>
  <c r="B26677" i="2"/>
  <c r="B33887" i="2"/>
  <c r="B2167" i="2"/>
  <c r="B21067" i="2"/>
  <c r="B11250" i="2"/>
  <c r="B1162" i="2"/>
  <c r="B31435" i="2"/>
  <c r="B12321" i="2"/>
  <c r="B33923" i="2"/>
  <c r="B19447" i="2"/>
  <c r="B36149" i="2"/>
  <c r="B35985" i="2"/>
  <c r="B2033" i="2"/>
  <c r="B6144" i="2"/>
  <c r="B26981" i="2"/>
  <c r="B19254" i="2"/>
  <c r="B2299" i="2"/>
  <c r="B2113" i="2"/>
  <c r="B6718" i="2"/>
  <c r="B10235" i="2"/>
  <c r="B23561" i="2"/>
  <c r="B680" i="2"/>
  <c r="B2948" i="2"/>
  <c r="B20596" i="2"/>
  <c r="B13750" i="2"/>
  <c r="B16193" i="2"/>
  <c r="B21708" i="2"/>
  <c r="B1100" i="2"/>
  <c r="B12309" i="2"/>
  <c r="B13310" i="2"/>
  <c r="B6433" i="2"/>
  <c r="B28443" i="2"/>
  <c r="B28096" i="2"/>
  <c r="B9049" i="2"/>
  <c r="B15227" i="2"/>
  <c r="B9571" i="2"/>
  <c r="B12972" i="2"/>
  <c r="B21386" i="2"/>
  <c r="B35764" i="2"/>
  <c r="B24024" i="2"/>
  <c r="B4071" i="2"/>
  <c r="B15843" i="2"/>
  <c r="B15498" i="2"/>
  <c r="B6854" i="2"/>
  <c r="B12141" i="2"/>
  <c r="B24672" i="2"/>
  <c r="B7221" i="2"/>
  <c r="B2604" i="2"/>
  <c r="B19327" i="2"/>
  <c r="B6881" i="2"/>
  <c r="B33653" i="2"/>
  <c r="B22612" i="2"/>
  <c r="B28445" i="2"/>
  <c r="B21089" i="2"/>
  <c r="B32065" i="2"/>
  <c r="B24784" i="2"/>
  <c r="B3878" i="2"/>
  <c r="B8242" i="2"/>
  <c r="B31976" i="2"/>
  <c r="B20758" i="2"/>
  <c r="B15679" i="2"/>
  <c r="B26623" i="2"/>
  <c r="B17109" i="2"/>
  <c r="B1674" i="2"/>
  <c r="B5853" i="2"/>
  <c r="B5872" i="2"/>
  <c r="B19923" i="2"/>
  <c r="B22083" i="2"/>
  <c r="B33576" i="2"/>
  <c r="B8877" i="2"/>
  <c r="B14518" i="2"/>
  <c r="B25689" i="2"/>
  <c r="B9078" i="2"/>
  <c r="B33532" i="2"/>
  <c r="B533" i="2"/>
  <c r="B23910" i="2"/>
  <c r="B35074" i="2"/>
  <c r="B6367" i="2"/>
  <c r="B15742" i="2"/>
  <c r="B35429" i="2"/>
  <c r="B16322" i="2"/>
  <c r="B6505" i="2"/>
  <c r="B7109" i="2"/>
  <c r="B3125" i="2"/>
  <c r="B31916" i="2"/>
  <c r="B2929" i="2"/>
  <c r="B136" i="2"/>
  <c r="B6286" i="2"/>
  <c r="B9585" i="2"/>
  <c r="B15599" i="2"/>
  <c r="B9072" i="2"/>
  <c r="B35457" i="2"/>
  <c r="B1418" i="2"/>
  <c r="B33985" i="2"/>
  <c r="B11695" i="2"/>
  <c r="B6182" i="2"/>
  <c r="B20772" i="2"/>
  <c r="B22117" i="2"/>
  <c r="B26306" i="2"/>
  <c r="B26844" i="2"/>
  <c r="B7483" i="2"/>
  <c r="B26685" i="2"/>
  <c r="B4511" i="2"/>
  <c r="B15408" i="2"/>
  <c r="B5686" i="2"/>
  <c r="B8667" i="2"/>
  <c r="B13260" i="2"/>
  <c r="B29834" i="2"/>
  <c r="B4516" i="2"/>
  <c r="B26298" i="2"/>
  <c r="B32332" i="2"/>
  <c r="B9337" i="2"/>
  <c r="B26421" i="2"/>
  <c r="B26808" i="2"/>
  <c r="B6111" i="2"/>
  <c r="B11331" i="2"/>
  <c r="B30934" i="2"/>
  <c r="B15847" i="2"/>
  <c r="B28231" i="2"/>
  <c r="B7948" i="2"/>
  <c r="B20972" i="2"/>
  <c r="B35434" i="2"/>
  <c r="B22199" i="2"/>
  <c r="B7949" i="2"/>
  <c r="B15926" i="2"/>
  <c r="B15095" i="2"/>
  <c r="B1770" i="2"/>
  <c r="B29503" i="2"/>
  <c r="B25804" i="2"/>
  <c r="B11940" i="2"/>
  <c r="B26464" i="2"/>
  <c r="B21862" i="2"/>
  <c r="B13524" i="2"/>
  <c r="B24119" i="2"/>
  <c r="B8598" i="2"/>
  <c r="B10072" i="2"/>
  <c r="B15927" i="2"/>
  <c r="B35863" i="2"/>
  <c r="B5950" i="2"/>
  <c r="B28308" i="2"/>
  <c r="B7160" i="2"/>
  <c r="B9651" i="2"/>
  <c r="B9591" i="2"/>
  <c r="B1345" i="2"/>
  <c r="B21747" i="2"/>
  <c r="B14448" i="2"/>
  <c r="B11381" i="2"/>
  <c r="B1154" i="2"/>
  <c r="B15912" i="2"/>
  <c r="B2907" i="2"/>
  <c r="B6612" i="2"/>
  <c r="B9576" i="2"/>
  <c r="B10695" i="2"/>
  <c r="B18539" i="2"/>
  <c r="B34896" i="2"/>
  <c r="B24974" i="2"/>
  <c r="B35431" i="2"/>
  <c r="B25954" i="2"/>
  <c r="B21644" i="2"/>
  <c r="B26931" i="2"/>
  <c r="B27144" i="2"/>
  <c r="B14087" i="2"/>
  <c r="B20945" i="2"/>
  <c r="B1984" i="2"/>
  <c r="B14889" i="2"/>
  <c r="B3622" i="2"/>
  <c r="B8860" i="2"/>
  <c r="B6093" i="2"/>
  <c r="B8328" i="2"/>
  <c r="B8596" i="2"/>
  <c r="B34656" i="2"/>
  <c r="B35216" i="2"/>
  <c r="B7677" i="2"/>
  <c r="B23342" i="2"/>
  <c r="B14236" i="2"/>
  <c r="B7891" i="2"/>
  <c r="B30384" i="2"/>
  <c r="B8118" i="2"/>
  <c r="B26437" i="2"/>
  <c r="B14401" i="2"/>
  <c r="B33116" i="2"/>
  <c r="B8557" i="2"/>
  <c r="B5812" i="2"/>
  <c r="B15690" i="2"/>
  <c r="B16841" i="2"/>
  <c r="B11893" i="2"/>
  <c r="B27704" i="2"/>
  <c r="B31407" i="2"/>
  <c r="B21867" i="2"/>
  <c r="B12173" i="2"/>
  <c r="B35057" i="2"/>
  <c r="B17626" i="2"/>
  <c r="B10101" i="2"/>
  <c r="B16695" i="2"/>
  <c r="B15625" i="2"/>
  <c r="B17683" i="2"/>
  <c r="B25558" i="2"/>
  <c r="B9148" i="2"/>
  <c r="B25066" i="2"/>
  <c r="B24355" i="2"/>
  <c r="B7632" i="2"/>
  <c r="B9327" i="2"/>
  <c r="B26328" i="2"/>
  <c r="B27114" i="2"/>
  <c r="B9718" i="2"/>
  <c r="B23695" i="2"/>
  <c r="B20207" i="2"/>
  <c r="B10434" i="2"/>
  <c r="B15816" i="2"/>
  <c r="B3085" i="2"/>
  <c r="B31293" i="2"/>
  <c r="B15621" i="2"/>
  <c r="B29475" i="2"/>
  <c r="B15424" i="2"/>
  <c r="B11787" i="2"/>
  <c r="B30416" i="2"/>
  <c r="B8535" i="2"/>
  <c r="B3527" i="2"/>
  <c r="B4616" i="2"/>
  <c r="B17587" i="2"/>
  <c r="B15722" i="2"/>
  <c r="B3440" i="2"/>
  <c r="B23480" i="2"/>
  <c r="B8414" i="2"/>
  <c r="B30358" i="2"/>
  <c r="B28106" i="2"/>
  <c r="B25750" i="2"/>
  <c r="B5316" i="2"/>
  <c r="B9190" i="2"/>
  <c r="B17895" i="2"/>
  <c r="B24727" i="2"/>
  <c r="B16504" i="2"/>
  <c r="B15594" i="2"/>
  <c r="B19711" i="2"/>
  <c r="B33452" i="2"/>
  <c r="B7002" i="2"/>
  <c r="B16958" i="2"/>
  <c r="B17527" i="2"/>
  <c r="B22468" i="2"/>
  <c r="B14559" i="2"/>
  <c r="B14794" i="2"/>
  <c r="B9749" i="2"/>
  <c r="B9827" i="2"/>
  <c r="B20411" i="2"/>
  <c r="B33725" i="2"/>
  <c r="B21445" i="2"/>
  <c r="B13107" i="2"/>
  <c r="B32056" i="2"/>
  <c r="B1290" i="2"/>
  <c r="B19849" i="2"/>
  <c r="B27359" i="2"/>
  <c r="B34499" i="2"/>
  <c r="B28115" i="2"/>
  <c r="B29077" i="2"/>
  <c r="B10563" i="2"/>
  <c r="B13878" i="2"/>
  <c r="B8689" i="2"/>
  <c r="B30271" i="2"/>
  <c r="B11942" i="2"/>
  <c r="B33384" i="2"/>
  <c r="B10244" i="2"/>
  <c r="B32255" i="2"/>
  <c r="B25704" i="2"/>
  <c r="B4731" i="2"/>
  <c r="B3545" i="2"/>
  <c r="B28143" i="2"/>
  <c r="B25061" i="2"/>
  <c r="B1619" i="2"/>
  <c r="B1095" i="2"/>
  <c r="B9463" i="2"/>
  <c r="B29781" i="2"/>
  <c r="B1798" i="2"/>
  <c r="B26915" i="2"/>
  <c r="B17663" i="2"/>
  <c r="B16630" i="2"/>
  <c r="B10793" i="2"/>
  <c r="B12126" i="2"/>
  <c r="B20432" i="2"/>
  <c r="B12089" i="2"/>
  <c r="B25870" i="2"/>
  <c r="B12478" i="2"/>
  <c r="B28388" i="2"/>
  <c r="B31666" i="2"/>
  <c r="B33690" i="2"/>
  <c r="B21804" i="2"/>
  <c r="B19134" i="2"/>
  <c r="B2726" i="2"/>
  <c r="B29631" i="2"/>
  <c r="B9439" i="2"/>
  <c r="B7624" i="2"/>
  <c r="B31943" i="2"/>
  <c r="B8394" i="2"/>
  <c r="B23700" i="2"/>
  <c r="B34859" i="2"/>
  <c r="B15442" i="2"/>
  <c r="B13141" i="2"/>
  <c r="B29532" i="2"/>
  <c r="B11159" i="2"/>
  <c r="B28607" i="2"/>
  <c r="B22886" i="2"/>
  <c r="B24891" i="2"/>
  <c r="B26093" i="2"/>
  <c r="B32659" i="2"/>
  <c r="B28438" i="2"/>
  <c r="B26586" i="2"/>
  <c r="B15785" i="2"/>
  <c r="B35789" i="2"/>
  <c r="B4894" i="2"/>
  <c r="B20906" i="2"/>
  <c r="B34830" i="2"/>
  <c r="B8982" i="2"/>
  <c r="B12870" i="2"/>
  <c r="B14256" i="2"/>
  <c r="B35661" i="2"/>
  <c r="B357" i="2"/>
  <c r="B27531" i="2"/>
  <c r="B8525" i="2"/>
  <c r="B26303" i="2"/>
  <c r="B20840" i="2"/>
  <c r="B15772" i="2"/>
  <c r="B19684" i="2"/>
  <c r="B1649" i="2"/>
  <c r="B25314" i="2"/>
  <c r="B4481" i="2"/>
  <c r="B33915" i="2"/>
  <c r="B29026" i="2"/>
  <c r="B9795" i="2"/>
  <c r="B16170" i="2"/>
  <c r="B34307" i="2"/>
  <c r="B10602" i="2"/>
  <c r="B33939" i="2"/>
  <c r="B19825" i="2"/>
  <c r="B22334" i="2"/>
  <c r="B27408" i="2"/>
  <c r="B6633" i="2"/>
  <c r="B34904" i="2"/>
  <c r="B14506" i="2"/>
  <c r="B20876" i="2"/>
  <c r="B32663" i="2"/>
  <c r="B14699" i="2"/>
  <c r="B5209" i="2"/>
  <c r="B2742" i="2"/>
  <c r="B13290" i="2"/>
  <c r="B35246" i="2"/>
  <c r="B25891" i="2"/>
  <c r="B20616" i="2"/>
  <c r="B33034" i="2"/>
  <c r="B24867" i="2"/>
  <c r="B11140" i="2"/>
  <c r="B4279" i="2"/>
  <c r="B12074" i="2"/>
  <c r="B26459" i="2"/>
  <c r="B32353" i="2"/>
  <c r="B11726" i="2"/>
  <c r="B18145" i="2"/>
  <c r="B1959" i="2"/>
  <c r="B8752" i="2"/>
  <c r="B34783" i="2"/>
  <c r="B10133" i="2"/>
  <c r="B24676" i="2"/>
  <c r="B14837" i="2"/>
  <c r="B32772" i="2"/>
  <c r="B31967" i="2"/>
  <c r="B19499" i="2"/>
  <c r="B5528" i="2"/>
  <c r="B28236" i="2"/>
  <c r="B34480" i="2"/>
  <c r="B33523" i="2"/>
  <c r="B26057" i="2"/>
  <c r="B660" i="2"/>
  <c r="B11096" i="2"/>
  <c r="B27296" i="2"/>
  <c r="B31503" i="2"/>
  <c r="B651" i="2"/>
  <c r="B18633" i="2"/>
  <c r="B27676" i="2"/>
  <c r="B32480" i="2"/>
  <c r="B25871" i="2"/>
  <c r="B34625" i="2"/>
  <c r="B15004" i="2"/>
  <c r="B25333" i="2"/>
  <c r="B25698" i="2"/>
  <c r="B8691" i="2"/>
  <c r="B6145" i="2"/>
  <c r="B4080" i="2"/>
  <c r="B26517" i="2"/>
  <c r="B22340" i="2"/>
  <c r="B3822" i="2"/>
  <c r="B27082" i="2"/>
  <c r="B5163" i="2"/>
  <c r="B16569" i="2"/>
  <c r="B5532" i="2"/>
  <c r="B14159" i="2"/>
  <c r="B2818" i="2"/>
  <c r="B7070" i="2"/>
  <c r="B20559" i="2"/>
  <c r="B34923" i="2"/>
  <c r="B12945" i="2"/>
  <c r="B5047" i="2"/>
  <c r="B32453" i="2"/>
  <c r="B4157" i="2"/>
  <c r="B8288" i="2"/>
  <c r="B26803" i="2"/>
  <c r="B10055" i="2"/>
  <c r="B1983" i="2"/>
  <c r="B10394" i="2"/>
  <c r="B34978" i="2"/>
  <c r="B19416" i="2"/>
  <c r="B34502" i="2"/>
  <c r="B3716" i="2"/>
  <c r="B4804" i="2"/>
  <c r="B23985" i="2"/>
  <c r="B3054" i="2"/>
  <c r="B23888" i="2"/>
  <c r="B31455" i="2"/>
  <c r="B2814" i="2"/>
  <c r="B25149" i="2"/>
  <c r="B24759" i="2"/>
  <c r="B35097" i="2"/>
  <c r="B20451" i="2"/>
  <c r="B19066" i="2"/>
  <c r="B12277" i="2"/>
  <c r="B30965" i="2"/>
  <c r="B26902" i="2"/>
  <c r="B30331" i="2"/>
  <c r="B29419" i="2"/>
  <c r="B9867" i="2"/>
  <c r="B16490" i="2"/>
  <c r="B1787" i="2"/>
  <c r="B3626" i="2"/>
  <c r="B5344" i="2"/>
  <c r="B29613" i="2"/>
  <c r="B8461" i="2"/>
  <c r="B13269" i="2"/>
  <c r="B35366" i="2"/>
  <c r="B27206" i="2"/>
  <c r="B1763" i="2"/>
  <c r="B16876" i="2"/>
  <c r="B13381" i="2"/>
  <c r="B15349" i="2"/>
  <c r="B7849" i="2"/>
  <c r="B19554" i="2"/>
  <c r="B4284" i="2"/>
  <c r="B10920" i="2"/>
  <c r="B20217" i="2"/>
  <c r="B29476" i="2"/>
  <c r="B2888" i="2"/>
  <c r="B4786" i="2"/>
  <c r="B26189" i="2"/>
  <c r="B23688" i="2"/>
  <c r="B20871" i="2"/>
  <c r="B15994" i="2"/>
  <c r="B32683" i="2"/>
  <c r="B7296" i="2"/>
  <c r="B23702" i="2"/>
  <c r="B19565" i="2"/>
  <c r="B8624" i="2"/>
  <c r="B30713" i="2"/>
  <c r="B34604" i="2"/>
  <c r="B8011" i="2"/>
  <c r="B4303" i="2"/>
  <c r="B15951" i="2"/>
  <c r="B19051" i="2"/>
  <c r="B27234" i="2"/>
  <c r="B34056" i="2"/>
  <c r="B35553" i="2"/>
  <c r="B35746" i="2"/>
  <c r="B11784" i="2"/>
  <c r="B10677" i="2"/>
  <c r="B32577" i="2"/>
  <c r="B25035" i="2"/>
  <c r="B226" i="2"/>
  <c r="B8496" i="2"/>
  <c r="B8068" i="2"/>
  <c r="B2354" i="2"/>
  <c r="B35259" i="2"/>
  <c r="B12828" i="2"/>
  <c r="B31585" i="2"/>
  <c r="B27105" i="2"/>
  <c r="B29903" i="2"/>
  <c r="B28036" i="2"/>
  <c r="B24207" i="2"/>
  <c r="B20882" i="2"/>
  <c r="B22066" i="2"/>
  <c r="B29544" i="2"/>
  <c r="B24460" i="2"/>
  <c r="B18732" i="2"/>
  <c r="B24524" i="2"/>
  <c r="B24628" i="2"/>
  <c r="B4643" i="2"/>
  <c r="B11201" i="2"/>
  <c r="B13927" i="2"/>
  <c r="B7250" i="2"/>
  <c r="B3992" i="2"/>
  <c r="B2991" i="2"/>
  <c r="B14758" i="2"/>
  <c r="B28749" i="2"/>
  <c r="B27960" i="2"/>
  <c r="B22597" i="2"/>
  <c r="B8765" i="2"/>
  <c r="B32678" i="2"/>
  <c r="B34100" i="2"/>
  <c r="B29511" i="2"/>
  <c r="B23036" i="2"/>
  <c r="B8887" i="2"/>
  <c r="B8217" i="2"/>
  <c r="B28337" i="2"/>
  <c r="B18219" i="2"/>
  <c r="B6443" i="2"/>
  <c r="B35289" i="2"/>
  <c r="B31744" i="2"/>
  <c r="B30961" i="2"/>
  <c r="B26929" i="2"/>
  <c r="B20937" i="2"/>
  <c r="B26124" i="2"/>
  <c r="B4324" i="2"/>
  <c r="B31162" i="2"/>
  <c r="B15992" i="2"/>
  <c r="B20116" i="2"/>
  <c r="B31157" i="2"/>
  <c r="B9407" i="2"/>
  <c r="B4782" i="2"/>
  <c r="B29300" i="2"/>
  <c r="B21853" i="2"/>
  <c r="B24249" i="2"/>
  <c r="B8826" i="2"/>
  <c r="B17456" i="2"/>
  <c r="B15528" i="2"/>
  <c r="B14675" i="2"/>
  <c r="B7846" i="2"/>
  <c r="B11179" i="2"/>
  <c r="B8541" i="2"/>
  <c r="B18355" i="2"/>
  <c r="B13253" i="2"/>
  <c r="B32170" i="2"/>
  <c r="B8098" i="2"/>
  <c r="B22940" i="2"/>
  <c r="B9167" i="2"/>
  <c r="B2547" i="2"/>
  <c r="B24785" i="2"/>
  <c r="B11141" i="2"/>
  <c r="B6466" i="2"/>
  <c r="B10759" i="2"/>
  <c r="B32715" i="2"/>
  <c r="B665" i="2"/>
  <c r="B8621" i="2"/>
  <c r="B18709" i="2"/>
  <c r="B6260" i="2"/>
  <c r="B15434" i="2"/>
  <c r="B32653" i="2"/>
  <c r="B33810" i="2"/>
  <c r="B22606" i="2"/>
  <c r="B8845" i="2"/>
  <c r="B17992" i="2"/>
  <c r="B31282" i="2"/>
  <c r="B13903" i="2"/>
  <c r="B31239" i="2"/>
  <c r="B13109" i="2"/>
  <c r="B20466" i="2"/>
  <c r="B7450" i="2"/>
  <c r="B1359" i="2"/>
  <c r="B21387" i="2"/>
  <c r="B572" i="2"/>
  <c r="B15516" i="2"/>
  <c r="B22775" i="2"/>
  <c r="B3824" i="2"/>
  <c r="B25866" i="2"/>
  <c r="B33444" i="2"/>
  <c r="B7243" i="2"/>
  <c r="B15892" i="2"/>
  <c r="B14318" i="2"/>
  <c r="B24436" i="2"/>
  <c r="B12552" i="2"/>
  <c r="B14659" i="2"/>
  <c r="B462" i="2"/>
  <c r="B26350" i="2"/>
  <c r="B6613" i="2"/>
  <c r="B35605" i="2"/>
  <c r="B27164" i="2"/>
  <c r="B27637" i="2"/>
  <c r="B9753" i="2"/>
  <c r="B13219" i="2"/>
  <c r="B28746" i="2"/>
  <c r="B6390" i="2"/>
  <c r="B28832" i="2"/>
  <c r="B35373" i="2"/>
  <c r="B5685" i="2"/>
  <c r="B32661" i="2"/>
  <c r="B4234" i="2"/>
  <c r="B25896" i="2"/>
  <c r="B19888" i="2"/>
  <c r="B7448" i="2"/>
  <c r="B22892" i="2"/>
  <c r="B19831" i="2"/>
  <c r="B27245" i="2"/>
  <c r="B16686" i="2"/>
  <c r="B31272" i="2"/>
  <c r="B11828" i="2"/>
  <c r="B9223" i="2"/>
  <c r="B5328" i="2"/>
  <c r="B23963" i="2"/>
  <c r="B24921" i="2"/>
  <c r="B19737" i="2"/>
  <c r="B26036" i="2"/>
  <c r="B30259" i="2"/>
  <c r="B26139" i="2"/>
  <c r="B20850" i="2"/>
  <c r="B15741" i="2"/>
  <c r="B20360" i="2"/>
  <c r="B16851" i="2"/>
  <c r="B10692" i="2"/>
  <c r="B8387" i="2"/>
  <c r="B16083" i="2"/>
  <c r="B34873" i="2"/>
  <c r="B1632" i="2"/>
  <c r="B18731" i="2"/>
  <c r="B19984" i="2"/>
  <c r="B27529" i="2"/>
  <c r="B19880" i="2"/>
  <c r="B31340" i="2"/>
  <c r="B24493" i="2"/>
  <c r="B33701" i="2"/>
  <c r="B6524" i="2"/>
  <c r="B30593" i="2"/>
  <c r="B18077" i="2"/>
  <c r="B26621" i="2"/>
  <c r="B6235" i="2"/>
  <c r="B36318" i="2"/>
  <c r="B31567" i="2"/>
  <c r="B10290" i="2"/>
  <c r="B2791" i="2"/>
  <c r="B5502" i="2"/>
  <c r="B9069" i="2"/>
  <c r="B6667" i="2"/>
  <c r="B33418" i="2"/>
  <c r="B19674" i="2"/>
  <c r="B16917" i="2"/>
  <c r="B78" i="2"/>
  <c r="B28870" i="2"/>
  <c r="B810" i="2"/>
  <c r="B19270" i="2"/>
  <c r="B34986" i="2"/>
  <c r="B21533" i="2"/>
  <c r="B20893" i="2"/>
  <c r="B27718" i="2"/>
  <c r="B33011" i="2"/>
  <c r="B31506" i="2"/>
  <c r="B6696" i="2"/>
  <c r="B2815" i="2"/>
  <c r="B5392" i="2"/>
  <c r="B35183" i="2"/>
  <c r="B10158" i="2"/>
  <c r="B2257" i="2"/>
  <c r="B34503" i="2"/>
  <c r="B13455" i="2"/>
  <c r="B16206" i="2"/>
  <c r="B30148" i="2"/>
  <c r="B5618" i="2"/>
  <c r="B28165" i="2"/>
  <c r="B33579" i="2"/>
  <c r="B14789" i="2"/>
  <c r="B7157" i="2"/>
  <c r="B8088" i="2"/>
  <c r="B8417" i="2"/>
  <c r="B26309" i="2"/>
  <c r="B26869" i="2"/>
  <c r="B23133" i="2"/>
  <c r="B35801" i="2"/>
  <c r="B14166" i="2"/>
  <c r="B13686" i="2"/>
  <c r="B17568" i="2"/>
  <c r="B22706" i="2"/>
  <c r="B20457" i="2"/>
  <c r="B21114" i="2"/>
  <c r="B9586" i="2"/>
  <c r="B21709" i="2"/>
  <c r="B3951" i="2"/>
  <c r="B27641" i="2"/>
  <c r="B10461" i="2"/>
  <c r="B12151" i="2"/>
  <c r="B2578" i="2"/>
  <c r="B5446" i="2"/>
  <c r="B29447" i="2"/>
  <c r="B24689" i="2"/>
  <c r="B4462" i="2"/>
  <c r="B25359" i="2"/>
  <c r="B31748" i="2"/>
  <c r="B35298" i="2"/>
  <c r="B35866" i="2"/>
  <c r="B34894" i="2"/>
  <c r="B30058" i="2"/>
  <c r="B29704" i="2"/>
  <c r="B3496" i="2"/>
  <c r="B29941" i="2"/>
  <c r="B34767" i="2"/>
  <c r="B30354" i="2"/>
  <c r="B24153" i="2"/>
  <c r="B33598" i="2"/>
  <c r="B3925" i="2"/>
  <c r="B6724" i="2"/>
  <c r="B3009" i="2"/>
  <c r="B12956" i="2"/>
  <c r="B20914" i="2"/>
  <c r="B25518" i="2"/>
  <c r="B22439" i="2"/>
  <c r="B26686" i="2"/>
  <c r="B13047" i="2"/>
  <c r="B5026" i="2"/>
  <c r="B15990" i="2"/>
  <c r="B5725" i="2"/>
  <c r="B29669" i="2"/>
  <c r="B31222" i="2"/>
  <c r="B34398" i="2"/>
  <c r="B35884" i="2"/>
  <c r="B14755" i="2"/>
  <c r="B33546" i="2"/>
  <c r="B16675" i="2"/>
  <c r="B32834" i="2"/>
  <c r="B18074" i="2"/>
  <c r="B25830" i="2"/>
  <c r="B7981" i="2"/>
  <c r="B26397" i="2"/>
  <c r="B22204" i="2"/>
  <c r="B5699" i="2"/>
  <c r="B695" i="2"/>
  <c r="B32003" i="2"/>
  <c r="B5161" i="2"/>
  <c r="B22441" i="2"/>
  <c r="B21038" i="2"/>
  <c r="B19515" i="2"/>
  <c r="B29542" i="2"/>
  <c r="B29461" i="2"/>
  <c r="B22970" i="2"/>
  <c r="B18443" i="2"/>
  <c r="B4302" i="2"/>
  <c r="B35247" i="2"/>
  <c r="B738" i="2"/>
  <c r="B1153" i="2"/>
  <c r="B13791" i="2"/>
  <c r="B23021" i="2"/>
  <c r="B10149" i="2"/>
  <c r="B370" i="2"/>
  <c r="B27350" i="2"/>
  <c r="B8437" i="2"/>
  <c r="B31357" i="2"/>
  <c r="B7136" i="2"/>
  <c r="B32118" i="2"/>
  <c r="B9898" i="2"/>
  <c r="B5596" i="2"/>
  <c r="B33890" i="2"/>
  <c r="B22523" i="2"/>
  <c r="B23478" i="2"/>
  <c r="B6695" i="2"/>
  <c r="B21904" i="2"/>
  <c r="B1227" i="2"/>
  <c r="B34601" i="2"/>
  <c r="B6424" i="2"/>
  <c r="B28991" i="2"/>
  <c r="B8704" i="2"/>
  <c r="B20910" i="2"/>
  <c r="B5866" i="2"/>
  <c r="B20787" i="2"/>
  <c r="B880" i="2"/>
  <c r="B32926" i="2"/>
  <c r="B24975" i="2"/>
  <c r="B29187" i="2"/>
  <c r="B21482" i="2"/>
  <c r="B18723" i="2"/>
  <c r="B1221" i="2"/>
  <c r="B5089" i="2"/>
  <c r="B2650" i="2"/>
  <c r="B24820" i="2"/>
  <c r="B35268" i="2"/>
  <c r="B12835" i="2"/>
  <c r="B31210" i="2"/>
  <c r="B33216" i="2"/>
  <c r="B8150" i="2"/>
  <c r="B3024" i="2"/>
  <c r="B21572" i="2"/>
  <c r="B404" i="2"/>
  <c r="B28228" i="2"/>
  <c r="B4420" i="2"/>
  <c r="B23542" i="2"/>
  <c r="B35083" i="2"/>
  <c r="B18227" i="2"/>
  <c r="B3997" i="2"/>
  <c r="B8021" i="2"/>
  <c r="B22457" i="2"/>
  <c r="B33359" i="2"/>
  <c r="B9012" i="2"/>
  <c r="B6435" i="2"/>
  <c r="B21242" i="2"/>
  <c r="B7702" i="2"/>
  <c r="B20342" i="2"/>
  <c r="B22531" i="2"/>
  <c r="B24863" i="2"/>
  <c r="B15595" i="2"/>
  <c r="B12775" i="2"/>
  <c r="B519" i="2"/>
  <c r="B10315" i="2"/>
  <c r="B22716" i="2"/>
  <c r="B10771" i="2"/>
  <c r="B33053" i="2"/>
  <c r="B31020" i="2"/>
  <c r="B9976" i="2"/>
  <c r="B22241" i="2"/>
  <c r="B11970" i="2"/>
  <c r="B290" i="2"/>
  <c r="B5904" i="2"/>
  <c r="B32105" i="2"/>
  <c r="B29427" i="2"/>
  <c r="B21820" i="2"/>
  <c r="B30538" i="2"/>
  <c r="B4679" i="2"/>
  <c r="B35784" i="2"/>
  <c r="B642" i="2"/>
  <c r="B31735" i="2"/>
  <c r="B27522" i="2"/>
  <c r="B20590" i="2"/>
  <c r="B18770" i="2"/>
  <c r="B15509" i="2"/>
  <c r="B24171" i="2"/>
  <c r="B31934" i="2"/>
  <c r="B10624" i="2"/>
  <c r="B5858" i="2"/>
  <c r="B34719" i="2"/>
  <c r="B13604" i="2"/>
  <c r="B27249" i="2"/>
  <c r="B12339" i="2"/>
  <c r="B34238" i="2"/>
  <c r="B13556" i="2"/>
  <c r="B30484" i="2"/>
  <c r="B11957" i="2"/>
  <c r="B1530" i="2"/>
  <c r="B6657" i="2"/>
  <c r="B20456" i="2"/>
  <c r="B14105" i="2"/>
  <c r="B27253" i="2"/>
  <c r="B7930" i="2"/>
  <c r="B3262" i="2"/>
  <c r="B14184" i="2"/>
  <c r="B3987" i="2"/>
  <c r="B1024" i="2"/>
  <c r="B10877" i="2"/>
  <c r="B3944" i="2"/>
  <c r="B20905" i="2"/>
  <c r="B32928" i="2"/>
  <c r="B8033" i="2"/>
  <c r="B29397" i="2"/>
  <c r="B22493" i="2"/>
  <c r="B14052" i="2"/>
  <c r="B32160" i="2"/>
  <c r="B10466" i="2"/>
  <c r="B8602" i="2"/>
  <c r="B13235" i="2"/>
  <c r="B32037" i="2"/>
  <c r="B6448" i="2"/>
  <c r="B3330" i="2"/>
  <c r="B6454" i="2"/>
  <c r="B13500" i="2"/>
  <c r="B583" i="2"/>
  <c r="B27720" i="2"/>
  <c r="B31690" i="2"/>
  <c r="B18187" i="2"/>
  <c r="B10674" i="2"/>
  <c r="B11944" i="2"/>
  <c r="B3035" i="2"/>
  <c r="B7613" i="2"/>
  <c r="B26587" i="2"/>
  <c r="B16923" i="2"/>
  <c r="B19918" i="2"/>
  <c r="B27392" i="2"/>
  <c r="B13296" i="2"/>
  <c r="B16740" i="2"/>
  <c r="B15091" i="2"/>
  <c r="B29477" i="2"/>
  <c r="B12861" i="2"/>
  <c r="B36077" i="2"/>
  <c r="B6096" i="2"/>
  <c r="B33075" i="2"/>
  <c r="B7696" i="2"/>
  <c r="B23369" i="2"/>
  <c r="B13639" i="2"/>
  <c r="B33368" i="2"/>
  <c r="B4811" i="2"/>
  <c r="B9342" i="2"/>
  <c r="B33845" i="2"/>
  <c r="B33055" i="2"/>
  <c r="B30924" i="2"/>
  <c r="B32067" i="2"/>
  <c r="B9443" i="2"/>
  <c r="B35360" i="2"/>
  <c r="B1523" i="2"/>
  <c r="B17036" i="2"/>
  <c r="B9432" i="2"/>
  <c r="B28704" i="2"/>
  <c r="B32427" i="2"/>
  <c r="B18086" i="2"/>
  <c r="B1627" i="2"/>
  <c r="B24471" i="2"/>
  <c r="B6840" i="2"/>
  <c r="B10896" i="2"/>
  <c r="B5701" i="2"/>
  <c r="B13659" i="2"/>
  <c r="B22566" i="2"/>
  <c r="B14960" i="2"/>
  <c r="B26809" i="2"/>
  <c r="B29276" i="2"/>
  <c r="B12617" i="2"/>
  <c r="B14591" i="2"/>
  <c r="B3594" i="2"/>
  <c r="B33604" i="2"/>
  <c r="B16785" i="2"/>
  <c r="B28723" i="2"/>
  <c r="B33015" i="2"/>
  <c r="B4944" i="2"/>
  <c r="B4490" i="2"/>
  <c r="B3269" i="2"/>
  <c r="B5844" i="2"/>
  <c r="B7163" i="2"/>
  <c r="B16442" i="2"/>
  <c r="B13465" i="2"/>
  <c r="B1384" i="2"/>
  <c r="B5663" i="2"/>
  <c r="B9301" i="2"/>
  <c r="B22902" i="2"/>
  <c r="B981" i="2"/>
  <c r="B5627" i="2"/>
  <c r="B30869" i="2"/>
  <c r="B14790" i="2"/>
  <c r="B9873" i="2"/>
  <c r="B28817" i="2"/>
  <c r="B2267" i="2"/>
  <c r="B30636" i="2"/>
  <c r="B6681" i="2"/>
  <c r="B7372" i="2"/>
  <c r="B5242" i="2"/>
  <c r="B24869" i="2"/>
  <c r="B11580" i="2"/>
  <c r="B15447" i="2"/>
  <c r="B240" i="2"/>
  <c r="B18012" i="2"/>
  <c r="B34437" i="2"/>
  <c r="B21906" i="2"/>
  <c r="B21313" i="2"/>
  <c r="B21768" i="2"/>
  <c r="B335" i="2"/>
  <c r="B9269" i="2"/>
  <c r="B8176" i="2"/>
  <c r="B22799" i="2"/>
  <c r="B21537" i="2"/>
  <c r="B17430" i="2"/>
  <c r="B27592" i="2"/>
  <c r="B11361" i="2"/>
  <c r="B15173" i="2"/>
  <c r="B26169" i="2"/>
  <c r="B26984" i="2"/>
  <c r="B25787" i="2"/>
  <c r="B20817" i="2"/>
  <c r="B27885" i="2"/>
  <c r="B24184" i="2"/>
  <c r="B20089" i="2"/>
  <c r="B22134" i="2"/>
  <c r="B21327" i="2"/>
  <c r="B9787" i="2"/>
  <c r="B24322" i="2"/>
  <c r="B34075" i="2"/>
  <c r="B34333" i="2"/>
  <c r="B12654" i="2"/>
  <c r="B10382" i="2"/>
  <c r="B33340" i="2"/>
  <c r="B13192" i="2"/>
  <c r="B15743" i="2"/>
  <c r="B26180" i="2"/>
  <c r="B19764" i="2"/>
  <c r="B32713" i="2"/>
  <c r="B8645" i="2"/>
  <c r="B36044" i="2"/>
  <c r="B23154" i="2"/>
  <c r="B4135" i="2"/>
  <c r="B2227" i="2"/>
  <c r="B25214" i="2"/>
  <c r="B32702" i="2"/>
  <c r="B18262" i="2"/>
  <c r="B8205" i="2"/>
  <c r="B9991" i="2"/>
  <c r="B31841" i="2"/>
  <c r="B7042" i="2"/>
  <c r="B16800" i="2"/>
  <c r="B21090" i="2"/>
  <c r="B18854" i="2"/>
  <c r="B21624" i="2"/>
  <c r="B10129" i="2"/>
  <c r="B13420" i="2"/>
  <c r="B29201" i="2"/>
  <c r="B15030" i="2"/>
  <c r="B4300" i="2"/>
  <c r="B6932" i="2"/>
  <c r="B33990" i="2"/>
  <c r="B2472" i="2"/>
  <c r="B32495" i="2"/>
  <c r="B14791" i="2"/>
  <c r="B4207" i="2"/>
  <c r="B20179" i="2"/>
  <c r="B32554" i="2"/>
  <c r="B2115" i="2"/>
  <c r="B13835" i="2"/>
  <c r="B25316" i="2"/>
  <c r="B30008" i="2"/>
  <c r="B15701" i="2"/>
  <c r="B7490" i="2"/>
  <c r="B100" i="2"/>
  <c r="B14692" i="2"/>
  <c r="B9171" i="2"/>
  <c r="B30667" i="2"/>
  <c r="B19361" i="2"/>
  <c r="B19150" i="2"/>
  <c r="B3666" i="2"/>
  <c r="B14986" i="2"/>
  <c r="B11872" i="2"/>
  <c r="B31784" i="2"/>
  <c r="B107" i="2"/>
  <c r="B29576" i="2"/>
  <c r="B32049" i="2"/>
  <c r="B19389" i="2"/>
  <c r="B13999" i="2"/>
  <c r="B31702" i="2"/>
  <c r="B1764" i="2"/>
  <c r="B10806" i="2"/>
  <c r="B9747" i="2"/>
  <c r="B30571" i="2"/>
  <c r="B2374" i="2"/>
  <c r="B12155" i="2"/>
  <c r="B16832" i="2"/>
  <c r="B32825" i="2"/>
  <c r="B35033" i="2"/>
  <c r="B10731" i="2"/>
  <c r="B11687" i="2"/>
  <c r="B3374" i="2"/>
  <c r="B34761" i="2"/>
  <c r="B8475" i="2"/>
  <c r="B11369" i="2"/>
  <c r="B1868" i="2"/>
  <c r="B31786" i="2"/>
  <c r="B32864" i="2"/>
  <c r="B10503" i="2"/>
  <c r="B1741" i="2"/>
  <c r="B5540" i="2"/>
  <c r="B32046" i="2"/>
  <c r="B33035" i="2"/>
  <c r="B5428" i="2"/>
  <c r="B19362" i="2"/>
  <c r="B15471" i="2"/>
  <c r="B151" i="2"/>
  <c r="B33809" i="2"/>
  <c r="B22447" i="2"/>
  <c r="B18883" i="2"/>
  <c r="B30871" i="2"/>
  <c r="B1560" i="2"/>
  <c r="B18875" i="2"/>
  <c r="B32504" i="2"/>
  <c r="B22231" i="2"/>
  <c r="B260" i="2"/>
  <c r="B32700" i="2"/>
  <c r="B35521" i="2"/>
  <c r="B28129" i="2"/>
  <c r="B26941" i="2"/>
  <c r="B4353" i="2"/>
  <c r="B15411" i="2"/>
  <c r="B25571" i="2"/>
  <c r="B15069" i="2"/>
  <c r="B237" i="2"/>
  <c r="B34833" i="2"/>
  <c r="B2426" i="2"/>
  <c r="B20035" i="2"/>
  <c r="B23992" i="2"/>
  <c r="B23649" i="2"/>
  <c r="B29890" i="2"/>
  <c r="B7763" i="2"/>
  <c r="B16808" i="2"/>
  <c r="B10325" i="2"/>
  <c r="B17628" i="2"/>
  <c r="B29237" i="2"/>
  <c r="B3882" i="2"/>
  <c r="B1808" i="2"/>
  <c r="B23699" i="2"/>
  <c r="B26085" i="2"/>
  <c r="B33077" i="2"/>
  <c r="B24410" i="2"/>
  <c r="B9399" i="2"/>
  <c r="B33090" i="2"/>
  <c r="B18564" i="2"/>
  <c r="B18956" i="2"/>
  <c r="B25534" i="2"/>
  <c r="B20487" i="2"/>
  <c r="B4196" i="2"/>
  <c r="B16381" i="2"/>
  <c r="B3913" i="2"/>
  <c r="B29916" i="2"/>
  <c r="B15151" i="2"/>
  <c r="B25347" i="2"/>
  <c r="B28090" i="2"/>
  <c r="B26" i="2"/>
  <c r="B28221" i="2"/>
  <c r="B21587" i="2"/>
  <c r="B28083" i="2"/>
  <c r="B20446" i="2"/>
  <c r="B22594" i="2"/>
  <c r="B28093" i="2"/>
  <c r="B30793" i="2"/>
  <c r="B28334" i="2"/>
  <c r="B1714" i="2"/>
  <c r="B23834" i="2"/>
  <c r="B34198" i="2"/>
  <c r="B15201" i="2"/>
  <c r="B2041" i="2"/>
  <c r="B32048" i="2"/>
  <c r="B29314" i="2"/>
  <c r="B35101" i="2"/>
  <c r="B4795" i="2"/>
  <c r="B1759" i="2"/>
  <c r="B1894" i="2"/>
  <c r="B8250" i="2"/>
  <c r="B10974" i="2"/>
  <c r="B7302" i="2"/>
  <c r="B28835" i="2"/>
  <c r="B18541" i="2"/>
  <c r="B26991" i="2"/>
  <c r="B10091" i="2"/>
  <c r="B9524" i="2"/>
  <c r="B5576" i="2"/>
  <c r="B6117" i="2"/>
  <c r="B17802" i="2"/>
  <c r="B23759" i="2"/>
  <c r="B5893" i="2"/>
  <c r="B32211" i="2"/>
  <c r="B11350" i="2"/>
  <c r="B30506" i="2"/>
  <c r="B6431" i="2"/>
  <c r="B926" i="2"/>
  <c r="B2665" i="2"/>
  <c r="B3648" i="2"/>
  <c r="B14503" i="2"/>
  <c r="B10684" i="2"/>
  <c r="B29444" i="2"/>
  <c r="B13279" i="2"/>
  <c r="B33027" i="2"/>
  <c r="B24362" i="2"/>
  <c r="B11596" i="2"/>
  <c r="B23501" i="2"/>
  <c r="B1639" i="2"/>
  <c r="B17136" i="2"/>
  <c r="B3059" i="2"/>
  <c r="B32424" i="2"/>
  <c r="B3712" i="2"/>
  <c r="B18730" i="2"/>
  <c r="B36091" i="2"/>
  <c r="B5098" i="2"/>
  <c r="B22979" i="2"/>
  <c r="B15804" i="2"/>
  <c r="B18987" i="2"/>
  <c r="B13111" i="2"/>
  <c r="B9083" i="2"/>
  <c r="B2450" i="2"/>
  <c r="B1919" i="2"/>
  <c r="B10767" i="2"/>
  <c r="B27805" i="2"/>
  <c r="B21338" i="2"/>
  <c r="B28587" i="2"/>
  <c r="B6936" i="2"/>
  <c r="B16735" i="2"/>
  <c r="B3788" i="2"/>
  <c r="B485" i="2"/>
  <c r="B9379" i="2"/>
  <c r="B14709" i="2"/>
  <c r="B10205" i="2"/>
  <c r="B23349" i="2"/>
  <c r="B26424" i="2"/>
  <c r="B34322" i="2"/>
  <c r="B30728" i="2"/>
  <c r="B14682" i="2"/>
  <c r="B15287" i="2"/>
  <c r="B3556" i="2"/>
  <c r="B30553" i="2"/>
  <c r="B12780" i="2"/>
  <c r="B12219" i="2"/>
  <c r="B28111" i="2"/>
  <c r="B2903" i="2"/>
  <c r="B14322" i="2"/>
  <c r="B18706" i="2"/>
  <c r="B28271" i="2"/>
  <c r="B32115" i="2"/>
  <c r="B14366" i="2"/>
  <c r="B9879" i="2"/>
  <c r="B32668" i="2"/>
  <c r="B32642" i="2"/>
  <c r="B35570" i="2"/>
  <c r="B28610" i="2"/>
  <c r="B20533" i="2"/>
  <c r="B2036" i="2"/>
  <c r="B12936" i="2"/>
  <c r="B27774" i="2"/>
  <c r="B6601" i="2"/>
  <c r="B36036" i="2"/>
  <c r="B3786" i="2"/>
  <c r="B22547" i="2"/>
  <c r="B1789" i="2"/>
  <c r="B33556" i="2"/>
  <c r="B30356" i="2"/>
  <c r="B24359" i="2"/>
  <c r="B31420" i="2"/>
  <c r="B14253" i="2"/>
  <c r="B10083" i="2"/>
  <c r="B25472" i="2"/>
  <c r="B18295" i="2"/>
  <c r="B30228" i="2"/>
  <c r="B28037" i="2"/>
  <c r="B35979" i="2"/>
  <c r="B13119" i="2"/>
  <c r="B18249" i="2"/>
  <c r="B12116" i="2"/>
  <c r="B4474" i="2"/>
  <c r="B35552" i="2"/>
  <c r="B11793" i="2"/>
  <c r="B15126" i="2"/>
  <c r="B21937" i="2"/>
  <c r="B33996" i="2"/>
  <c r="B30701" i="2"/>
  <c r="B1516" i="2"/>
  <c r="B29910" i="2"/>
  <c r="B456" i="2"/>
  <c r="B15143" i="2"/>
  <c r="B35369" i="2"/>
  <c r="B34571" i="2"/>
  <c r="B22229" i="2"/>
  <c r="B12659" i="2"/>
  <c r="B10619" i="2"/>
  <c r="B26538" i="2"/>
  <c r="B4426" i="2"/>
  <c r="B18155" i="2"/>
  <c r="B2258" i="2"/>
  <c r="B18764" i="2"/>
  <c r="B26591" i="2"/>
  <c r="B30597" i="2"/>
  <c r="B12584" i="2"/>
  <c r="B27209" i="2"/>
  <c r="B14051" i="2"/>
  <c r="B21505" i="2"/>
  <c r="B33463" i="2"/>
  <c r="B20647" i="2"/>
  <c r="B15718" i="2"/>
  <c r="B21562" i="2"/>
  <c r="B14678" i="2"/>
  <c r="B3888" i="2"/>
  <c r="B21140" i="2"/>
  <c r="B23423" i="2"/>
  <c r="B18180" i="2"/>
  <c r="B23372" i="2"/>
  <c r="B10248" i="2"/>
  <c r="B26444" i="2"/>
  <c r="B24462" i="2"/>
  <c r="B25408" i="2"/>
  <c r="B13545" i="2"/>
  <c r="B27980" i="2"/>
  <c r="B30395" i="2"/>
  <c r="B11200" i="2"/>
  <c r="B17332" i="2"/>
  <c r="B1253" i="2"/>
  <c r="B17972" i="2"/>
  <c r="B31228" i="2"/>
  <c r="B18321" i="2"/>
  <c r="B30364" i="2"/>
  <c r="B34548" i="2"/>
  <c r="B33936" i="2"/>
  <c r="B34496" i="2"/>
  <c r="B29033" i="2"/>
  <c r="B34975" i="2"/>
  <c r="B35414" i="2"/>
  <c r="B33511" i="2"/>
  <c r="B28156" i="2"/>
  <c r="B29984" i="2"/>
  <c r="B35108" i="2"/>
  <c r="B9926" i="2"/>
  <c r="B30577" i="2"/>
  <c r="B5921" i="2"/>
  <c r="B7622" i="2"/>
  <c r="B26069" i="2"/>
  <c r="B6052" i="2"/>
  <c r="B6288" i="2"/>
  <c r="B34432" i="2"/>
  <c r="B21671" i="2"/>
  <c r="B30529" i="2"/>
  <c r="B5334" i="2"/>
  <c r="B9861" i="2"/>
  <c r="B1395" i="2"/>
  <c r="B18335" i="2"/>
  <c r="B33896" i="2"/>
  <c r="B1089" i="2"/>
  <c r="B35034" i="2"/>
  <c r="B13600" i="2"/>
  <c r="B31227" i="2"/>
  <c r="B22616" i="2"/>
  <c r="B28874" i="2"/>
  <c r="B3548" i="2"/>
  <c r="B29451" i="2"/>
  <c r="B24744" i="2"/>
  <c r="B16889" i="2"/>
  <c r="B4443" i="2"/>
  <c r="B28983" i="2"/>
  <c r="B16751" i="2"/>
  <c r="B13424" i="2"/>
  <c r="B2139" i="2"/>
  <c r="B14134" i="2"/>
  <c r="B22737" i="2"/>
  <c r="B11971" i="2"/>
  <c r="B19313" i="2"/>
  <c r="B33600" i="2"/>
  <c r="B23168" i="2"/>
  <c r="B29139" i="2"/>
  <c r="B8714" i="2"/>
  <c r="B31266" i="2"/>
  <c r="B30190" i="2"/>
  <c r="B21294" i="2"/>
  <c r="B26495" i="2"/>
  <c r="B35335" i="2"/>
  <c r="B31789" i="2"/>
  <c r="B21058" i="2"/>
  <c r="B16558" i="2"/>
  <c r="B748" i="2"/>
  <c r="B20296" i="2"/>
  <c r="B36331" i="2"/>
  <c r="B30163" i="2"/>
  <c r="B31636" i="2"/>
  <c r="B9635" i="2"/>
  <c r="B17761" i="2"/>
  <c r="B3631" i="2"/>
  <c r="B3524" i="2"/>
  <c r="B36014" i="2"/>
  <c r="B19297" i="2"/>
  <c r="B34589" i="2"/>
  <c r="B35166" i="2"/>
  <c r="B34089" i="2"/>
  <c r="B22640" i="2"/>
  <c r="B3525" i="2"/>
  <c r="B18081" i="2"/>
  <c r="B26273" i="2"/>
  <c r="B14359" i="2"/>
  <c r="B33482" i="2"/>
  <c r="B12076" i="2"/>
  <c r="B18445" i="2"/>
  <c r="B28199" i="2"/>
  <c r="B2309" i="2"/>
  <c r="B21273" i="2"/>
  <c r="B1118" i="2"/>
  <c r="B23009" i="2"/>
  <c r="B35178" i="2"/>
  <c r="B19800" i="2"/>
  <c r="B10868" i="2"/>
  <c r="B5330" i="2"/>
  <c r="B715" i="2"/>
  <c r="B15929" i="2"/>
  <c r="B22518" i="2"/>
  <c r="B23254" i="2"/>
  <c r="B17112" i="2"/>
  <c r="B23123" i="2"/>
  <c r="B24837" i="2"/>
  <c r="B31925" i="2"/>
  <c r="B6699" i="2"/>
  <c r="B19414" i="2"/>
  <c r="B19636" i="2"/>
  <c r="B4059" i="2"/>
  <c r="B19459" i="2"/>
  <c r="B27608" i="2"/>
  <c r="B16148" i="2"/>
  <c r="B20450" i="2"/>
  <c r="B15657" i="2"/>
  <c r="B13146" i="2"/>
  <c r="B13380" i="2"/>
  <c r="B6045" i="2"/>
  <c r="B34279" i="2"/>
  <c r="B10438" i="2"/>
  <c r="B36188" i="2"/>
  <c r="B17192" i="2"/>
  <c r="B33670" i="2"/>
  <c r="B34714" i="2"/>
  <c r="B23198" i="2"/>
  <c r="B29322" i="2"/>
  <c r="B138" i="2"/>
  <c r="B33829" i="2"/>
  <c r="B26551" i="2"/>
  <c r="B16192" i="2"/>
  <c r="B5411" i="2"/>
  <c r="B30892" i="2"/>
  <c r="B14183" i="2"/>
  <c r="B2587" i="2"/>
  <c r="B27911" i="2"/>
  <c r="B14816" i="2"/>
  <c r="B2671" i="2"/>
  <c r="B11495" i="2"/>
  <c r="B29591" i="2"/>
  <c r="B29317" i="2"/>
  <c r="B20190" i="2"/>
  <c r="B35481" i="2"/>
  <c r="B7014" i="2"/>
  <c r="B5751" i="2"/>
  <c r="B7172" i="2"/>
  <c r="B5677" i="2"/>
  <c r="B12153" i="2"/>
  <c r="B5544" i="2"/>
  <c r="B6133" i="2"/>
  <c r="B28556" i="2"/>
  <c r="B3258" i="2"/>
  <c r="B28862" i="2"/>
  <c r="B27527" i="2"/>
  <c r="B17982" i="2"/>
  <c r="B4931" i="2"/>
  <c r="B18714" i="2"/>
  <c r="B29065" i="2"/>
  <c r="B33573" i="2"/>
  <c r="B30369" i="2"/>
  <c r="B270" i="2"/>
  <c r="B29558" i="2"/>
  <c r="B31219" i="2"/>
  <c r="B1656" i="2"/>
  <c r="B30009" i="2"/>
  <c r="B11634" i="2"/>
  <c r="B22428" i="2"/>
  <c r="B29315" i="2"/>
  <c r="B32499" i="2"/>
  <c r="B81" i="2"/>
  <c r="B18802" i="2"/>
  <c r="B30001" i="2"/>
  <c r="B5402" i="2"/>
  <c r="B29878" i="2"/>
  <c r="B30174" i="2"/>
  <c r="B24858" i="2"/>
  <c r="B11477" i="2"/>
  <c r="B29567" i="2"/>
  <c r="B2172" i="2"/>
  <c r="B16214" i="2"/>
  <c r="B23999" i="2"/>
  <c r="B22512" i="2"/>
  <c r="B35616" i="2"/>
  <c r="B24518" i="2"/>
  <c r="B18426" i="2"/>
  <c r="B26951" i="2"/>
  <c r="B1992" i="2"/>
  <c r="B13286" i="2"/>
  <c r="B24971" i="2"/>
  <c r="B23770" i="2"/>
  <c r="B34087" i="2"/>
  <c r="B18939" i="2"/>
  <c r="B23556" i="2"/>
  <c r="B10999" i="2"/>
  <c r="B4540" i="2"/>
  <c r="B8371" i="2"/>
  <c r="B5783" i="2"/>
  <c r="B1895" i="2"/>
  <c r="B2319" i="2"/>
  <c r="B23772" i="2"/>
  <c r="B4915" i="2"/>
  <c r="B24770" i="2"/>
  <c r="B31289" i="2"/>
  <c r="B8209" i="2"/>
  <c r="B8477" i="2"/>
  <c r="B15971" i="2"/>
  <c r="B5971" i="2"/>
  <c r="B16016" i="2"/>
  <c r="B30720" i="2"/>
  <c r="B20934" i="2"/>
  <c r="B3538" i="2"/>
  <c r="B27870" i="2"/>
  <c r="B23862" i="2"/>
  <c r="B27729" i="2"/>
  <c r="B23604" i="2"/>
  <c r="B10818" i="2"/>
  <c r="B972" i="2"/>
  <c r="B30949" i="2"/>
  <c r="B32275" i="2"/>
  <c r="B3961" i="2"/>
  <c r="B34206" i="2"/>
  <c r="B1797" i="2"/>
  <c r="B32229" i="2"/>
  <c r="B13683" i="2"/>
  <c r="B3491" i="2"/>
  <c r="B28396" i="2"/>
  <c r="B27564" i="2"/>
  <c r="B15255" i="2"/>
  <c r="B27817" i="2"/>
  <c r="B9922" i="2"/>
  <c r="B6717" i="2"/>
  <c r="B25091" i="2"/>
  <c r="B11479" i="2"/>
  <c r="B17848" i="2"/>
  <c r="B22295" i="2"/>
  <c r="B14390" i="2"/>
  <c r="B4672" i="2"/>
  <c r="B25863" i="2"/>
  <c r="B14527" i="2"/>
  <c r="B6566" i="2"/>
  <c r="B15443" i="2"/>
  <c r="B34226" i="2"/>
  <c r="B6508" i="2"/>
  <c r="B13742" i="2"/>
  <c r="B34395" i="2"/>
  <c r="B22174" i="2"/>
  <c r="B3559" i="2"/>
  <c r="B3537" i="2"/>
  <c r="B5941" i="2"/>
  <c r="B5122" i="2"/>
  <c r="B14906" i="2"/>
  <c r="B17707" i="2"/>
  <c r="B280" i="2"/>
  <c r="B3825" i="2"/>
  <c r="B12296" i="2"/>
  <c r="B29951" i="2"/>
  <c r="B31209" i="2"/>
  <c r="B14482" i="2"/>
  <c r="B17734" i="2"/>
  <c r="B7452" i="2"/>
  <c r="B32735" i="2"/>
  <c r="B22330" i="2"/>
  <c r="B30932" i="2"/>
  <c r="B29559" i="2"/>
  <c r="B35085" i="2"/>
  <c r="B27157" i="2"/>
  <c r="B11515" i="2"/>
  <c r="B29017" i="2"/>
  <c r="B8912" i="2"/>
  <c r="B33765" i="2"/>
  <c r="B31156" i="2"/>
  <c r="B7185" i="2"/>
  <c r="B7071" i="2"/>
  <c r="B15878" i="2"/>
  <c r="B22718" i="2"/>
  <c r="B3207" i="2"/>
  <c r="B13261" i="2"/>
  <c r="B1337" i="2"/>
  <c r="B18464" i="2"/>
  <c r="B14125" i="2"/>
  <c r="B17225" i="2"/>
  <c r="B4687" i="2"/>
  <c r="B6759" i="2"/>
  <c r="B22011" i="2"/>
  <c r="B16924" i="2"/>
  <c r="B16189" i="2"/>
  <c r="B18702" i="2"/>
  <c r="B23285" i="2"/>
  <c r="B413" i="2"/>
  <c r="B7988" i="2"/>
  <c r="B5280" i="2"/>
  <c r="B12262" i="2"/>
  <c r="B12625" i="2"/>
  <c r="B33831" i="2"/>
  <c r="B1241" i="2"/>
  <c r="B13168" i="2"/>
  <c r="B30551" i="2"/>
  <c r="B28238" i="2"/>
  <c r="B19377" i="2"/>
  <c r="B35012" i="2"/>
  <c r="B3076" i="2"/>
  <c r="B4768" i="2"/>
  <c r="B1907" i="2"/>
  <c r="B28938" i="2"/>
  <c r="B6399" i="2"/>
  <c r="B7640" i="2"/>
  <c r="B3945" i="2"/>
  <c r="B35602" i="2"/>
  <c r="B21266" i="2"/>
  <c r="B12130" i="2"/>
  <c r="B12411" i="2"/>
  <c r="B25315" i="2"/>
  <c r="B13943" i="2"/>
  <c r="B6498" i="2"/>
  <c r="B917" i="2"/>
  <c r="B19415" i="2"/>
  <c r="B19908" i="2"/>
  <c r="B22924" i="2"/>
  <c r="B17958" i="2"/>
  <c r="B5779" i="2"/>
  <c r="B8709" i="2"/>
  <c r="B6167" i="2"/>
  <c r="B10839" i="2"/>
  <c r="B23419" i="2"/>
  <c r="B27498" i="2"/>
  <c r="B28562" i="2"/>
  <c r="B33949" i="2"/>
  <c r="B18908" i="2"/>
  <c r="B5184" i="2"/>
  <c r="B1260" i="2"/>
  <c r="B21714" i="2"/>
  <c r="B34013" i="2"/>
  <c r="B30916" i="2"/>
  <c r="B2743" i="2"/>
  <c r="B4624" i="2"/>
  <c r="B34579" i="2"/>
  <c r="B31166" i="2"/>
  <c r="B30347" i="2"/>
  <c r="B4392" i="2"/>
  <c r="B11321" i="2"/>
  <c r="B29836" i="2"/>
  <c r="B30126" i="2"/>
  <c r="B14594" i="2"/>
  <c r="B30387" i="2"/>
  <c r="B26462" i="2"/>
  <c r="B29089" i="2"/>
  <c r="B924" i="2"/>
  <c r="B6239" i="2"/>
  <c r="B3603" i="2"/>
  <c r="B17302" i="2"/>
  <c r="B8438" i="2"/>
  <c r="B19912" i="2"/>
  <c r="B10301" i="2"/>
  <c r="B28294" i="2"/>
  <c r="B33337" i="2"/>
  <c r="B7113" i="2"/>
  <c r="B27184" i="2"/>
  <c r="B1257" i="2"/>
  <c r="B32929" i="2"/>
  <c r="B7719" i="2"/>
  <c r="B9849" i="2"/>
  <c r="B32277" i="2"/>
  <c r="B22894" i="2"/>
  <c r="B24282" i="2"/>
  <c r="B32730" i="2"/>
  <c r="B9837" i="2"/>
  <c r="B4941" i="2"/>
  <c r="B32510" i="2"/>
  <c r="B36117" i="2"/>
  <c r="B2214" i="2"/>
  <c r="B30563" i="2"/>
  <c r="B2256" i="2"/>
  <c r="B2519" i="2"/>
  <c r="B4180" i="2"/>
  <c r="B16380" i="2"/>
  <c r="B32961" i="2"/>
  <c r="B30406" i="2"/>
  <c r="B18163" i="2"/>
  <c r="B34715" i="2"/>
  <c r="B9363" i="2"/>
  <c r="B28853" i="2"/>
  <c r="B15196" i="2"/>
  <c r="B13972" i="2"/>
  <c r="B256" i="2"/>
  <c r="B10629" i="2"/>
  <c r="B28252" i="2"/>
  <c r="B10561" i="2"/>
  <c r="B32290" i="2"/>
  <c r="B9868" i="2"/>
  <c r="B12445" i="2"/>
  <c r="B31164" i="2"/>
  <c r="B22456" i="2"/>
  <c r="B24850" i="2"/>
  <c r="B16551" i="2"/>
  <c r="B35806" i="2"/>
  <c r="B30278" i="2"/>
  <c r="B406" i="2"/>
  <c r="B21943" i="2"/>
  <c r="B23065" i="2"/>
  <c r="B5226" i="2"/>
  <c r="B26807" i="2"/>
  <c r="B29581" i="2"/>
  <c r="B20265" i="2"/>
  <c r="B16383" i="2"/>
  <c r="B35371" i="2"/>
  <c r="B20853" i="2"/>
  <c r="B26443" i="2"/>
  <c r="B10093" i="2"/>
  <c r="B10589" i="2"/>
  <c r="B31118" i="2"/>
  <c r="B9909" i="2"/>
  <c r="B9853" i="2"/>
  <c r="B4665" i="2"/>
  <c r="B3759" i="2"/>
  <c r="B10874" i="2"/>
  <c r="B19550" i="2"/>
  <c r="B16318" i="2"/>
  <c r="B35903" i="2"/>
  <c r="B3629" i="2"/>
  <c r="B36250" i="2"/>
  <c r="B16673" i="2"/>
  <c r="B9705" i="2"/>
  <c r="B15720" i="2"/>
  <c r="B19029" i="2"/>
  <c r="B28171" i="2"/>
  <c r="B22844" i="2"/>
  <c r="B11497" i="2"/>
  <c r="B19268" i="2"/>
  <c r="B15766" i="2"/>
  <c r="B21803" i="2"/>
  <c r="B16174" i="2"/>
  <c r="B11459" i="2"/>
  <c r="B25325" i="2"/>
  <c r="B9156" i="2"/>
  <c r="B23520" i="2"/>
  <c r="B30240" i="2"/>
  <c r="B7569" i="2"/>
  <c r="B15458" i="2"/>
  <c r="B4784" i="2"/>
  <c r="B15382" i="2"/>
  <c r="B21738" i="2"/>
  <c r="B4573" i="2"/>
  <c r="B9929" i="2"/>
  <c r="B21254" i="2"/>
  <c r="B21468" i="2"/>
  <c r="B2960" i="2"/>
  <c r="B23362" i="2"/>
  <c r="B6859" i="2"/>
  <c r="B2661" i="2"/>
  <c r="B21494" i="2"/>
  <c r="B1318" i="2"/>
  <c r="B22950" i="2"/>
  <c r="B20960" i="2"/>
  <c r="B23333" i="2"/>
  <c r="B26098" i="2"/>
  <c r="B25432" i="2"/>
  <c r="B27094" i="2"/>
  <c r="B7006" i="2"/>
  <c r="B22309" i="2"/>
  <c r="B22067" i="2"/>
  <c r="B23288" i="2"/>
  <c r="B7992" i="2"/>
  <c r="B7275" i="2"/>
  <c r="B24609" i="2"/>
  <c r="B22061" i="2"/>
  <c r="B2678" i="2"/>
  <c r="B15230" i="2"/>
  <c r="B10948" i="2"/>
  <c r="B31311" i="2"/>
  <c r="B3306" i="2"/>
  <c r="B14882" i="2"/>
  <c r="B31525" i="2"/>
  <c r="B24264" i="2"/>
  <c r="B14272" i="2"/>
  <c r="B20809" i="2"/>
  <c r="B12544" i="2"/>
  <c r="B17875" i="2"/>
  <c r="B27353" i="2"/>
  <c r="B26451" i="2"/>
  <c r="B22684" i="2"/>
  <c r="B14074" i="2"/>
  <c r="B349" i="2"/>
  <c r="B6745" i="2"/>
  <c r="B12430" i="2"/>
  <c r="B17712" i="2"/>
  <c r="B27236" i="2"/>
  <c r="B3253" i="2"/>
  <c r="B26054" i="2"/>
  <c r="B19231" i="2"/>
  <c r="B6981" i="2"/>
  <c r="B8572" i="2"/>
  <c r="B27117" i="2"/>
  <c r="B11330" i="2"/>
  <c r="B31658" i="2"/>
  <c r="B11029" i="2"/>
  <c r="B29825" i="2"/>
  <c r="B27443" i="2"/>
  <c r="B24978" i="2"/>
  <c r="B26939" i="2"/>
  <c r="B14729" i="2"/>
  <c r="B27631" i="2"/>
  <c r="B20658" i="2"/>
  <c r="B31461" i="2"/>
  <c r="B14884" i="2"/>
  <c r="B24083" i="2"/>
  <c r="B20149" i="2"/>
  <c r="B11625" i="2"/>
  <c r="B22768" i="2"/>
  <c r="B22027" i="2"/>
  <c r="B34532" i="2"/>
  <c r="B9476" i="2"/>
  <c r="B8537" i="2"/>
  <c r="B12307" i="2"/>
  <c r="B17639" i="2"/>
  <c r="B13403" i="2"/>
  <c r="B30895" i="2"/>
  <c r="B7878" i="2"/>
  <c r="B9178" i="2"/>
  <c r="B17301" i="2"/>
  <c r="B15361" i="2"/>
  <c r="B32984" i="2"/>
  <c r="B7904" i="2"/>
  <c r="B12723" i="2"/>
  <c r="B24839" i="2"/>
  <c r="B33332" i="2"/>
  <c r="B24514" i="2"/>
  <c r="B8049" i="2"/>
  <c r="B21554" i="2"/>
  <c r="B3154" i="2"/>
  <c r="B8327" i="2"/>
  <c r="B21739" i="2"/>
  <c r="B7131" i="2"/>
  <c r="B5179" i="2"/>
  <c r="B27224" i="2"/>
  <c r="B2837" i="2"/>
  <c r="B31533" i="2"/>
  <c r="B9345" i="2"/>
  <c r="B14592" i="2"/>
  <c r="B11126" i="2"/>
  <c r="B34062" i="2"/>
  <c r="B8063" i="2"/>
  <c r="B29856" i="2"/>
  <c r="B12194" i="2"/>
  <c r="B22387" i="2"/>
  <c r="B28317" i="2"/>
  <c r="B5022" i="2"/>
  <c r="B2480" i="2"/>
  <c r="B956" i="2"/>
  <c r="B14748" i="2"/>
  <c r="B8693" i="2"/>
  <c r="B33129" i="2"/>
  <c r="B33014" i="2"/>
  <c r="B4752" i="2"/>
  <c r="B19507" i="2"/>
  <c r="B24287" i="2"/>
  <c r="B36228" i="2"/>
  <c r="B5777" i="2"/>
  <c r="B24215" i="2"/>
  <c r="B22173" i="2"/>
  <c r="B11729" i="2"/>
  <c r="B15111" i="2"/>
  <c r="B20312" i="2"/>
  <c r="B20546" i="2"/>
  <c r="B15825" i="2"/>
  <c r="B10036" i="2"/>
  <c r="B13906" i="2"/>
  <c r="B33388" i="2"/>
  <c r="B17253" i="2"/>
  <c r="B25038" i="2"/>
  <c r="B508" i="2"/>
  <c r="B1850" i="2"/>
  <c r="B13702" i="2"/>
  <c r="B13953" i="2"/>
  <c r="B24805" i="2"/>
  <c r="B34747" i="2"/>
  <c r="B539" i="2"/>
  <c r="B1564" i="2"/>
  <c r="B19456" i="2"/>
  <c r="B33455" i="2"/>
  <c r="B8701" i="2"/>
  <c r="B26525" i="2"/>
  <c r="B36234" i="2"/>
  <c r="B3107" i="2"/>
  <c r="B26589" i="2"/>
  <c r="B30444" i="2"/>
  <c r="B7489" i="2"/>
  <c r="B33427" i="2"/>
  <c r="B4791" i="2"/>
  <c r="B23337" i="2"/>
  <c r="B8999" i="2"/>
  <c r="B31828" i="2"/>
  <c r="B28812" i="2"/>
  <c r="B31468" i="2"/>
  <c r="B623" i="2"/>
  <c r="B3783" i="2"/>
  <c r="B31668" i="2"/>
  <c r="B32806" i="2"/>
  <c r="B6872" i="2"/>
  <c r="B31529" i="2"/>
  <c r="B6692" i="2"/>
  <c r="B13623" i="2"/>
  <c r="B25065" i="2"/>
  <c r="B27222" i="2"/>
  <c r="B17904" i="2"/>
  <c r="B6089" i="2"/>
  <c r="B14477" i="2"/>
  <c r="B20791" i="2"/>
  <c r="B5571" i="2"/>
  <c r="B25107" i="2"/>
  <c r="B33214" i="2"/>
  <c r="B25512" i="2"/>
  <c r="B11222" i="2"/>
  <c r="B20822" i="2"/>
  <c r="B15269" i="2"/>
  <c r="B31681" i="2"/>
  <c r="B5889" i="2"/>
  <c r="B9232" i="2"/>
  <c r="B31485" i="2"/>
  <c r="B15088" i="2"/>
  <c r="B23393" i="2"/>
  <c r="B13378" i="2"/>
  <c r="B4565" i="2"/>
  <c r="B7095" i="2"/>
  <c r="B24457" i="2"/>
  <c r="B12042" i="2"/>
  <c r="B23620" i="2"/>
  <c r="B6529" i="2"/>
  <c r="B7030" i="2"/>
  <c r="B32978" i="2"/>
  <c r="B32657" i="2"/>
  <c r="B5489" i="2"/>
  <c r="B6086" i="2"/>
  <c r="B4741" i="2"/>
  <c r="B26202" i="2"/>
  <c r="B20391" i="2"/>
  <c r="B770" i="2"/>
  <c r="B25505" i="2"/>
  <c r="B14780" i="2"/>
  <c r="B21025" i="2"/>
  <c r="B6199" i="2"/>
  <c r="B32930" i="2"/>
  <c r="B19902" i="2"/>
  <c r="B12922" i="2"/>
  <c r="B26579" i="2"/>
  <c r="B9147" i="2"/>
  <c r="B9782" i="2"/>
  <c r="B14436" i="2"/>
  <c r="B22035" i="2"/>
  <c r="B6815" i="2"/>
  <c r="B24818" i="2"/>
  <c r="B8731" i="2"/>
  <c r="B7969" i="2"/>
  <c r="B23077" i="2"/>
  <c r="B21278" i="2"/>
  <c r="B21748" i="2"/>
  <c r="B23889" i="2"/>
  <c r="B9915" i="2"/>
  <c r="B8669" i="2"/>
  <c r="B8254" i="2"/>
  <c r="B15477" i="2"/>
  <c r="B15067" i="2"/>
  <c r="B24004" i="2"/>
  <c r="B15049" i="2"/>
  <c r="B14822" i="2"/>
  <c r="B21054" i="2"/>
  <c r="B22537" i="2"/>
  <c r="B14160" i="2"/>
  <c r="B2730" i="2"/>
  <c r="B19936" i="2"/>
  <c r="B19326" i="2"/>
  <c r="B33238" i="2"/>
  <c r="B31870" i="2"/>
  <c r="B17572" i="2"/>
  <c r="B5283" i="2"/>
  <c r="B3438" i="2"/>
  <c r="B22964" i="2"/>
  <c r="B33029" i="2"/>
  <c r="B23015" i="2"/>
  <c r="B1386" i="2"/>
  <c r="B29946" i="2"/>
  <c r="B34509" i="2"/>
  <c r="B15550" i="2"/>
  <c r="B25514" i="2"/>
  <c r="B8252" i="2"/>
  <c r="B31963" i="2"/>
  <c r="B6253" i="2"/>
  <c r="B26007" i="2"/>
  <c r="B6778" i="2"/>
  <c r="B12500" i="2"/>
  <c r="B33205" i="2"/>
  <c r="B30254" i="2"/>
  <c r="B21088" i="2"/>
  <c r="B21158" i="2"/>
  <c r="B25127" i="2"/>
  <c r="B9331" i="2"/>
  <c r="B32919" i="2"/>
  <c r="B8769" i="2"/>
  <c r="B32001" i="2"/>
  <c r="B22106" i="2"/>
  <c r="B34632" i="2"/>
  <c r="B33467" i="2"/>
  <c r="B27352" i="2"/>
  <c r="B15495" i="2"/>
  <c r="B25545" i="2"/>
  <c r="B26347" i="2"/>
  <c r="B24584" i="2"/>
  <c r="B31574" i="2"/>
  <c r="B7838" i="2"/>
  <c r="B7137" i="2"/>
  <c r="B23633" i="2"/>
  <c r="B31676" i="2"/>
  <c r="B13393" i="2"/>
  <c r="B22170" i="2"/>
  <c r="B31437" i="2"/>
  <c r="B14610" i="2"/>
  <c r="B19036" i="2"/>
  <c r="B5997" i="2"/>
  <c r="B33231" i="2"/>
  <c r="B25663" i="2"/>
  <c r="B21212" i="2"/>
  <c r="B17366" i="2"/>
  <c r="B4831" i="2"/>
  <c r="B19646" i="2"/>
  <c r="B4777" i="2"/>
  <c r="B25297" i="2"/>
  <c r="B3129" i="2"/>
  <c r="B27915" i="2"/>
  <c r="B29361" i="2"/>
  <c r="B15381" i="2"/>
  <c r="B32967" i="2"/>
  <c r="B20891" i="2"/>
  <c r="B19915" i="2"/>
  <c r="B5637" i="2"/>
  <c r="B33278" i="2"/>
  <c r="B837" i="2"/>
  <c r="B11702" i="2"/>
  <c r="B18095" i="2"/>
  <c r="B13714" i="2"/>
  <c r="B7471" i="2"/>
  <c r="B2826" i="2"/>
  <c r="B19929" i="2"/>
  <c r="B2863" i="2"/>
  <c r="B27225" i="2"/>
  <c r="B32951" i="2"/>
  <c r="B24933" i="2"/>
  <c r="B24787" i="2"/>
  <c r="B20767" i="2"/>
  <c r="B16167" i="2"/>
  <c r="B31703" i="2"/>
  <c r="B30061" i="2"/>
  <c r="B23639" i="2"/>
  <c r="B25788" i="2"/>
  <c r="B163" i="2"/>
  <c r="B28524" i="2"/>
  <c r="B8682" i="2"/>
  <c r="B6479" i="2"/>
  <c r="B9754" i="2"/>
  <c r="B15240" i="2"/>
  <c r="B15399" i="2"/>
  <c r="B22674" i="2"/>
  <c r="B9499" i="2"/>
  <c r="B30461" i="2"/>
  <c r="B6664" i="2"/>
  <c r="B28010" i="2"/>
  <c r="B32988" i="2"/>
  <c r="B9732" i="2"/>
  <c r="B1677" i="2"/>
  <c r="B33441" i="2"/>
  <c r="B26950" i="2"/>
  <c r="B12995" i="2"/>
  <c r="B1454" i="2"/>
  <c r="B26405" i="2"/>
  <c r="B20617" i="2"/>
  <c r="B33186" i="2"/>
  <c r="B8793" i="2"/>
  <c r="B21907" i="2"/>
  <c r="B12903" i="2"/>
  <c r="B1765" i="2"/>
  <c r="B27291" i="2"/>
  <c r="B31983" i="2"/>
  <c r="B6270" i="2"/>
  <c r="B22288" i="2"/>
  <c r="B14714" i="2"/>
  <c r="B24954" i="2"/>
  <c r="B24705" i="2"/>
  <c r="B13155" i="2"/>
  <c r="B14439" i="2"/>
  <c r="B24463" i="2"/>
  <c r="B25507" i="2"/>
  <c r="B23121" i="2"/>
  <c r="B8121" i="2"/>
  <c r="B27513" i="2"/>
  <c r="B5342" i="2"/>
  <c r="B24977" i="2"/>
  <c r="B9189" i="2"/>
  <c r="B15517" i="2"/>
  <c r="B33052" i="2"/>
  <c r="B24252" i="2"/>
  <c r="B16781" i="2"/>
  <c r="B31387" i="2"/>
  <c r="B26425" i="2"/>
  <c r="B15444" i="2"/>
  <c r="B25950" i="2"/>
  <c r="B6192" i="2"/>
  <c r="B9085" i="2"/>
  <c r="B9321" i="2"/>
  <c r="B3082" i="2"/>
  <c r="B9633" i="2"/>
  <c r="B1504" i="2"/>
  <c r="B9757" i="2"/>
  <c r="B2628" i="2"/>
  <c r="B27159" i="2"/>
  <c r="B32109" i="2"/>
  <c r="B5174" i="2"/>
  <c r="B3809" i="2"/>
  <c r="B27902" i="2"/>
  <c r="B20529" i="2"/>
  <c r="B13153" i="2"/>
  <c r="B9058" i="2"/>
  <c r="B2685" i="2"/>
  <c r="B9128" i="2"/>
  <c r="B26743" i="2"/>
  <c r="B7171" i="2"/>
  <c r="B2017" i="2"/>
  <c r="B21328" i="2"/>
  <c r="B6723" i="2"/>
  <c r="B25890" i="2"/>
  <c r="B4162" i="2"/>
  <c r="B13457" i="2"/>
  <c r="B536" i="2"/>
  <c r="B15417" i="2"/>
  <c r="B25226" i="2"/>
  <c r="B22601" i="2"/>
  <c r="B23317" i="2"/>
  <c r="B6522" i="2"/>
  <c r="B33033" i="2"/>
  <c r="B13252" i="2"/>
  <c r="B9104" i="2"/>
  <c r="B26314" i="2"/>
  <c r="B27504" i="2"/>
  <c r="B22147" i="2"/>
  <c r="B10074" i="2"/>
  <c r="B25222" i="2"/>
  <c r="B1625" i="2"/>
  <c r="B7870" i="2"/>
  <c r="B27300" i="2"/>
  <c r="B21288" i="2"/>
  <c r="B17336" i="2"/>
  <c r="B16331" i="2"/>
  <c r="B5754" i="2"/>
  <c r="B14479" i="2"/>
  <c r="B5640" i="2"/>
  <c r="B23983" i="2"/>
  <c r="B32918" i="2"/>
  <c r="B5946" i="2"/>
  <c r="B10008" i="2"/>
  <c r="B22946" i="2"/>
  <c r="B365" i="2"/>
  <c r="B24852" i="2"/>
  <c r="B24916" i="2"/>
  <c r="B20205" i="2"/>
  <c r="B3396" i="2"/>
  <c r="B36317" i="2"/>
  <c r="B23907" i="2"/>
  <c r="B18971" i="2"/>
  <c r="B10580" i="2"/>
  <c r="B30669" i="2"/>
  <c r="B24511" i="2"/>
  <c r="B33068" i="2"/>
  <c r="B21698" i="2"/>
  <c r="B1573" i="2"/>
  <c r="B25097" i="2"/>
  <c r="B21751" i="2"/>
  <c r="B26157" i="2"/>
  <c r="B2086" i="2"/>
  <c r="B18924" i="2"/>
  <c r="B6531" i="2"/>
  <c r="B33752" i="2"/>
  <c r="B27200" i="2"/>
  <c r="B15896" i="2"/>
  <c r="B9724" i="2"/>
  <c r="B14618" i="2"/>
  <c r="B1248" i="2"/>
  <c r="B34489" i="2"/>
  <c r="B10487" i="2"/>
  <c r="B22647" i="2"/>
  <c r="B20387" i="2"/>
  <c r="B30169" i="2"/>
  <c r="B17458" i="2"/>
  <c r="B9836" i="2"/>
  <c r="B31787" i="2"/>
  <c r="B16887" i="2"/>
  <c r="B5151" i="2"/>
  <c r="B11711" i="2"/>
  <c r="B13529" i="2"/>
  <c r="B9220" i="2"/>
  <c r="B2096" i="2"/>
  <c r="B19538" i="2"/>
  <c r="B28216" i="2"/>
  <c r="B10219" i="2"/>
  <c r="B30088" i="2"/>
  <c r="B28955" i="2"/>
  <c r="B3313" i="2"/>
  <c r="B30607" i="2"/>
  <c r="B18368" i="2"/>
  <c r="B34884" i="2"/>
  <c r="B21444" i="2"/>
  <c r="B10339" i="2"/>
  <c r="B8303" i="2"/>
  <c r="B12159" i="2"/>
  <c r="B36277" i="2"/>
  <c r="B34161" i="2"/>
  <c r="B13913" i="2"/>
  <c r="B23280" i="2"/>
  <c r="B6961" i="2"/>
  <c r="B27221" i="2"/>
  <c r="B16402" i="2"/>
  <c r="B7283" i="2"/>
  <c r="B23569" i="2"/>
  <c r="B7736" i="2"/>
  <c r="B33770" i="2"/>
  <c r="B34347" i="2"/>
  <c r="B6528" i="2"/>
  <c r="B24553" i="2"/>
  <c r="B17771" i="2"/>
  <c r="B30463" i="2"/>
  <c r="B26952" i="2"/>
  <c r="B36055" i="2"/>
  <c r="B9415" i="2"/>
  <c r="B12182" i="2"/>
  <c r="B6427" i="2"/>
  <c r="B31378" i="2"/>
  <c r="B6589" i="2"/>
  <c r="B5553" i="2"/>
  <c r="B22461" i="2"/>
  <c r="B4832" i="2"/>
  <c r="B20325" i="2"/>
  <c r="B13321" i="2"/>
  <c r="B10939" i="2"/>
  <c r="B9937" i="2"/>
  <c r="B22505" i="2"/>
  <c r="B24895" i="2"/>
  <c r="B14778" i="2"/>
  <c r="B29970" i="2"/>
  <c r="B24311" i="2"/>
  <c r="B29870" i="2"/>
  <c r="B9662" i="2"/>
  <c r="B27866" i="2"/>
  <c r="B29308" i="2"/>
  <c r="B3588" i="2"/>
  <c r="B22533" i="2"/>
  <c r="B18569" i="2"/>
  <c r="B13010" i="2"/>
  <c r="B14700" i="2"/>
  <c r="B19621" i="2"/>
  <c r="B36057" i="2"/>
  <c r="B34127" i="2"/>
  <c r="B4352" i="2"/>
  <c r="B17702" i="2"/>
  <c r="B31687" i="2"/>
  <c r="B5818" i="2"/>
  <c r="B30611" i="2"/>
  <c r="B14262" i="2"/>
  <c r="B5772" i="2"/>
  <c r="B36334" i="2"/>
  <c r="B4917" i="2"/>
  <c r="B2733" i="2"/>
  <c r="B7590" i="2"/>
  <c r="B23832" i="2"/>
  <c r="B19729" i="2"/>
  <c r="B5594" i="2"/>
  <c r="B13519" i="2"/>
  <c r="B2715" i="2"/>
  <c r="B27512" i="2"/>
  <c r="B30405" i="2"/>
  <c r="B35337" i="2"/>
  <c r="B1592" i="2"/>
  <c r="B17092" i="2"/>
  <c r="B12711" i="2"/>
  <c r="B10450" i="2"/>
  <c r="B25011" i="2"/>
  <c r="B21490" i="2"/>
  <c r="B8603" i="2"/>
  <c r="B20898" i="2"/>
  <c r="B5710" i="2"/>
  <c r="B20071" i="2"/>
  <c r="B8742" i="2"/>
  <c r="B16087" i="2"/>
  <c r="B36372" i="2"/>
  <c r="B1979" i="2"/>
  <c r="B28160" i="2"/>
  <c r="B30383" i="2"/>
  <c r="B16030" i="2"/>
  <c r="B31803" i="2"/>
  <c r="B35293" i="2"/>
  <c r="B14686" i="2"/>
  <c r="B2893" i="2"/>
  <c r="B32886" i="2"/>
  <c r="B18728" i="2"/>
  <c r="B22857" i="2"/>
  <c r="B21812" i="2"/>
  <c r="B26217" i="2"/>
  <c r="B7679" i="2"/>
  <c r="B26878" i="2"/>
  <c r="B20770" i="2"/>
  <c r="B6501" i="2"/>
  <c r="B7045" i="2"/>
  <c r="B24489" i="2"/>
  <c r="B24563" i="2"/>
  <c r="B418" i="2"/>
  <c r="B23279" i="2"/>
  <c r="B7468" i="2"/>
  <c r="B10067" i="2"/>
  <c r="B25591" i="2"/>
  <c r="B21729" i="2"/>
  <c r="B33741" i="2"/>
  <c r="B600" i="2"/>
  <c r="B26148" i="2"/>
  <c r="B8571" i="2"/>
  <c r="B375" i="2"/>
  <c r="B32320" i="2"/>
  <c r="B8978" i="2"/>
  <c r="B26617" i="2"/>
  <c r="B7192" i="2"/>
  <c r="B5406" i="2"/>
  <c r="B10946" i="2"/>
  <c r="B32911" i="2"/>
  <c r="B17013" i="2"/>
  <c r="B21376" i="2"/>
  <c r="B21306" i="2"/>
  <c r="B395" i="2"/>
  <c r="B34550" i="2"/>
  <c r="B23131" i="2"/>
  <c r="B25829" i="2"/>
  <c r="B23313" i="2"/>
  <c r="B25081" i="2"/>
  <c r="B2880" i="2"/>
  <c r="B21129" i="2"/>
  <c r="B28232" i="2"/>
  <c r="B4250" i="2"/>
  <c r="B13327" i="2"/>
  <c r="B16865" i="2"/>
  <c r="B11143" i="2"/>
  <c r="B5377" i="2"/>
  <c r="B32106" i="2"/>
  <c r="B6136" i="2"/>
  <c r="B6694" i="2"/>
  <c r="B6805" i="2"/>
  <c r="B16372" i="2"/>
  <c r="B33312" i="2"/>
  <c r="B5309" i="2"/>
  <c r="B2975" i="2"/>
  <c r="B22459" i="2"/>
  <c r="B12233" i="2"/>
  <c r="B34284" i="2"/>
  <c r="B29160" i="2"/>
  <c r="B7359" i="2"/>
  <c r="B6102" i="2"/>
  <c r="B25801" i="2"/>
  <c r="B9569" i="2"/>
  <c r="B7811" i="2"/>
  <c r="B25442" i="2"/>
  <c r="B9736" i="2"/>
  <c r="B32064" i="2"/>
  <c r="B22859" i="2"/>
  <c r="B31493" i="2"/>
  <c r="B26527" i="2"/>
  <c r="B35659" i="2"/>
  <c r="B28592" i="2"/>
  <c r="B32473" i="2"/>
  <c r="B10840" i="2"/>
  <c r="B34487" i="2"/>
  <c r="B32636" i="2"/>
  <c r="B26253" i="2"/>
  <c r="B18672" i="2"/>
  <c r="B23757" i="2"/>
  <c r="B21715" i="2"/>
  <c r="B3304" i="2"/>
  <c r="B13053" i="2"/>
  <c r="B2449" i="2"/>
  <c r="B22364" i="2"/>
  <c r="B14150" i="2"/>
  <c r="B19144" i="2"/>
  <c r="B29378" i="2"/>
  <c r="B29293" i="2"/>
  <c r="B13718" i="2"/>
  <c r="B29801" i="2"/>
  <c r="B7401" i="2"/>
  <c r="B16568" i="2"/>
  <c r="B3121" i="2"/>
  <c r="B1675" i="2"/>
  <c r="B16934" i="2"/>
  <c r="B26768" i="2"/>
  <c r="B25938" i="2"/>
  <c r="B35341" i="2"/>
  <c r="B14711" i="2"/>
  <c r="B15358" i="2"/>
  <c r="B16698" i="2"/>
  <c r="B28981" i="2"/>
  <c r="B23920" i="2"/>
  <c r="B21972" i="2"/>
  <c r="B35471" i="2"/>
  <c r="B25601" i="2"/>
  <c r="B5474" i="2"/>
  <c r="B5551" i="2"/>
  <c r="B1165" i="2"/>
  <c r="B23755" i="2"/>
  <c r="B19306" i="2"/>
  <c r="B23937" i="2"/>
  <c r="B525" i="2"/>
  <c r="B746" i="2"/>
  <c r="B20954" i="2"/>
  <c r="B8970" i="2"/>
  <c r="B19683" i="2"/>
  <c r="B35330" i="2"/>
  <c r="B5603" i="2"/>
  <c r="B2923" i="2"/>
  <c r="B4091" i="2"/>
  <c r="B896" i="2"/>
  <c r="B32780" i="2"/>
  <c r="B14330" i="2"/>
  <c r="B19168" i="2"/>
  <c r="B15545" i="2"/>
  <c r="B12131" i="2"/>
  <c r="B3079" i="2"/>
  <c r="B23521" i="2"/>
  <c r="B1758" i="2"/>
  <c r="B7520" i="2"/>
  <c r="B1777" i="2"/>
  <c r="B12626" i="2"/>
  <c r="B11098" i="2"/>
  <c r="B10477" i="2"/>
  <c r="B27432" i="2"/>
  <c r="B10808" i="2"/>
  <c r="B223" i="2"/>
  <c r="B4655" i="2"/>
  <c r="B2058" i="2"/>
  <c r="B7700" i="2"/>
  <c r="B5740" i="2"/>
  <c r="B21113" i="2"/>
  <c r="B20523" i="2"/>
  <c r="B10321" i="2"/>
  <c r="B19633" i="2"/>
  <c r="B11297" i="2"/>
  <c r="B3357" i="2"/>
  <c r="B10122" i="2"/>
  <c r="B23165" i="2"/>
  <c r="B17271" i="2"/>
  <c r="B28810" i="2"/>
  <c r="B16475" i="2"/>
  <c r="B20946" i="2"/>
  <c r="B23682" i="2"/>
  <c r="B24180" i="2"/>
  <c r="B11618" i="2"/>
  <c r="B11293" i="2"/>
  <c r="B35425" i="2"/>
  <c r="B34408" i="2"/>
  <c r="B32127" i="2"/>
  <c r="B29864" i="2"/>
  <c r="B4694" i="2"/>
  <c r="B6984" i="2"/>
  <c r="B11150" i="2"/>
  <c r="B30283" i="2"/>
  <c r="B12857" i="2"/>
  <c r="B10100" i="2"/>
  <c r="B14466" i="2"/>
  <c r="B21240" i="2"/>
  <c r="B15955" i="2"/>
  <c r="B25413" i="2"/>
  <c r="B22960" i="2"/>
  <c r="B13331" i="2"/>
  <c r="B19755" i="2"/>
  <c r="B4525" i="2"/>
  <c r="B15851" i="2"/>
  <c r="B3427" i="2"/>
  <c r="B12349" i="2"/>
  <c r="B34702" i="2"/>
  <c r="B26841" i="2"/>
  <c r="B1609" i="2"/>
  <c r="B25806" i="2"/>
  <c r="B13899" i="2"/>
  <c r="B18771" i="2"/>
  <c r="B538" i="2"/>
  <c r="B30980" i="2"/>
  <c r="B4759" i="2"/>
  <c r="B9387" i="2"/>
  <c r="B12734" i="2"/>
  <c r="B11836" i="2"/>
  <c r="B1739" i="2"/>
  <c r="B12526" i="2"/>
  <c r="B24617" i="2"/>
  <c r="B16977" i="2"/>
  <c r="B19735" i="2"/>
  <c r="B32618" i="2"/>
  <c r="B7675" i="2"/>
  <c r="B14563" i="2"/>
  <c r="B20634" i="2"/>
  <c r="B11165" i="2"/>
  <c r="B21851" i="2"/>
  <c r="B31739" i="2"/>
  <c r="B16685" i="2"/>
  <c r="B18060" i="2"/>
  <c r="B29685" i="2"/>
  <c r="B23578" i="2"/>
  <c r="B13916" i="2"/>
  <c r="B28042" i="2"/>
  <c r="B20670" i="2"/>
  <c r="B2263" i="2"/>
  <c r="B42" i="2"/>
  <c r="B29270" i="2"/>
  <c r="B19680" i="2"/>
  <c r="B4623" i="2"/>
  <c r="B20952" i="2"/>
  <c r="B17940" i="2"/>
  <c r="B12596" i="2"/>
  <c r="B16257" i="2"/>
  <c r="B9108" i="2"/>
  <c r="B12802" i="2"/>
  <c r="B3209" i="2"/>
  <c r="B23475" i="2"/>
  <c r="B2550" i="2"/>
  <c r="B14929" i="2"/>
  <c r="B33964" i="2"/>
  <c r="B8380" i="2"/>
  <c r="B20974" i="2"/>
  <c r="B5329" i="2"/>
  <c r="B5473" i="2"/>
  <c r="B19344" i="2"/>
  <c r="B21008" i="2"/>
  <c r="B26190" i="2"/>
  <c r="B32966" i="2"/>
  <c r="B27194" i="2"/>
  <c r="B33613" i="2"/>
  <c r="B6983" i="2"/>
  <c r="B9235" i="2"/>
  <c r="B3056" i="2"/>
  <c r="B8191" i="2"/>
  <c r="B15693" i="2"/>
  <c r="B31627" i="2"/>
  <c r="B29805" i="2"/>
  <c r="B36251" i="2"/>
  <c r="B530" i="2"/>
  <c r="B10881" i="2"/>
  <c r="B5662" i="2"/>
  <c r="B28447" i="2"/>
  <c r="B4074" i="2"/>
  <c r="B28560" i="2"/>
  <c r="B14732" i="2"/>
  <c r="B35765" i="2"/>
  <c r="B10691" i="2"/>
  <c r="B12084" i="2"/>
  <c r="B7363" i="2"/>
  <c r="B14757" i="2"/>
  <c r="B34073" i="2"/>
  <c r="B20130" i="2"/>
  <c r="B34081" i="2"/>
  <c r="B18386" i="2"/>
  <c r="B16949" i="2"/>
  <c r="B30665" i="2"/>
  <c r="B23883" i="2"/>
  <c r="B36038" i="2"/>
  <c r="B25425" i="2"/>
  <c r="B26672" i="2"/>
  <c r="B29181" i="2"/>
  <c r="B24840" i="2"/>
  <c r="B6212" i="2"/>
  <c r="B9533" i="2"/>
  <c r="B36170" i="2"/>
  <c r="B3495" i="2"/>
  <c r="B15764" i="2"/>
  <c r="B33946" i="2"/>
  <c r="B21416" i="2"/>
  <c r="B11763" i="2"/>
  <c r="B22128" i="2"/>
  <c r="B13599" i="2"/>
  <c r="B35988" i="2"/>
  <c r="B17989" i="2"/>
  <c r="B19896" i="2"/>
  <c r="B18237" i="2"/>
  <c r="B35626" i="2"/>
  <c r="B34987" i="2"/>
  <c r="B8707" i="2"/>
  <c r="B1832" i="2"/>
  <c r="B34276" i="2"/>
  <c r="B983" i="2"/>
  <c r="B32540" i="2"/>
  <c r="B21984" i="2"/>
  <c r="B11472" i="2"/>
  <c r="B26627" i="2"/>
  <c r="B11786" i="2"/>
  <c r="B34547" i="2"/>
  <c r="B17124" i="2"/>
  <c r="B23778" i="2"/>
  <c r="B25814" i="2"/>
  <c r="B33212" i="2"/>
  <c r="B6713" i="2"/>
  <c r="B31875" i="2"/>
  <c r="B3552" i="2"/>
  <c r="B20288" i="2"/>
  <c r="B24365" i="2"/>
  <c r="B12451" i="2"/>
  <c r="B35703" i="2"/>
  <c r="B34584" i="2"/>
  <c r="B15021" i="2"/>
  <c r="B19114" i="2"/>
  <c r="B12369" i="2"/>
  <c r="B20087" i="2"/>
  <c r="B5768" i="2"/>
  <c r="B6469" i="2"/>
  <c r="B9191" i="2"/>
  <c r="B15497" i="2"/>
  <c r="B27202" i="2"/>
  <c r="B1232" i="2"/>
  <c r="B20689" i="2"/>
  <c r="B22077" i="2"/>
  <c r="B20858" i="2"/>
  <c r="B34530" i="2"/>
  <c r="B34564" i="2"/>
  <c r="B23465" i="2"/>
  <c r="B6116" i="2"/>
  <c r="B7194" i="2"/>
  <c r="B1003" i="2"/>
  <c r="B5906" i="2"/>
  <c r="B14353" i="2"/>
  <c r="B10131" i="2"/>
  <c r="B24106" i="2"/>
  <c r="B9138" i="2"/>
  <c r="B19820" i="2"/>
  <c r="B33730" i="2"/>
  <c r="B14423" i="2"/>
  <c r="B4338" i="2"/>
  <c r="B34915" i="2"/>
  <c r="B11644" i="2"/>
  <c r="B35312" i="2"/>
  <c r="B31258" i="2"/>
  <c r="B10780" i="2"/>
  <c r="B35412" i="2"/>
  <c r="B4192" i="2"/>
  <c r="B3490" i="2"/>
  <c r="B32258" i="2"/>
  <c r="B15308" i="2"/>
  <c r="B21479" i="2"/>
  <c r="B32328" i="2"/>
  <c r="B24257" i="2"/>
  <c r="B20567" i="2"/>
  <c r="B897" i="2"/>
  <c r="B36073" i="2"/>
  <c r="B3311" i="2"/>
  <c r="B23509" i="2"/>
  <c r="B15676" i="2"/>
  <c r="B1262" i="2"/>
  <c r="B7428" i="2"/>
  <c r="B26318" i="2"/>
  <c r="B25782" i="2"/>
  <c r="B33113" i="2"/>
  <c r="B20346" i="2"/>
  <c r="B26491" i="2"/>
  <c r="B5306" i="2"/>
  <c r="B7351" i="2"/>
  <c r="B32994" i="2"/>
  <c r="B23441" i="2"/>
  <c r="B19864" i="2"/>
  <c r="B9239" i="2"/>
  <c r="B28057" i="2"/>
  <c r="B32551" i="2"/>
  <c r="B26438" i="2"/>
  <c r="B15683" i="2"/>
  <c r="B23713" i="2"/>
  <c r="B17508" i="2"/>
  <c r="B4286" i="2"/>
  <c r="B9418" i="2"/>
  <c r="B12195" i="2"/>
  <c r="B28841" i="2"/>
  <c r="B22292" i="2"/>
  <c r="B17827" i="2"/>
  <c r="B105" i="2"/>
  <c r="B27954" i="2"/>
  <c r="B11891" i="2"/>
  <c r="B1349" i="2"/>
  <c r="B23582" i="2"/>
  <c r="B654" i="2"/>
  <c r="B21510" i="2"/>
  <c r="B19637" i="2"/>
  <c r="B11128" i="2"/>
  <c r="B36171" i="2"/>
  <c r="B16836" i="2"/>
  <c r="B28092" i="2"/>
  <c r="B23617" i="2"/>
  <c r="B23544" i="2"/>
  <c r="B29071" i="2"/>
  <c r="B19592" i="2"/>
  <c r="B13965" i="2"/>
  <c r="B10338" i="2"/>
  <c r="B35757" i="2"/>
  <c r="B18177" i="2"/>
  <c r="B31948" i="2"/>
  <c r="B12433" i="2"/>
  <c r="B33960" i="2"/>
  <c r="B14194" i="2"/>
  <c r="B32924" i="2"/>
  <c r="B20870" i="2"/>
  <c r="B3889" i="2"/>
  <c r="B14076" i="2"/>
  <c r="B24476" i="2"/>
  <c r="B13868" i="2"/>
  <c r="B3974" i="2"/>
  <c r="B25903" i="2"/>
  <c r="B14227" i="2"/>
  <c r="B8518" i="2"/>
  <c r="B2702" i="2"/>
  <c r="B27438" i="2"/>
  <c r="B5651" i="2"/>
  <c r="B23018" i="2"/>
  <c r="B28044" i="2"/>
  <c r="B35504" i="2"/>
  <c r="B34410" i="2"/>
  <c r="B541" i="2"/>
  <c r="B18493" i="2"/>
  <c r="B21299" i="2"/>
  <c r="B35010" i="2"/>
  <c r="B34286" i="2"/>
  <c r="B32857" i="2"/>
  <c r="B9553" i="2"/>
  <c r="B25074" i="2"/>
  <c r="B12559" i="2"/>
  <c r="B35615" i="2"/>
  <c r="B16212" i="2"/>
  <c r="B21485" i="2"/>
  <c r="B3169" i="2"/>
  <c r="B32272" i="2"/>
  <c r="B13298" i="2"/>
  <c r="B4465" i="2"/>
  <c r="B22646" i="2"/>
  <c r="B12568" i="2"/>
  <c r="B32954" i="2"/>
  <c r="B11344" i="2"/>
  <c r="B4952" i="2"/>
  <c r="B4598" i="2"/>
  <c r="B25383" i="2"/>
  <c r="B32980" i="2"/>
  <c r="B26798" i="2"/>
  <c r="B14377" i="2"/>
  <c r="B2757" i="2"/>
  <c r="B18636" i="2"/>
  <c r="B302" i="2"/>
  <c r="B14205" i="2"/>
  <c r="B14767" i="2"/>
  <c r="B13662" i="2"/>
  <c r="B941" i="2"/>
  <c r="B34303" i="2"/>
  <c r="B23554" i="2"/>
  <c r="B11947" i="2"/>
  <c r="B25807" i="2"/>
  <c r="B8554" i="2"/>
  <c r="B32130" i="2"/>
  <c r="B19817" i="2"/>
  <c r="B390" i="2"/>
  <c r="B35460" i="2"/>
  <c r="B11003" i="2"/>
  <c r="B9319" i="2"/>
  <c r="B551" i="2"/>
  <c r="B31700" i="2"/>
  <c r="B5401" i="2"/>
  <c r="B31833" i="2"/>
  <c r="B25032" i="2"/>
  <c r="B28175" i="2"/>
  <c r="B6614" i="2"/>
  <c r="B26992" i="2"/>
  <c r="B979" i="2"/>
  <c r="B15197" i="2"/>
  <c r="B30698" i="2"/>
  <c r="B26676" i="2"/>
  <c r="B4493" i="2"/>
  <c r="B19594" i="2"/>
  <c r="B32963" i="2"/>
  <c r="B12820" i="2"/>
  <c r="B17518" i="2"/>
  <c r="B1865" i="2"/>
  <c r="B11033" i="2"/>
  <c r="B16473" i="2"/>
  <c r="B17718" i="2"/>
  <c r="B36102" i="2"/>
  <c r="B859" i="2"/>
  <c r="B6226" i="2"/>
  <c r="B17054" i="2"/>
  <c r="B31913" i="2"/>
  <c r="B752" i="2"/>
  <c r="B24560" i="2"/>
  <c r="B8399" i="2"/>
  <c r="B9398" i="2"/>
  <c r="B16009" i="2"/>
  <c r="B22771" i="2"/>
  <c r="B13967" i="2"/>
  <c r="B7685" i="2"/>
  <c r="B345" i="2"/>
  <c r="B2586" i="2"/>
  <c r="B31471" i="2"/>
  <c r="B13459" i="2"/>
  <c r="B1077" i="2"/>
  <c r="B35130" i="2"/>
  <c r="B22687" i="2"/>
  <c r="B13823" i="2"/>
  <c r="B27623" i="2"/>
  <c r="B24871" i="2"/>
  <c r="B17681" i="2"/>
  <c r="B6804" i="2"/>
  <c r="B13383" i="2"/>
  <c r="B25179" i="2"/>
  <c r="B6008" i="2"/>
  <c r="B2596" i="2"/>
  <c r="B29365" i="2"/>
  <c r="B20204" i="2"/>
  <c r="B23471" i="2"/>
  <c r="B22474" i="2"/>
  <c r="B7353" i="2"/>
  <c r="B34377" i="2"/>
  <c r="B29539" i="2"/>
  <c r="B23096" i="2"/>
  <c r="B13483" i="2"/>
  <c r="B14007" i="2"/>
  <c r="B14239" i="2"/>
  <c r="B35635" i="2"/>
  <c r="B36266" i="2"/>
  <c r="B35568" i="2"/>
  <c r="B15911" i="2"/>
  <c r="B16754" i="2"/>
  <c r="B35211" i="2"/>
  <c r="B11483" i="2"/>
  <c r="B25519" i="2"/>
  <c r="B35007" i="2"/>
  <c r="B13955" i="2"/>
  <c r="B23375" i="2"/>
  <c r="B7437" i="2"/>
  <c r="B27785" i="2"/>
  <c r="B3993" i="2"/>
  <c r="B35848" i="2"/>
  <c r="B3171" i="2"/>
  <c r="B26937" i="2"/>
  <c r="B7517" i="2"/>
  <c r="B15583" i="2"/>
  <c r="B6817" i="2"/>
  <c r="B6871" i="2"/>
  <c r="B18098" i="2"/>
  <c r="B2517" i="2"/>
  <c r="B7620" i="2"/>
  <c r="B20155" i="2"/>
  <c r="B8192" i="2"/>
  <c r="B30013" i="2"/>
  <c r="B26530" i="2"/>
  <c r="B28995" i="2"/>
  <c r="B29304" i="2"/>
  <c r="B11772" i="2"/>
  <c r="B5738" i="2"/>
  <c r="B27087" i="2"/>
  <c r="B21884" i="2"/>
  <c r="B23987" i="2"/>
  <c r="B24692" i="2"/>
  <c r="B22304" i="2"/>
  <c r="B34611" i="2"/>
  <c r="B31055" i="2"/>
  <c r="B12865" i="2"/>
  <c r="B8888" i="2"/>
  <c r="B2431" i="2"/>
  <c r="B30231" i="2"/>
  <c r="B17849" i="2"/>
  <c r="B17163" i="2"/>
  <c r="B28195" i="2"/>
  <c r="B17303" i="2"/>
  <c r="B5558" i="2"/>
  <c r="B328" i="2"/>
  <c r="B17432" i="2"/>
  <c r="B36219" i="2"/>
  <c r="B2668" i="2"/>
  <c r="B25899" i="2"/>
  <c r="B26655" i="2"/>
  <c r="B17019" i="2"/>
  <c r="B30402" i="2"/>
  <c r="B17188" i="2"/>
  <c r="B17066" i="2"/>
  <c r="B16880" i="2"/>
  <c r="B23632" i="2"/>
  <c r="B31923" i="2"/>
  <c r="B34060" i="2"/>
  <c r="B28774" i="2"/>
  <c r="B19146" i="2"/>
  <c r="B30349" i="2"/>
  <c r="B6254" i="2"/>
  <c r="B15199" i="2"/>
  <c r="B17316" i="2"/>
  <c r="B12850" i="2"/>
  <c r="B15025" i="2"/>
  <c r="B9511" i="2"/>
  <c r="B20848" i="2"/>
  <c r="B30824" i="2"/>
  <c r="B11307" i="2"/>
  <c r="B2075" i="2"/>
  <c r="B27961" i="2"/>
  <c r="B21061" i="2"/>
  <c r="B34653" i="2"/>
  <c r="B33767" i="2"/>
  <c r="B32401" i="2"/>
  <c r="B3803" i="2"/>
  <c r="B24748" i="2"/>
  <c r="B19620" i="2"/>
  <c r="B7398" i="2"/>
  <c r="B23063" i="2"/>
  <c r="B14441" i="2"/>
  <c r="B27084" i="2"/>
  <c r="B5317" i="2"/>
  <c r="B506" i="2"/>
  <c r="B6641" i="2"/>
  <c r="B27507" i="2"/>
  <c r="B31863" i="2"/>
  <c r="B23171" i="2"/>
  <c r="B5461" i="2"/>
  <c r="B3655" i="2"/>
  <c r="B22395" i="2"/>
  <c r="B23585" i="2"/>
  <c r="B26885" i="2"/>
  <c r="B17523" i="2"/>
  <c r="B9092" i="2"/>
  <c r="B6396" i="2"/>
  <c r="B28460" i="2"/>
  <c r="B12290" i="2"/>
  <c r="B9183" i="2"/>
  <c r="B29479" i="2"/>
  <c r="B27940" i="2"/>
  <c r="B18612" i="2"/>
  <c r="B33630" i="2"/>
  <c r="B35121" i="2"/>
  <c r="B34900" i="2"/>
  <c r="B542" i="2"/>
  <c r="B35230" i="2"/>
  <c r="B34821" i="2"/>
  <c r="B10644" i="2"/>
  <c r="B4137" i="2"/>
  <c r="B28999" i="2"/>
  <c r="B374" i="2"/>
  <c r="B16906" i="2"/>
  <c r="B2985" i="2"/>
  <c r="B10223" i="2"/>
  <c r="B16867" i="2"/>
  <c r="B16181" i="2"/>
  <c r="B5049" i="2"/>
  <c r="B8867" i="2"/>
  <c r="B31717" i="2"/>
  <c r="B312" i="2"/>
  <c r="B25440" i="2"/>
  <c r="B6733" i="2"/>
  <c r="B12268" i="2"/>
  <c r="B16126" i="2"/>
  <c r="B16356" i="2"/>
  <c r="B9773" i="2"/>
  <c r="B22321" i="2"/>
  <c r="B19105" i="2"/>
  <c r="B29339" i="2"/>
  <c r="B7300" i="2"/>
  <c r="B34968" i="2"/>
  <c r="B2293" i="2"/>
  <c r="B28558" i="2"/>
  <c r="B11998" i="2"/>
  <c r="B33547" i="2"/>
  <c r="B16421" i="2"/>
  <c r="B31230" i="2"/>
  <c r="B13773" i="2"/>
  <c r="B15368" i="2"/>
  <c r="B2557" i="2"/>
  <c r="B8299" i="2"/>
  <c r="B28559" i="2"/>
  <c r="B28253" i="2"/>
  <c r="B2594" i="2"/>
  <c r="B23877" i="2"/>
  <c r="B17486" i="2"/>
  <c r="B14413" i="2"/>
  <c r="B30156" i="2"/>
  <c r="B20686" i="2"/>
  <c r="B24667" i="2"/>
  <c r="B23936" i="2"/>
  <c r="B1819" i="2"/>
  <c r="B2008" i="2"/>
  <c r="B2035" i="2"/>
  <c r="B10772" i="2"/>
  <c r="B33128" i="2"/>
  <c r="B17053" i="2"/>
  <c r="B33281" i="2"/>
  <c r="B25708" i="2"/>
  <c r="B8540" i="2"/>
  <c r="B17941" i="2"/>
  <c r="B7611" i="2"/>
  <c r="B11878" i="2"/>
  <c r="B8402" i="2"/>
  <c r="B33307" i="2"/>
  <c r="B2971" i="2"/>
  <c r="B7392" i="2"/>
  <c r="B9084" i="2"/>
  <c r="B5913" i="2"/>
  <c r="B15200" i="2"/>
  <c r="B7147" i="2"/>
  <c r="B7822" i="2"/>
  <c r="B16301" i="2"/>
  <c r="B8812" i="2"/>
  <c r="B4597" i="2"/>
  <c r="B19576" i="2"/>
  <c r="B15580" i="2"/>
  <c r="B34800" i="2"/>
  <c r="B3201" i="2"/>
  <c r="B29714" i="2"/>
  <c r="B16995" i="2"/>
  <c r="B31195" i="2"/>
  <c r="B30744" i="2"/>
  <c r="B16222" i="2"/>
  <c r="B19560" i="2"/>
  <c r="B13838" i="2"/>
  <c r="B6858" i="2"/>
  <c r="B20017" i="2"/>
  <c r="B15302" i="2"/>
  <c r="B25098" i="2"/>
  <c r="B16658" i="2"/>
  <c r="B8208" i="2"/>
  <c r="B28444" i="2"/>
  <c r="B32802" i="2"/>
  <c r="B8054" i="2"/>
  <c r="B12452" i="2"/>
  <c r="B4013" i="2"/>
  <c r="B29124" i="2"/>
  <c r="B13825" i="2"/>
  <c r="B1040" i="2"/>
  <c r="B19143" i="2"/>
  <c r="B7877" i="2"/>
  <c r="B9559" i="2"/>
  <c r="B24304" i="2"/>
  <c r="B8016" i="2"/>
  <c r="B8111" i="2"/>
  <c r="B24276" i="2"/>
  <c r="B33480" i="2"/>
  <c r="B16022" i="2"/>
  <c r="B26291" i="2"/>
  <c r="B4461" i="2"/>
  <c r="B6649" i="2"/>
  <c r="B30497" i="2"/>
  <c r="B21997" i="2"/>
  <c r="B2936" i="2"/>
  <c r="B1932" i="2"/>
  <c r="B7980" i="2"/>
  <c r="B8310" i="2"/>
  <c r="B4466" i="2"/>
  <c r="B4500" i="2"/>
  <c r="B28717" i="2"/>
  <c r="B2905" i="2"/>
  <c r="B32881" i="2"/>
  <c r="B30267" i="2"/>
  <c r="B911" i="2"/>
  <c r="B16813" i="2"/>
  <c r="B19333" i="2"/>
  <c r="B3521" i="2"/>
  <c r="B3053" i="2"/>
  <c r="B10690" i="2"/>
  <c r="B8029" i="2"/>
  <c r="B25910" i="2"/>
  <c r="B28247" i="2"/>
  <c r="B36323" i="2"/>
  <c r="B21085" i="2"/>
  <c r="B34350" i="2"/>
  <c r="B35664" i="2"/>
  <c r="B31072" i="2"/>
  <c r="B28531" i="2"/>
  <c r="B30912" i="2"/>
  <c r="B8869" i="2"/>
  <c r="B8365" i="2"/>
  <c r="B34197" i="2"/>
  <c r="B24900" i="2"/>
  <c r="B34364" i="2"/>
  <c r="B16477" i="2"/>
  <c r="B30933" i="2"/>
  <c r="B28339" i="2"/>
  <c r="B6070" i="2"/>
  <c r="B5826" i="2"/>
  <c r="B8419" i="2"/>
  <c r="B23192" i="2"/>
  <c r="B21217" i="2"/>
  <c r="B1079" i="2"/>
  <c r="B5298" i="2"/>
  <c r="B8697" i="2"/>
  <c r="B5062" i="2"/>
  <c r="B6095" i="2"/>
  <c r="B29481" i="2"/>
  <c r="B6415" i="2"/>
  <c r="B3967" i="2"/>
  <c r="B15590" i="2"/>
  <c r="B29987" i="2"/>
  <c r="B25559" i="2"/>
  <c r="B23516" i="2"/>
  <c r="B927" i="2"/>
  <c r="B35650" i="2"/>
  <c r="B33874" i="2"/>
  <c r="B3345" i="2"/>
  <c r="B18208" i="2"/>
  <c r="B24070" i="2"/>
  <c r="B7933" i="2"/>
  <c r="B22968" i="2"/>
  <c r="B6428" i="2"/>
  <c r="B28632" i="2"/>
  <c r="B10297" i="2"/>
  <c r="B28127" i="2"/>
  <c r="B13736" i="2"/>
  <c r="B11758" i="2"/>
  <c r="B402" i="2"/>
  <c r="B30315" i="2"/>
  <c r="B29459" i="2"/>
  <c r="B4817" i="2"/>
  <c r="B4362" i="2"/>
  <c r="B33188" i="2"/>
  <c r="B36097" i="2"/>
  <c r="B14005" i="2"/>
  <c r="B22247" i="2"/>
  <c r="B16440" i="2"/>
  <c r="B28319" i="2"/>
  <c r="B5409" i="2"/>
  <c r="B7823" i="2"/>
  <c r="B31430" i="2"/>
  <c r="B17778" i="2"/>
  <c r="B2675" i="2"/>
  <c r="B9122" i="2"/>
  <c r="B8009" i="2"/>
  <c r="B3609" i="2"/>
  <c r="B24018" i="2"/>
  <c r="B28885" i="2"/>
  <c r="B18554" i="2"/>
  <c r="B7097" i="2"/>
  <c r="B18808" i="2"/>
  <c r="B12618" i="2"/>
  <c r="B15977" i="2"/>
  <c r="B17727" i="2"/>
  <c r="B13587" i="2"/>
  <c r="B20844" i="2"/>
  <c r="B32500" i="2"/>
  <c r="B31073" i="2"/>
  <c r="B22023" i="2"/>
  <c r="B12483" i="2"/>
  <c r="B20825" i="2"/>
  <c r="B2563" i="2"/>
  <c r="B35507" i="2"/>
  <c r="B15579" i="2"/>
  <c r="B17490" i="2"/>
  <c r="B11969" i="2"/>
  <c r="B4794" i="2"/>
  <c r="B10435" i="2"/>
  <c r="B13396" i="2"/>
  <c r="B23081" i="2"/>
  <c r="B32760" i="2"/>
  <c r="B1667" i="2"/>
  <c r="B25996" i="2"/>
  <c r="B7464" i="2"/>
  <c r="B32742" i="2"/>
  <c r="B24561" i="2"/>
  <c r="B24056" i="2"/>
  <c r="B8014" i="2"/>
  <c r="B24523" i="2"/>
  <c r="B23903" i="2"/>
  <c r="B23872" i="2"/>
  <c r="B24679" i="2"/>
  <c r="B17670" i="2"/>
  <c r="B20268" i="2"/>
  <c r="B15280" i="2"/>
  <c r="B21059" i="2"/>
  <c r="B22667" i="2"/>
  <c r="B36043" i="2"/>
  <c r="B33611" i="2"/>
  <c r="B8639" i="2"/>
  <c r="B686" i="2"/>
  <c r="B22714" i="2"/>
  <c r="B26948" i="2"/>
  <c r="B9649" i="2"/>
  <c r="B24112" i="2"/>
  <c r="B29278" i="2"/>
  <c r="B14307" i="2"/>
  <c r="B6100" i="2"/>
  <c r="B18384" i="2"/>
  <c r="B35749" i="2"/>
  <c r="B25744" i="2"/>
  <c r="B34426" i="2"/>
  <c r="B29994" i="2"/>
  <c r="B10238" i="2"/>
  <c r="B11471" i="2"/>
  <c r="B3684" i="2"/>
  <c r="B15264" i="2"/>
  <c r="B35331" i="2"/>
  <c r="B30014" i="2"/>
  <c r="B35748" i="2"/>
  <c r="B10648" i="2"/>
  <c r="B13598" i="2"/>
  <c r="B2226" i="2"/>
  <c r="B12900" i="2"/>
  <c r="B12898" i="2"/>
  <c r="B1554" i="2"/>
  <c r="B31752" i="2"/>
  <c r="B30401" i="2"/>
  <c r="B19149" i="2"/>
  <c r="B24764" i="2"/>
  <c r="B6820" i="2"/>
  <c r="B25223" i="2"/>
  <c r="B8273" i="2"/>
  <c r="B33094" i="2"/>
  <c r="B3033" i="2"/>
  <c r="B30378" i="2"/>
  <c r="B10215" i="2"/>
  <c r="B9943" i="2"/>
  <c r="B35306" i="2"/>
  <c r="B11063" i="2"/>
  <c r="B675" i="2"/>
  <c r="B35513" i="2"/>
  <c r="B24213" i="2"/>
  <c r="B18599" i="2"/>
  <c r="B33540" i="2"/>
  <c r="B34201" i="2"/>
  <c r="B19177" i="2"/>
  <c r="B21965" i="2"/>
  <c r="B13771" i="2"/>
  <c r="B1754" i="2"/>
  <c r="B32626" i="2"/>
  <c r="B15360" i="2"/>
  <c r="B939" i="2"/>
  <c r="B34112" i="2"/>
  <c r="B19175" i="2"/>
  <c r="B33367" i="2"/>
  <c r="B23686" i="2"/>
  <c r="B6351" i="2"/>
  <c r="B29078" i="2"/>
  <c r="B2019" i="2"/>
  <c r="B31177" i="2"/>
  <c r="B11777" i="2"/>
  <c r="B5833" i="2"/>
  <c r="B18550" i="2"/>
  <c r="B9077" i="2"/>
  <c r="B7439" i="2"/>
  <c r="B9833" i="2"/>
  <c r="B20656" i="2"/>
  <c r="B19244" i="2"/>
  <c r="B6986" i="2"/>
  <c r="B20013" i="2"/>
  <c r="B16650" i="2"/>
  <c r="B20465" i="2"/>
  <c r="B17396" i="2"/>
  <c r="B26239" i="2"/>
  <c r="B13066" i="2"/>
  <c r="B26475" i="2"/>
  <c r="B23837" i="2"/>
  <c r="B6197" i="2"/>
  <c r="B6666" i="2"/>
  <c r="B20117" i="2"/>
  <c r="B12322" i="2"/>
  <c r="B16773" i="2"/>
  <c r="B24277" i="2"/>
  <c r="B3487" i="2"/>
  <c r="B28857" i="2"/>
  <c r="B28700" i="2"/>
  <c r="B1636" i="2"/>
  <c r="B15053" i="2"/>
  <c r="B5154" i="2"/>
  <c r="B1038" i="2"/>
  <c r="B9797" i="2"/>
  <c r="B12771" i="2"/>
  <c r="B33811" i="2"/>
  <c r="B27932" i="2"/>
  <c r="B17412" i="2"/>
  <c r="B9019" i="2"/>
  <c r="B658" i="2"/>
  <c r="B9262" i="2"/>
  <c r="B21892" i="2"/>
  <c r="B35455" i="2"/>
  <c r="B2388" i="2"/>
  <c r="B3430" i="2"/>
  <c r="B2160" i="2"/>
  <c r="B13313" i="2"/>
  <c r="B29960" i="2"/>
  <c r="B17140" i="2"/>
  <c r="B35841" i="2"/>
  <c r="B36342" i="2"/>
  <c r="B13037" i="2"/>
  <c r="B9981" i="2"/>
  <c r="B15056" i="2"/>
  <c r="B19405" i="2"/>
  <c r="B2138" i="2"/>
  <c r="B28180" i="2"/>
  <c r="B20716" i="2"/>
  <c r="B20223" i="2"/>
  <c r="B33168" i="2"/>
  <c r="B5830" i="2"/>
  <c r="B11808" i="2"/>
  <c r="B18516" i="2"/>
  <c r="B9067" i="2"/>
  <c r="B8856" i="2"/>
  <c r="B19276" i="2"/>
  <c r="B10863" i="2"/>
  <c r="B8368" i="2"/>
  <c r="B18282" i="2"/>
  <c r="B18168" i="2"/>
  <c r="B9731" i="2"/>
  <c r="B8796" i="2"/>
  <c r="B13305" i="2"/>
  <c r="B15791" i="2"/>
  <c r="B33900" i="2"/>
  <c r="B16432" i="2"/>
  <c r="B2027" i="2"/>
  <c r="B21757" i="2"/>
  <c r="B8197" i="2"/>
  <c r="B17729" i="2"/>
  <c r="B13870" i="2"/>
  <c r="B26484" i="2"/>
  <c r="B11571" i="2"/>
  <c r="B17481" i="2"/>
  <c r="B21847" i="2"/>
  <c r="B3226" i="2"/>
  <c r="B35770" i="2"/>
  <c r="B29063" i="2"/>
  <c r="B12657" i="2"/>
  <c r="B10267" i="2"/>
  <c r="B1600" i="2"/>
  <c r="B8655" i="2"/>
  <c r="B19210" i="2"/>
  <c r="B3526" i="2"/>
  <c r="B1470" i="2"/>
  <c r="B26131" i="2"/>
  <c r="B28685" i="2"/>
  <c r="B106" i="2"/>
  <c r="B35021" i="2"/>
  <c r="B32339" i="2"/>
  <c r="B15954" i="2"/>
  <c r="B23360" i="2"/>
  <c r="B10135" i="2"/>
  <c r="B22360" i="2"/>
  <c r="B30177" i="2"/>
  <c r="B19556" i="2"/>
  <c r="B8745" i="2"/>
  <c r="B9307" i="2"/>
  <c r="B8131" i="2"/>
  <c r="B2190" i="2"/>
  <c r="B16154" i="2"/>
  <c r="B16000" i="2"/>
  <c r="B21640" i="2"/>
  <c r="B909" i="2"/>
  <c r="B25644" i="2"/>
  <c r="B14182" i="2"/>
  <c r="B27819" i="2"/>
  <c r="B8614" i="2"/>
  <c r="B8189" i="2"/>
  <c r="B17380" i="2"/>
  <c r="B19243" i="2"/>
  <c r="B24253" i="2"/>
  <c r="B8306" i="2"/>
  <c r="B31738" i="2"/>
  <c r="B7773" i="2"/>
  <c r="B19622" i="2"/>
  <c r="B18236" i="2"/>
  <c r="B35940" i="2"/>
  <c r="B29335" i="2"/>
  <c r="B32122" i="2"/>
  <c r="B251" i="2"/>
  <c r="B21180" i="2"/>
  <c r="B30982" i="2"/>
  <c r="B13036" i="2"/>
  <c r="B3572" i="2"/>
  <c r="B4633" i="2"/>
  <c r="B25409" i="2"/>
  <c r="B176" i="2"/>
  <c r="B3361" i="2"/>
  <c r="B2314" i="2"/>
  <c r="B34766" i="2"/>
  <c r="B15461" i="2"/>
  <c r="B35974" i="2"/>
  <c r="B16133" i="2"/>
  <c r="B36369" i="2"/>
  <c r="B25715" i="2"/>
  <c r="B24314" i="2"/>
  <c r="B32176" i="2"/>
  <c r="B7725" i="2"/>
  <c r="B23151" i="2"/>
  <c r="B13040" i="2"/>
  <c r="B27693" i="2"/>
  <c r="B32734" i="2"/>
  <c r="B34662" i="2"/>
  <c r="B5766" i="2"/>
  <c r="B17172" i="2"/>
  <c r="B16310" i="2"/>
  <c r="B33969" i="2"/>
  <c r="B11362" i="2"/>
  <c r="B18147" i="2"/>
  <c r="B787" i="2"/>
  <c r="B2343" i="2"/>
  <c r="B9056" i="2"/>
  <c r="B15505" i="2"/>
  <c r="B8357" i="2"/>
  <c r="B1601" i="2"/>
  <c r="B14470" i="2"/>
  <c r="B15554" i="2"/>
  <c r="B23789" i="2"/>
  <c r="B1944" i="2"/>
  <c r="B1496" i="2"/>
  <c r="B14918" i="2"/>
  <c r="B3003" i="2"/>
  <c r="B425" i="2"/>
  <c r="B29524" i="2"/>
  <c r="B14457" i="2"/>
  <c r="B14992" i="2"/>
  <c r="B14313" i="2"/>
  <c r="B27417" i="2"/>
  <c r="B31993" i="2"/>
  <c r="B21822" i="2"/>
  <c r="B16208" i="2"/>
  <c r="B27156" i="2"/>
  <c r="B26502" i="2"/>
  <c r="B17342" i="2"/>
  <c r="B17605" i="2"/>
  <c r="B5588" i="2"/>
  <c r="B16989" i="2"/>
  <c r="B25674" i="2"/>
  <c r="B25683" i="2"/>
  <c r="B34594" i="2"/>
  <c r="B6163" i="2"/>
  <c r="B428" i="2"/>
  <c r="B17872" i="2"/>
  <c r="B3611" i="2"/>
  <c r="B4418" i="2"/>
  <c r="B30142" i="2"/>
  <c r="B17362" i="2"/>
  <c r="B27963" i="2"/>
  <c r="B4211" i="2"/>
  <c r="B18411" i="2"/>
  <c r="B1476" i="2"/>
  <c r="B10419" i="2"/>
  <c r="B35054" i="2"/>
  <c r="B14998" i="2"/>
  <c r="B33779" i="2"/>
  <c r="B22421" i="2"/>
  <c r="B5524" i="2"/>
  <c r="B10185" i="2"/>
  <c r="B13467" i="2"/>
  <c r="B12749" i="2"/>
  <c r="B34411" i="2"/>
  <c r="B36193" i="2"/>
  <c r="B7874" i="2"/>
  <c r="B9123" i="2"/>
  <c r="B25865" i="2"/>
  <c r="B21744" i="2"/>
  <c r="B9425" i="2"/>
  <c r="B7898" i="2"/>
  <c r="B14719" i="2"/>
  <c r="B12338" i="2"/>
  <c r="B23724" i="2"/>
  <c r="B31316" i="2"/>
  <c r="B1805" i="2"/>
  <c r="B26871" i="2"/>
  <c r="B9419" i="2"/>
  <c r="B1732" i="2"/>
  <c r="B11371" i="2"/>
  <c r="B22125" i="2"/>
  <c r="B34813" i="2"/>
  <c r="B21974" i="2"/>
  <c r="B1297" i="2"/>
  <c r="B18184" i="2"/>
  <c r="B10336" i="2"/>
  <c r="B10955" i="2"/>
  <c r="B22030" i="2"/>
  <c r="B16027" i="2"/>
  <c r="B32402" i="2"/>
  <c r="B20819" i="2"/>
  <c r="B18958" i="2"/>
  <c r="B27675" i="2"/>
  <c r="B2074" i="2"/>
  <c r="B3363" i="2"/>
  <c r="B35744" i="2"/>
  <c r="B1265" i="2"/>
  <c r="B21819" i="2"/>
  <c r="B31234" i="2"/>
  <c r="B8864" i="2"/>
  <c r="B16197" i="2"/>
  <c r="B12154" i="2"/>
  <c r="B8590" i="2"/>
  <c r="B19140" i="2"/>
  <c r="B13678" i="2"/>
  <c r="B17307" i="2"/>
  <c r="B21225" i="2"/>
  <c r="B6247" i="2"/>
  <c r="B32949" i="2"/>
  <c r="B11674" i="2"/>
  <c r="B6886" i="2"/>
  <c r="B6283" i="2"/>
  <c r="B18322" i="2"/>
  <c r="B15354" i="2"/>
  <c r="B16110" i="2"/>
  <c r="B4681" i="2"/>
  <c r="B34755" i="2"/>
  <c r="B9582" i="2"/>
  <c r="B29093" i="2"/>
  <c r="B10155" i="2"/>
  <c r="B9859" i="2"/>
  <c r="B30125" i="2"/>
  <c r="B5585" i="2"/>
  <c r="B13464" i="2"/>
  <c r="B17493" i="2"/>
  <c r="B35812" i="2"/>
  <c r="B10876" i="2"/>
  <c r="B19591" i="2"/>
  <c r="B20006" i="2"/>
  <c r="B4115" i="2"/>
  <c r="B34506" i="2"/>
  <c r="B19789" i="2"/>
  <c r="B10842" i="2"/>
  <c r="B32655" i="2"/>
  <c r="B3681" i="2"/>
  <c r="B31547" i="2"/>
  <c r="B8491" i="2"/>
  <c r="B7278" i="2"/>
  <c r="B11743" i="2"/>
  <c r="B7553" i="2"/>
  <c r="B16940" i="2"/>
  <c r="B25327" i="2"/>
  <c r="B25088" i="2"/>
  <c r="B5799" i="2"/>
  <c r="B13613" i="2"/>
  <c r="B21255" i="2"/>
  <c r="B14363" i="2"/>
  <c r="B24116" i="2"/>
  <c r="B7408" i="2"/>
  <c r="B6604" i="2"/>
  <c r="B27058" i="2"/>
  <c r="B29178" i="2"/>
  <c r="B4095" i="2"/>
  <c r="B32908" i="2"/>
  <c r="B25380" i="2"/>
  <c r="B35870" i="2"/>
  <c r="B16328" i="2"/>
  <c r="B16338" i="2"/>
  <c r="B30466" i="2"/>
  <c r="B13157" i="2"/>
  <c r="B10056" i="2"/>
  <c r="B12396" i="2"/>
  <c r="B33496" i="2"/>
  <c r="B12175" i="2"/>
  <c r="B10018" i="2"/>
  <c r="B28341" i="2"/>
  <c r="B18804" i="2"/>
  <c r="B23381" i="2"/>
  <c r="B29004" i="2"/>
  <c r="B9391" i="2"/>
  <c r="B11436" i="2"/>
  <c r="B22427" i="2"/>
  <c r="B7327" i="2"/>
  <c r="B28968" i="2"/>
  <c r="B17530" i="2"/>
  <c r="B16307" i="2"/>
  <c r="B24441" i="2"/>
  <c r="B30346" i="2"/>
  <c r="B4564" i="2"/>
  <c r="B22104" i="2"/>
  <c r="B11057" i="2"/>
  <c r="B36024" i="2"/>
  <c r="B17290" i="2"/>
  <c r="B8120" i="2"/>
  <c r="B8763" i="2"/>
  <c r="B27041" i="2"/>
  <c r="B23797" i="2"/>
  <c r="B17954" i="2"/>
  <c r="B10413" i="2"/>
  <c r="B11574" i="2"/>
  <c r="B9984" i="2"/>
  <c r="B12231" i="2"/>
  <c r="B5598" i="2"/>
  <c r="B5341" i="2"/>
  <c r="B30979" i="2"/>
  <c r="B27926" i="2"/>
  <c r="B27142" i="2"/>
  <c r="B24915" i="2"/>
  <c r="B5669" i="2"/>
  <c r="B5657" i="2"/>
  <c r="B7947" i="2"/>
  <c r="B7815" i="2"/>
  <c r="B26089" i="2"/>
  <c r="B25195" i="2"/>
  <c r="B27255" i="2"/>
  <c r="B7853" i="2"/>
  <c r="B2535" i="2"/>
  <c r="B14653" i="2"/>
  <c r="B24894" i="2"/>
  <c r="B13004" i="2"/>
  <c r="B6988" i="2"/>
  <c r="B31515" i="2"/>
  <c r="B30408" i="2"/>
  <c r="B4750" i="2"/>
  <c r="B26731" i="2"/>
  <c r="B5065" i="2"/>
  <c r="B13148" i="2"/>
  <c r="B24901" i="2"/>
  <c r="B5684" i="2"/>
  <c r="B9360" i="2"/>
  <c r="B35395" i="2"/>
  <c r="B23040" i="2"/>
  <c r="B5472" i="2"/>
  <c r="B14354" i="2"/>
  <c r="B15813" i="2"/>
  <c r="B36037" i="2"/>
  <c r="B12610" i="2"/>
  <c r="B29547" i="2"/>
  <c r="B29143" i="2"/>
  <c r="B13375" i="2"/>
  <c r="B10012" i="2"/>
  <c r="B2541" i="2"/>
  <c r="B7968" i="2"/>
  <c r="B8567" i="2"/>
  <c r="B7245" i="2"/>
  <c r="B26042" i="2"/>
  <c r="B33357" i="2"/>
  <c r="B20421" i="2"/>
  <c r="B26386" i="2"/>
  <c r="B8301" i="2"/>
  <c r="B19491" i="2"/>
  <c r="B21231" i="2"/>
  <c r="B31441" i="2"/>
  <c r="B31974" i="2"/>
  <c r="B4674" i="2"/>
  <c r="B31308" i="2"/>
  <c r="B31650" i="2"/>
  <c r="B15861" i="2"/>
  <c r="B17142" i="2"/>
  <c r="B24772" i="2"/>
  <c r="B5356" i="2"/>
  <c r="B29746" i="2"/>
  <c r="B31276" i="2"/>
  <c r="B3237" i="2"/>
  <c r="B15604" i="2"/>
  <c r="B15028" i="2"/>
  <c r="B6422" i="2"/>
  <c r="B34673" i="2"/>
  <c r="B27365" i="2"/>
  <c r="B20738" i="2"/>
  <c r="B18529" i="2"/>
  <c r="B30160" i="2"/>
  <c r="B12432" i="2"/>
  <c r="B3282" i="2"/>
  <c r="B24401" i="2"/>
  <c r="B6162" i="2"/>
  <c r="B20991" i="2"/>
  <c r="B7175" i="2"/>
  <c r="B36136" i="2"/>
  <c r="B24073" i="2"/>
  <c r="B23026" i="2"/>
  <c r="B13409" i="2"/>
  <c r="B2626" i="2"/>
  <c r="B9100" i="2"/>
  <c r="B2679" i="2"/>
  <c r="B24572" i="2"/>
  <c r="B27651" i="2"/>
  <c r="B8221" i="2"/>
  <c r="B29811" i="2"/>
  <c r="B19925" i="2"/>
  <c r="B6179" i="2"/>
  <c r="B7462" i="2"/>
  <c r="B21149" i="2"/>
  <c r="B8241" i="2"/>
  <c r="B23949" i="2"/>
  <c r="B24907" i="2"/>
  <c r="B24193" i="2"/>
  <c r="B12095" i="2"/>
  <c r="B13364" i="2"/>
  <c r="B26045" i="2"/>
  <c r="B548" i="2"/>
  <c r="B13688" i="2"/>
  <c r="B24597" i="2"/>
  <c r="B18565" i="2"/>
  <c r="B3266" i="2"/>
  <c r="B3906" i="2"/>
  <c r="B36118" i="2"/>
  <c r="B1814" i="2"/>
  <c r="B2754" i="2"/>
  <c r="B12639" i="2"/>
  <c r="B1413" i="2"/>
  <c r="B20337" i="2"/>
  <c r="B9213" i="2"/>
  <c r="B10795" i="2"/>
  <c r="B11270" i="2"/>
  <c r="B6450" i="2"/>
  <c r="B12288" i="2"/>
  <c r="B26228" i="2"/>
  <c r="B11789" i="2"/>
  <c r="B9565" i="2"/>
  <c r="B7342" i="2"/>
  <c r="B2919" i="2"/>
  <c r="B31427" i="2"/>
  <c r="B31509" i="2"/>
  <c r="B9094" i="2"/>
  <c r="B4803" i="2"/>
  <c r="B8816" i="2"/>
  <c r="B9666" i="2"/>
  <c r="B27141" i="2"/>
  <c r="B31942" i="2"/>
  <c r="B10375" i="2"/>
  <c r="B20719" i="2"/>
  <c r="B26168" i="2"/>
  <c r="B15877" i="2"/>
  <c r="B23042" i="2"/>
  <c r="B27427" i="2"/>
  <c r="B13781" i="2"/>
  <c r="B24798" i="2"/>
  <c r="B27014" i="2"/>
  <c r="B30153" i="2"/>
  <c r="B31005" i="2"/>
  <c r="B28533" i="2"/>
  <c r="B17244" i="2"/>
  <c r="B15289" i="2"/>
  <c r="B26914" i="2"/>
  <c r="B847" i="2"/>
  <c r="B8160" i="2"/>
  <c r="B5970" i="2"/>
  <c r="B7199" i="2"/>
  <c r="B8583" i="2"/>
  <c r="B27422" i="2"/>
  <c r="B11903" i="2"/>
  <c r="B8908" i="2"/>
  <c r="B9113" i="2"/>
  <c r="B25510" i="2"/>
  <c r="B16352" i="2"/>
  <c r="B24882" i="2"/>
  <c r="B16723" i="2"/>
  <c r="B6776" i="2"/>
  <c r="B10763" i="2"/>
  <c r="B13747" i="2"/>
  <c r="B22232" i="2"/>
  <c r="B20278" i="2"/>
  <c r="B15739" i="2"/>
  <c r="B31405" i="2"/>
  <c r="B27384" i="2"/>
  <c r="B20353" i="2"/>
  <c r="B22751" i="2"/>
  <c r="B9765" i="2"/>
  <c r="B23303" i="2"/>
  <c r="B7964" i="2"/>
  <c r="B16515" i="2"/>
  <c r="B22094" i="2"/>
  <c r="B9045" i="2"/>
  <c r="B13847" i="2"/>
  <c r="B20520" i="2"/>
  <c r="B12946" i="2"/>
  <c r="B25872" i="2"/>
  <c r="B17228" i="2"/>
  <c r="B6678" i="2"/>
  <c r="B16507" i="2"/>
  <c r="B31252" i="2"/>
  <c r="B33267" i="2"/>
  <c r="B3073" i="2"/>
  <c r="B4772" i="2"/>
  <c r="B8391" i="2"/>
  <c r="B19163" i="2"/>
  <c r="B1699" i="2"/>
  <c r="B18750" i="2"/>
  <c r="B14395" i="2"/>
  <c r="B34313" i="2"/>
  <c r="B3323" i="2"/>
  <c r="B2858" i="2"/>
  <c r="B22592" i="2"/>
  <c r="B14565" i="2"/>
  <c r="B3103" i="2"/>
  <c r="B9491" i="2"/>
  <c r="B18506" i="2"/>
  <c r="B17358" i="2"/>
  <c r="B14508" i="2"/>
  <c r="B20756" i="2"/>
  <c r="B21497" i="2"/>
  <c r="B23003" i="2"/>
  <c r="B9351" i="2"/>
  <c r="B20128" i="2"/>
  <c r="B17510" i="2"/>
  <c r="B32634" i="2"/>
  <c r="B28896" i="2"/>
  <c r="B24817" i="2"/>
  <c r="B6348" i="2"/>
  <c r="B33856" i="2"/>
  <c r="B32890" i="2"/>
  <c r="B23603" i="2"/>
  <c r="B33310" i="2"/>
  <c r="B33003" i="2"/>
  <c r="B7923" i="2"/>
  <c r="B27238" i="2"/>
  <c r="B33414" i="2"/>
  <c r="B24077" i="2"/>
  <c r="B16514" i="2"/>
  <c r="B5746" i="2"/>
  <c r="B15880" i="2"/>
  <c r="B31662" i="2"/>
  <c r="B8950" i="2"/>
  <c r="B9679" i="2"/>
  <c r="B4398" i="2"/>
  <c r="B31906" i="2"/>
  <c r="B26111" i="2"/>
  <c r="B31915" i="2"/>
  <c r="B22622" i="2"/>
  <c r="B7963" i="2"/>
  <c r="B32385" i="2"/>
  <c r="B33416" i="2"/>
  <c r="B25977" i="2"/>
  <c r="B3336" i="2"/>
  <c r="B20380" i="2"/>
  <c r="B27223" i="2"/>
  <c r="B24082" i="2"/>
  <c r="B26518" i="2"/>
  <c r="B24223" i="2"/>
  <c r="B7140" i="2"/>
  <c r="B25168" i="2"/>
  <c r="B25884" i="2"/>
  <c r="B7087" i="2"/>
  <c r="B23685" i="2"/>
  <c r="B5645" i="2"/>
  <c r="B4345" i="2"/>
  <c r="B5542" i="2"/>
  <c r="B19649" i="2"/>
  <c r="B27319" i="2"/>
  <c r="B32934" i="2"/>
  <c r="B25595" i="2"/>
  <c r="B5046" i="2"/>
  <c r="B7718" i="2"/>
  <c r="B6586" i="2"/>
  <c r="B21340" i="2"/>
  <c r="B11420" i="2"/>
  <c r="B16992" i="2"/>
  <c r="B25783" i="2"/>
  <c r="B4106" i="2"/>
  <c r="B23977" i="2"/>
  <c r="B15822" i="2"/>
  <c r="B8323" i="2"/>
  <c r="B13258" i="2"/>
  <c r="B25420" i="2"/>
  <c r="B19214" i="2"/>
  <c r="B25798" i="2"/>
  <c r="B15765" i="2"/>
  <c r="B23260" i="2"/>
  <c r="B25578" i="2"/>
  <c r="B20430" i="2"/>
  <c r="B24845" i="2"/>
  <c r="B4477" i="2"/>
  <c r="B15824" i="2"/>
  <c r="B24649" i="2"/>
  <c r="B1242" i="2"/>
  <c r="B6827" i="2"/>
  <c r="B29111" i="2"/>
  <c r="B21873" i="2"/>
  <c r="B21314" i="2"/>
  <c r="B6943" i="2"/>
  <c r="B36301" i="2"/>
  <c r="B7183" i="2"/>
  <c r="B24263" i="2"/>
  <c r="B9646" i="2"/>
  <c r="B16962" i="2"/>
  <c r="B20168" i="2"/>
  <c r="B4734" i="2"/>
  <c r="B25405" i="2"/>
  <c r="B14073" i="2"/>
  <c r="B26507" i="2"/>
  <c r="B14269" i="2"/>
  <c r="B5758" i="2"/>
  <c r="B26620" i="2"/>
  <c r="B7970" i="2"/>
  <c r="B482" i="2"/>
  <c r="B24159" i="2"/>
  <c r="B2647" i="2"/>
  <c r="B26050" i="2"/>
  <c r="B3039" i="2"/>
  <c r="B4862" i="2"/>
  <c r="B22008" i="2"/>
  <c r="B25964" i="2"/>
  <c r="B6993" i="2"/>
  <c r="B23730" i="2"/>
  <c r="B19078" i="2"/>
  <c r="B28860" i="2"/>
  <c r="B12725" i="2"/>
  <c r="B11456" i="2"/>
  <c r="B16600" i="2"/>
  <c r="B1122" i="2"/>
  <c r="B11923" i="2"/>
  <c r="B6506" i="2"/>
  <c r="B33392" i="2"/>
  <c r="B8127" i="2"/>
  <c r="B12417" i="2"/>
  <c r="B8532" i="2"/>
  <c r="B32985" i="2"/>
  <c r="B6281" i="2"/>
  <c r="B19468" i="2"/>
  <c r="B8124" i="2"/>
  <c r="B14402" i="2"/>
  <c r="B27620" i="2"/>
  <c r="B28413" i="2"/>
  <c r="B28411" i="2"/>
  <c r="B4790" i="2"/>
  <c r="B8083" i="2"/>
  <c r="B15560" i="2"/>
  <c r="B21869" i="2"/>
  <c r="B20123" i="2"/>
  <c r="B24719" i="2"/>
  <c r="B32187" i="2"/>
  <c r="B7312" i="2"/>
  <c r="B21855" i="2"/>
  <c r="B19731" i="2"/>
  <c r="B32753" i="2"/>
  <c r="B14801" i="2"/>
  <c r="B32567" i="2"/>
  <c r="B18781" i="2"/>
  <c r="B2336" i="2"/>
  <c r="B8631" i="2"/>
  <c r="B31334" i="2"/>
  <c r="B4920" i="2"/>
  <c r="B7472" i="2"/>
  <c r="B16875" i="2"/>
  <c r="B7839" i="2"/>
  <c r="B13203" i="2"/>
  <c r="B32348" i="2"/>
  <c r="B6094" i="2"/>
  <c r="B7579" i="2"/>
  <c r="B18944" i="2"/>
  <c r="B32932" i="2"/>
  <c r="B3117" i="2"/>
  <c r="B8161" i="2"/>
  <c r="B12897" i="2"/>
  <c r="B2962" i="2"/>
  <c r="B33648" i="2"/>
  <c r="B33440" i="2"/>
  <c r="B21108" i="2"/>
  <c r="B8550" i="2"/>
  <c r="B26144" i="2"/>
  <c r="B33788" i="2"/>
  <c r="B24477" i="2"/>
  <c r="B25606" i="2"/>
  <c r="B24599" i="2"/>
  <c r="B11559" i="2"/>
  <c r="B24684" i="2"/>
  <c r="B23733" i="2"/>
  <c r="B20476" i="2"/>
  <c r="B5063" i="2"/>
  <c r="B1950" i="2"/>
  <c r="B33166" i="2"/>
  <c r="B23481" i="2"/>
  <c r="B1044" i="2"/>
  <c r="B15838" i="2"/>
  <c r="B27151" i="2"/>
  <c r="B24375" i="2"/>
  <c r="B25587" i="2"/>
  <c r="B5814" i="2"/>
  <c r="B29597" i="2"/>
  <c r="B2704" i="2"/>
  <c r="B32968" i="2"/>
  <c r="B12521" i="2"/>
  <c r="B15003" i="2"/>
  <c r="B31929" i="2"/>
  <c r="B26480" i="2"/>
  <c r="B25584" i="2"/>
  <c r="B11043" i="2"/>
  <c r="B33451" i="2"/>
  <c r="B33149" i="2"/>
  <c r="B1369" i="2"/>
  <c r="B11320" i="2"/>
  <c r="B1004" i="2"/>
  <c r="B12258" i="2"/>
  <c r="B29705" i="2"/>
  <c r="B23901" i="2"/>
  <c r="B17410" i="2"/>
  <c r="B3417" i="2"/>
  <c r="B15867" i="2"/>
  <c r="B30103" i="2"/>
  <c r="B30038" i="2"/>
  <c r="B31290" i="2"/>
  <c r="B6193" i="2"/>
  <c r="B22568" i="2"/>
  <c r="B3276" i="2"/>
  <c r="B26946" i="2"/>
  <c r="B7538" i="2"/>
  <c r="B7857" i="2"/>
  <c r="B550" i="2"/>
  <c r="B33142" i="2"/>
  <c r="B9299" i="2"/>
  <c r="B23483" i="2"/>
  <c r="B32723" i="2"/>
  <c r="B15811" i="2"/>
  <c r="B5555" i="2"/>
  <c r="B19241" i="2"/>
  <c r="B3936" i="2"/>
  <c r="B33108" i="2"/>
  <c r="B16710" i="2"/>
  <c r="B26023" i="2"/>
  <c r="B17532" i="2"/>
  <c r="B6495" i="2"/>
  <c r="B13526" i="2"/>
  <c r="B3977" i="2"/>
  <c r="B8201" i="2"/>
  <c r="B24032" i="2"/>
  <c r="B750" i="2"/>
  <c r="B8848" i="2"/>
  <c r="B24429" i="2"/>
  <c r="B12308" i="2"/>
  <c r="B19575" i="2"/>
  <c r="B25332" i="2"/>
  <c r="B19989" i="2"/>
  <c r="B13550" i="2"/>
  <c r="B5628" i="2"/>
  <c r="B3449" i="2"/>
  <c r="B26693" i="2"/>
  <c r="B26956" i="2"/>
  <c r="B8312" i="2"/>
  <c r="B15610" i="2"/>
  <c r="B31854" i="2"/>
  <c r="B12701" i="2"/>
  <c r="B1183" i="2"/>
  <c r="B35124" i="2"/>
  <c r="B6238" i="2"/>
  <c r="B3973" i="2"/>
  <c r="B4132" i="2"/>
  <c r="B11212" i="2"/>
  <c r="B31380" i="2"/>
  <c r="B23376" i="2"/>
  <c r="B7445" i="2"/>
  <c r="B16411" i="2"/>
  <c r="B35187" i="2"/>
  <c r="B28323" i="2"/>
  <c r="B22613" i="2"/>
  <c r="B34546" i="2"/>
  <c r="B11530" i="2"/>
  <c r="B29923" i="2"/>
  <c r="B16198" i="2"/>
  <c r="B13506" i="2"/>
  <c r="B6414" i="2"/>
  <c r="B27710" i="2"/>
  <c r="B27830" i="2"/>
  <c r="B3193" i="2"/>
  <c r="B19001" i="2"/>
  <c r="B26103" i="2"/>
  <c r="B16013" i="2"/>
  <c r="B34505" i="2"/>
  <c r="B19010" i="2"/>
  <c r="B6554" i="2"/>
  <c r="B24615" i="2"/>
  <c r="B15876" i="2"/>
  <c r="B33185" i="2"/>
  <c r="B3657" i="2"/>
  <c r="B28433" i="2"/>
  <c r="B28705" i="2"/>
  <c r="B14507" i="2"/>
  <c r="B31413" i="2"/>
  <c r="B15891" i="2"/>
  <c r="B35583" i="2"/>
  <c r="B33605" i="2"/>
  <c r="B1537" i="2"/>
  <c r="B29062" i="2"/>
  <c r="B16824" i="2"/>
  <c r="B18406" i="2"/>
  <c r="B30805" i="2"/>
  <c r="B11748" i="2"/>
  <c r="B32638" i="2"/>
  <c r="B17055" i="2"/>
  <c r="B30995" i="2"/>
  <c r="B30172" i="2"/>
  <c r="B17310" i="2"/>
  <c r="B18213" i="2"/>
  <c r="B26153" i="2"/>
  <c r="B8070" i="2"/>
  <c r="B33897" i="2"/>
  <c r="B23479" i="2"/>
  <c r="B264" i="2"/>
  <c r="B19752" i="2"/>
  <c r="B32135" i="2"/>
  <c r="B14264" i="2"/>
  <c r="B16059" i="2"/>
  <c r="B32840" i="2"/>
  <c r="B2144" i="2"/>
  <c r="B13354" i="2"/>
  <c r="B34521" i="2"/>
  <c r="B4238" i="2"/>
  <c r="B29227" i="2"/>
  <c r="B30626" i="2"/>
  <c r="B28295" i="2"/>
  <c r="B2507" i="2"/>
  <c r="B33988" i="2"/>
  <c r="B10217" i="2"/>
  <c r="B33345" i="2"/>
  <c r="B28353" i="2"/>
  <c r="B11840" i="2"/>
  <c r="B23648" i="2"/>
  <c r="B480" i="2"/>
  <c r="B23697" i="2"/>
  <c r="B23044" i="2"/>
  <c r="B33065" i="2"/>
  <c r="B8601" i="2"/>
  <c r="B33672" i="2"/>
  <c r="B855" i="2"/>
  <c r="B2867" i="2"/>
  <c r="B11186" i="2"/>
  <c r="B6807" i="2"/>
  <c r="B26276" i="2"/>
  <c r="B17035" i="2"/>
  <c r="B3636" i="2"/>
  <c r="B26352" i="2"/>
  <c r="B6135" i="2"/>
  <c r="B15300" i="2"/>
  <c r="B5619" i="2"/>
  <c r="B3388" i="2"/>
  <c r="B10172" i="2"/>
  <c r="B30899" i="2"/>
  <c r="B8198" i="2"/>
  <c r="B6876" i="2"/>
  <c r="B17226" i="2"/>
  <c r="B2185" i="2"/>
  <c r="B5903" i="2"/>
  <c r="B34323" i="2"/>
  <c r="B25749" i="2"/>
  <c r="B33601" i="2"/>
  <c r="B2644" i="2"/>
  <c r="B28329" i="2"/>
  <c r="B16057" i="2"/>
  <c r="B18962" i="2"/>
  <c r="B9534" i="2"/>
  <c r="B30633" i="2"/>
  <c r="B30749" i="2"/>
  <c r="B28470" i="2"/>
  <c r="B29457" i="2"/>
  <c r="B21509" i="2"/>
  <c r="B5545" i="2"/>
  <c r="B16888" i="2"/>
  <c r="B8576" i="2"/>
  <c r="B18900" i="2"/>
  <c r="B33000" i="2"/>
  <c r="B5948" i="2"/>
  <c r="B27502" i="2"/>
  <c r="B21176" i="2"/>
  <c r="B12005" i="2"/>
  <c r="B30894" i="2"/>
  <c r="B10308" i="2"/>
  <c r="B24188" i="2"/>
  <c r="B5453" i="2"/>
  <c r="B17724" i="2"/>
  <c r="B6509" i="2"/>
  <c r="B6706" i="2"/>
  <c r="B9857" i="2"/>
  <c r="B23457" i="2"/>
  <c r="B19438" i="2"/>
  <c r="B18462" i="2"/>
  <c r="B18511" i="2"/>
  <c r="B34424" i="2"/>
  <c r="B6005" i="2"/>
  <c r="B35917" i="2"/>
  <c r="B17088" i="2"/>
  <c r="B10733" i="2"/>
  <c r="B35588" i="2"/>
  <c r="B18332" i="2"/>
  <c r="B33735" i="2"/>
  <c r="B14225" i="2"/>
  <c r="B13627" i="2"/>
  <c r="B22332" i="2"/>
  <c r="B24847" i="2"/>
  <c r="B8558" i="2"/>
  <c r="B35048" i="2"/>
  <c r="B17575" i="2"/>
  <c r="B31581" i="2"/>
  <c r="B14217" i="2"/>
  <c r="B10366" i="2"/>
  <c r="B22347" i="2"/>
  <c r="B10094" i="2"/>
  <c r="B33700" i="2"/>
  <c r="B34277" i="2"/>
  <c r="B11067" i="2"/>
  <c r="B24152" i="2"/>
  <c r="B28738" i="2"/>
  <c r="B28251" i="2"/>
  <c r="B27692" i="2"/>
  <c r="B30930" i="2"/>
  <c r="B30856" i="2"/>
  <c r="B266" i="2"/>
  <c r="B26979" i="2"/>
  <c r="B16709" i="2"/>
  <c r="B314" i="2"/>
  <c r="B139" i="2"/>
  <c r="B2889" i="2"/>
  <c r="B20029" i="2"/>
  <c r="B20752" i="2"/>
  <c r="B24623" i="2"/>
  <c r="B12970" i="2"/>
  <c r="B32641" i="2"/>
  <c r="B6878" i="2"/>
  <c r="B13656" i="2"/>
  <c r="B19631" i="2"/>
  <c r="B3284" i="2"/>
  <c r="B24163" i="2"/>
  <c r="B22932" i="2"/>
  <c r="B9602" i="2"/>
  <c r="B25974" i="2"/>
  <c r="B8671" i="2"/>
  <c r="B4839" i="2"/>
  <c r="B25784" i="2"/>
  <c r="B20363" i="2"/>
  <c r="B23841" i="2"/>
  <c r="B34466" i="2"/>
  <c r="B7556" i="2"/>
  <c r="B25189" i="2"/>
  <c r="B8298" i="2"/>
  <c r="B9297" i="2"/>
  <c r="B28105" i="2"/>
  <c r="B33855" i="2"/>
  <c r="B33660" i="2"/>
  <c r="B1029" i="2"/>
  <c r="B10153" i="2"/>
  <c r="B7151" i="2"/>
  <c r="B27035" i="2"/>
  <c r="B18381" i="2"/>
  <c r="B1565" i="2"/>
  <c r="B4043" i="2"/>
  <c r="B29150" i="2"/>
  <c r="B29696" i="2"/>
  <c r="B13163" i="2"/>
  <c r="B889" i="2"/>
  <c r="B2932" i="2"/>
  <c r="B35398" i="2"/>
  <c r="B35930" i="2"/>
  <c r="B4041" i="2"/>
  <c r="B25515" i="2"/>
  <c r="B10225" i="2"/>
  <c r="B31315" i="2"/>
  <c r="B7526" i="2"/>
  <c r="B14945" i="2"/>
  <c r="B24835" i="2"/>
  <c r="B32947" i="2"/>
  <c r="B27410" i="2"/>
  <c r="B10309" i="2"/>
  <c r="B29027" i="2"/>
  <c r="B16838" i="2"/>
  <c r="B871" i="2"/>
  <c r="B33032" i="2"/>
  <c r="B26256" i="2"/>
  <c r="B6400" i="2"/>
  <c r="B7750" i="2"/>
  <c r="B9196" i="2"/>
  <c r="B11531" i="2"/>
  <c r="B9793" i="2"/>
  <c r="B20907" i="2"/>
  <c r="B5918" i="2"/>
  <c r="B17506" i="2"/>
  <c r="B30077" i="2"/>
  <c r="B8123" i="2"/>
  <c r="B17423" i="2"/>
  <c r="B22413" i="2"/>
  <c r="B3339" i="2"/>
  <c r="B7734" i="2"/>
  <c r="B27868" i="2"/>
  <c r="B23498" i="2"/>
  <c r="B9697" i="2"/>
  <c r="B20543" i="2"/>
  <c r="B22949" i="2"/>
  <c r="B4109" i="2"/>
  <c r="B21057" i="2"/>
  <c r="B16693" i="2"/>
  <c r="B7186" i="2"/>
  <c r="B34034" i="2"/>
  <c r="B12551" i="2"/>
  <c r="B15478" i="2"/>
  <c r="B3200" i="2"/>
  <c r="B31459" i="2"/>
  <c r="B3120" i="2"/>
  <c r="B15383" i="2"/>
  <c r="B15226" i="2"/>
  <c r="B35923" i="2"/>
  <c r="B19654" i="2"/>
  <c r="B17543" i="2"/>
  <c r="B6537" i="2"/>
  <c r="B8058" i="2"/>
  <c r="B7708" i="2"/>
  <c r="B22769" i="2"/>
  <c r="B23825" i="2"/>
  <c r="B9735" i="2"/>
  <c r="B25323" i="2"/>
  <c r="B26304" i="2"/>
  <c r="B32034" i="2"/>
  <c r="B8775" i="2"/>
  <c r="B34234" i="2"/>
  <c r="B14250" i="2"/>
  <c r="B3098" i="2"/>
  <c r="B123" i="2"/>
  <c r="B35193" i="2"/>
  <c r="B9217" i="2"/>
  <c r="B8062" i="2"/>
  <c r="B26132" i="2"/>
  <c r="B9175" i="2"/>
  <c r="B30043" i="2"/>
  <c r="B12270" i="2"/>
  <c r="B18974" i="2"/>
  <c r="B12241" i="2"/>
  <c r="B7541" i="2"/>
  <c r="B30605" i="2"/>
  <c r="B34492" i="2"/>
  <c r="B11348" i="2"/>
  <c r="B18543" i="2"/>
  <c r="B12676" i="2"/>
  <c r="B13214" i="2"/>
  <c r="B24395" i="2"/>
  <c r="B673" i="2"/>
  <c r="B25822" i="2"/>
  <c r="B10687" i="2"/>
  <c r="B29223" i="2"/>
  <c r="B34670" i="2"/>
  <c r="B10929" i="2"/>
  <c r="B34403" i="2"/>
  <c r="B2073" i="2"/>
  <c r="B16505" i="2"/>
  <c r="B16559" i="2"/>
  <c r="B32321" i="2"/>
  <c r="B21543" i="2"/>
  <c r="B28382" i="2"/>
  <c r="B2732" i="2"/>
  <c r="B28452" i="2"/>
  <c r="B13135" i="2"/>
  <c r="B7732" i="2"/>
  <c r="B32685" i="2"/>
  <c r="B9694" i="2"/>
  <c r="B5656" i="2"/>
  <c r="B30099" i="2"/>
  <c r="B593" i="2"/>
  <c r="B5413" i="2"/>
  <c r="B537" i="2"/>
  <c r="B33633" i="2"/>
  <c r="B26964" i="2"/>
  <c r="B9933" i="2"/>
  <c r="B23456" i="2"/>
  <c r="B26752" i="2"/>
  <c r="B20348" i="2"/>
  <c r="B1882" i="2"/>
  <c r="B16190" i="2"/>
  <c r="B5847" i="2"/>
  <c r="B11040" i="2"/>
  <c r="B9802" i="2"/>
  <c r="B7893" i="2"/>
  <c r="B26479" i="2"/>
  <c r="B9767" i="2"/>
  <c r="B6331" i="2"/>
  <c r="B25876" i="2"/>
  <c r="B33866" i="2"/>
  <c r="B13677" i="2"/>
  <c r="B10714" i="2"/>
  <c r="B2307" i="2"/>
  <c r="B13063" i="2"/>
  <c r="B3564" i="2"/>
  <c r="B3105" i="2"/>
  <c r="B11346" i="2"/>
  <c r="B19041" i="2"/>
  <c r="B4194" i="2"/>
  <c r="B13680" i="2"/>
  <c r="B5720" i="2"/>
  <c r="B24057" i="2"/>
  <c r="B26026" i="2"/>
  <c r="B3051" i="2"/>
  <c r="B6629" i="2"/>
  <c r="B29180" i="2"/>
  <c r="B5305" i="2"/>
  <c r="B17367" i="2"/>
  <c r="B6682" i="2"/>
  <c r="B25485" i="2"/>
  <c r="B28177" i="2"/>
  <c r="B35307" i="2"/>
  <c r="B15848" i="2"/>
  <c r="B17251" i="2"/>
  <c r="B23173" i="2"/>
  <c r="B25278" i="2"/>
  <c r="B12224" i="2"/>
  <c r="B15840" i="2"/>
  <c r="B6731" i="2"/>
  <c r="B36159" i="2"/>
  <c r="B35190" i="2"/>
  <c r="B9043" i="2"/>
  <c r="B16246" i="2"/>
  <c r="B19692" i="2"/>
  <c r="B6484" i="2"/>
  <c r="B20286" i="2"/>
  <c r="B19847" i="2"/>
  <c r="B6904" i="2"/>
  <c r="B36034" i="2"/>
  <c r="B32646" i="2"/>
  <c r="B16982" i="2"/>
  <c r="B8552" i="2"/>
  <c r="B8037" i="2"/>
  <c r="B3141" i="2"/>
  <c r="B22152" i="2"/>
  <c r="B36101" i="2"/>
  <c r="B35297" i="2"/>
  <c r="B1748" i="2"/>
  <c r="B21816" i="2"/>
  <c r="B32497" i="2"/>
  <c r="B27702" i="2"/>
  <c r="B6763" i="2"/>
  <c r="B16730" i="2"/>
  <c r="B33659" i="2"/>
  <c r="B35041" i="2"/>
  <c r="B30844" i="2"/>
  <c r="B28480" i="2"/>
  <c r="B25334" i="2"/>
  <c r="B27063" i="2"/>
  <c r="B31365" i="2"/>
  <c r="B26321" i="2"/>
  <c r="B29833" i="2"/>
  <c r="B31460" i="2"/>
  <c r="B7187" i="2"/>
  <c r="B3001" i="2"/>
  <c r="B33181" i="2"/>
  <c r="B23402" i="2"/>
  <c r="B5909" i="2"/>
  <c r="B24218" i="2"/>
  <c r="B7747" i="2"/>
  <c r="B9409" i="2"/>
  <c r="B13710" i="2"/>
  <c r="B9932" i="2"/>
  <c r="B34984" i="2"/>
  <c r="B24302" i="2"/>
  <c r="B8207" i="2"/>
  <c r="B6575" i="2"/>
  <c r="B32728" i="2"/>
  <c r="B31487" i="2"/>
  <c r="B14909" i="2"/>
  <c r="B25279" i="2"/>
  <c r="B7207" i="2"/>
  <c r="B2548" i="2"/>
  <c r="B21719" i="2"/>
  <c r="B877" i="2"/>
  <c r="B29617" i="2"/>
  <c r="B33624" i="2"/>
  <c r="B35617" i="2"/>
  <c r="B4075" i="2"/>
  <c r="B7959" i="2"/>
  <c r="B9639" i="2"/>
  <c r="B23124" i="2"/>
  <c r="B19950" i="2"/>
  <c r="B13768" i="2"/>
  <c r="B1106" i="2"/>
  <c r="B25048" i="2"/>
  <c r="B3256" i="2"/>
  <c r="B34071" i="2"/>
  <c r="B2427" i="2"/>
  <c r="B22071" i="2"/>
  <c r="B13470" i="2"/>
  <c r="B10555" i="2"/>
  <c r="B35310" i="2"/>
  <c r="B3837" i="2"/>
  <c r="B13755" i="2"/>
  <c r="B6099" i="2"/>
  <c r="B23442" i="2"/>
  <c r="B13920" i="2"/>
  <c r="B23118" i="2"/>
  <c r="B25799" i="2"/>
  <c r="B34588" i="2"/>
  <c r="B35608" i="2"/>
  <c r="B26188" i="2"/>
  <c r="B36309" i="2"/>
  <c r="B11037" i="2"/>
  <c r="B25947" i="2"/>
  <c r="B17748" i="2"/>
  <c r="B17673" i="2"/>
  <c r="B36145" i="2"/>
  <c r="B25346" i="2"/>
  <c r="B27862" i="2"/>
  <c r="B13700" i="2"/>
  <c r="B19966" i="2"/>
  <c r="B15248" i="2"/>
  <c r="B18651" i="2"/>
  <c r="B5952" i="2"/>
  <c r="B9756" i="2"/>
  <c r="B35829" i="2"/>
  <c r="B33821" i="2"/>
  <c r="B28183" i="2"/>
  <c r="B3954" i="2"/>
  <c r="B25064" i="2"/>
  <c r="B27599" i="2"/>
  <c r="B36212" i="2"/>
  <c r="B18982" i="2"/>
  <c r="B17692" i="2"/>
  <c r="B29274" i="2"/>
  <c r="B21958" i="2"/>
  <c r="B29120" i="2"/>
  <c r="B6075" i="2"/>
  <c r="B35056" i="2"/>
  <c r="B22341" i="2"/>
  <c r="B30458" i="2"/>
  <c r="B21774" i="2"/>
  <c r="B8799" i="2"/>
  <c r="B35127" i="2"/>
  <c r="B33907" i="2"/>
  <c r="B16815" i="2"/>
  <c r="B33834" i="2"/>
  <c r="B26555" i="2"/>
  <c r="B9181" i="2"/>
  <c r="B17014" i="2"/>
  <c r="B6798" i="2"/>
  <c r="B15906" i="2"/>
  <c r="B8026" i="2"/>
  <c r="B17431" i="2"/>
  <c r="B20402" i="2"/>
  <c r="B27028" i="2"/>
  <c r="B14428" i="2"/>
  <c r="B25972" i="2"/>
  <c r="B6615" i="2"/>
  <c r="B9925" i="2"/>
  <c r="B13590" i="2"/>
  <c r="B2771" i="2"/>
  <c r="B22389" i="2"/>
  <c r="B33218" i="2"/>
  <c r="B6198" i="2"/>
  <c r="B7707" i="2"/>
  <c r="B22610" i="2"/>
  <c r="B5646" i="2"/>
  <c r="B15642" i="2"/>
  <c r="B22636" i="2"/>
  <c r="B17594" i="2"/>
  <c r="B16457" i="2"/>
  <c r="B15297" i="2"/>
  <c r="B17371" i="2"/>
  <c r="B17529" i="2"/>
  <c r="B9007" i="2"/>
  <c r="B13588" i="2"/>
  <c r="B21641" i="2"/>
  <c r="B31530" i="2"/>
  <c r="B11606" i="2"/>
  <c r="B15608" i="2"/>
  <c r="B24292" i="2"/>
  <c r="B32396" i="2"/>
  <c r="B32377" i="2"/>
  <c r="B18772" i="2"/>
  <c r="B26478" i="2"/>
  <c r="B28399" i="2"/>
  <c r="B936" i="2"/>
  <c r="B30735" i="2"/>
  <c r="B1628" i="2"/>
  <c r="B10765" i="2"/>
  <c r="B12680" i="2"/>
  <c r="B11384" i="2"/>
  <c r="B24651" i="2"/>
  <c r="B95" i="2"/>
  <c r="B20378" i="2"/>
  <c r="B27351" i="2"/>
  <c r="B30344" i="2"/>
  <c r="B19694" i="2"/>
  <c r="B141" i="2"/>
  <c r="B6305" i="2"/>
  <c r="B9498" i="2"/>
  <c r="B23934" i="2"/>
  <c r="B7888" i="2"/>
  <c r="B14893" i="2"/>
  <c r="B6069" i="2"/>
  <c r="B6371" i="2"/>
  <c r="B30853" i="2"/>
  <c r="B6473" i="2"/>
  <c r="B8005" i="2"/>
  <c r="B13382" i="2"/>
  <c r="B7397" i="2"/>
  <c r="B1327" i="2"/>
  <c r="B1820" i="2"/>
  <c r="B13603" i="2"/>
  <c r="B8404" i="2"/>
  <c r="B35447" i="2"/>
  <c r="B14730" i="2"/>
  <c r="B25342" i="2"/>
  <c r="B26940" i="2"/>
  <c r="B25620" i="2"/>
  <c r="B11424" i="2"/>
  <c r="B31652" i="2"/>
  <c r="B13621" i="2"/>
  <c r="B22120" i="2"/>
  <c r="B4269" i="2"/>
  <c r="B19489" i="2"/>
  <c r="B5299" i="2"/>
  <c r="B19785" i="2"/>
  <c r="B22546" i="2"/>
  <c r="B14550" i="2"/>
  <c r="B28914" i="2"/>
  <c r="B4936" i="2"/>
  <c r="B4877" i="2"/>
  <c r="B27" i="2"/>
  <c r="B26372" i="2"/>
  <c r="B34421" i="2"/>
  <c r="B35347" i="2"/>
  <c r="B31944" i="2"/>
  <c r="B33235" i="2"/>
  <c r="B26018" i="2"/>
  <c r="B2478" i="2"/>
  <c r="B5069" i="2"/>
  <c r="B13889" i="2"/>
  <c r="B32526" i="2"/>
  <c r="B24244" i="2"/>
  <c r="B7469" i="2"/>
  <c r="B6867" i="2"/>
  <c r="B704" i="2"/>
  <c r="B1659" i="2"/>
  <c r="B16497" i="2"/>
  <c r="B33654" i="2"/>
  <c r="B21027" i="2"/>
  <c r="B32573" i="2"/>
  <c r="B8015" i="2"/>
  <c r="B6112" i="2"/>
  <c r="B35838" i="2"/>
  <c r="B1704" i="2"/>
  <c r="B15500" i="2"/>
  <c r="B1182" i="2"/>
  <c r="B20768" i="2"/>
  <c r="B20066" i="2"/>
  <c r="B26099" i="2"/>
  <c r="B13259" i="2"/>
  <c r="B14416" i="2"/>
  <c r="B1569" i="2"/>
  <c r="B29212" i="2"/>
  <c r="B34759" i="2"/>
  <c r="B35402" i="2"/>
  <c r="B34061" i="2"/>
  <c r="B34195" i="2"/>
  <c r="B18407" i="2"/>
  <c r="B6503" i="2"/>
  <c r="B26698" i="2"/>
  <c r="B23083" i="2"/>
  <c r="B634" i="2"/>
  <c r="B12035" i="2"/>
  <c r="B10073" i="2"/>
  <c r="B19296" i="2"/>
  <c r="B15513" i="2"/>
  <c r="B34387" i="2"/>
  <c r="B18917" i="2"/>
  <c r="B29353" i="2"/>
  <c r="B16414" i="2"/>
  <c r="B29081" i="2"/>
  <c r="B3649" i="2"/>
  <c r="B22509" i="2"/>
  <c r="B8345" i="2"/>
  <c r="B5778" i="2"/>
  <c r="B14617" i="2"/>
  <c r="B15501" i="2"/>
  <c r="B12213" i="2"/>
  <c r="B6359" i="2"/>
  <c r="B8789" i="2"/>
  <c r="B16948" i="2"/>
  <c r="B20829" i="2"/>
  <c r="B23734" i="2"/>
  <c r="B30935" i="2"/>
  <c r="B5624" i="2"/>
  <c r="B14283" i="2"/>
  <c r="B8903" i="2"/>
  <c r="B31673" i="2"/>
  <c r="B26037" i="2"/>
  <c r="B20540" i="2"/>
  <c r="B26775" i="2"/>
  <c r="B805" i="2"/>
  <c r="B1340" i="2"/>
  <c r="B14101" i="2"/>
  <c r="B27018" i="2"/>
  <c r="B30641" i="2"/>
  <c r="B14019" i="2"/>
  <c r="B10279" i="2"/>
  <c r="B1155" i="2"/>
  <c r="B18263" i="2"/>
  <c r="B17528" i="2"/>
  <c r="B19336" i="2"/>
  <c r="B16798" i="2"/>
  <c r="B4967" i="2"/>
  <c r="B17515" i="2"/>
  <c r="B7609" i="2"/>
  <c r="B15452" i="2"/>
  <c r="B19451" i="2"/>
  <c r="B2646" i="2"/>
  <c r="B2442" i="2"/>
  <c r="B30986" i="2"/>
  <c r="B5482" i="2"/>
  <c r="B499" i="2"/>
  <c r="B10033" i="2"/>
  <c r="B17338" i="2"/>
  <c r="B30539" i="2"/>
  <c r="B17596" i="2"/>
  <c r="B672" i="2"/>
  <c r="B16743" i="2"/>
  <c r="B3467" i="2"/>
  <c r="B25734" i="2"/>
  <c r="B26400" i="2"/>
  <c r="B22851" i="2"/>
  <c r="B26039" i="2"/>
  <c r="B10390" i="2"/>
  <c r="B25456" i="2"/>
  <c r="B5068" i="2"/>
  <c r="B36146" i="2"/>
  <c r="B26578" i="2"/>
  <c r="B2736" i="2"/>
  <c r="B23774" i="2"/>
  <c r="B15789" i="2"/>
  <c r="B15384" i="2"/>
  <c r="B18981" i="2"/>
  <c r="B24366" i="2"/>
  <c r="B900" i="2"/>
  <c r="B20585" i="2"/>
  <c r="B34298" i="2"/>
  <c r="B29738" i="2"/>
  <c r="B5353" i="2"/>
  <c r="B32036" i="2"/>
  <c r="B34269" i="2"/>
  <c r="B7601" i="2"/>
  <c r="B10296" i="2"/>
  <c r="B5597" i="2"/>
  <c r="B10807" i="2"/>
  <c r="B2610" i="2"/>
  <c r="B17437" i="2"/>
  <c r="B14771" i="2"/>
  <c r="B19828" i="2"/>
  <c r="B27444" i="2"/>
  <c r="B17826" i="2"/>
  <c r="B10243" i="2"/>
  <c r="B16015" i="2"/>
  <c r="B12726" i="2"/>
  <c r="B2967" i="2"/>
  <c r="B378" i="2"/>
  <c r="B20566" i="2"/>
  <c r="B30707" i="2"/>
  <c r="B36374" i="2"/>
  <c r="B32404" i="2"/>
  <c r="B703" i="2"/>
  <c r="B33054" i="2"/>
  <c r="B33227" i="2"/>
  <c r="B6033" i="2"/>
  <c r="B24064" i="2"/>
  <c r="B21702" i="2"/>
  <c r="B31924" i="2"/>
  <c r="B26426" i="2"/>
  <c r="B27474" i="2"/>
  <c r="B31433" i="2"/>
  <c r="B26097" i="2"/>
  <c r="B13891" i="2"/>
  <c r="B32975" i="2"/>
  <c r="B9258" i="2"/>
  <c r="B21230" i="2"/>
  <c r="B15618" i="2"/>
  <c r="B8039" i="2"/>
  <c r="B5895" i="2"/>
  <c r="B19493" i="2"/>
  <c r="B9969" i="2"/>
  <c r="B31354" i="2"/>
  <c r="B1661" i="2"/>
  <c r="B14108" i="2"/>
  <c r="B28479" i="2"/>
  <c r="B33657" i="2"/>
  <c r="B11982" i="2"/>
  <c r="B3682" i="2"/>
  <c r="B16165" i="2"/>
  <c r="B4237" i="2"/>
  <c r="B10034" i="2"/>
  <c r="B48" i="2"/>
  <c r="B22860" i="2"/>
  <c r="B10148" i="2"/>
  <c r="B10502" i="2"/>
  <c r="B4948" i="2"/>
  <c r="B2866" i="2"/>
  <c r="B11163" i="2"/>
  <c r="B5114" i="2"/>
  <c r="B32859" i="2"/>
  <c r="B11435" i="2"/>
  <c r="B5289" i="2"/>
  <c r="B35999" i="2"/>
  <c r="B28804" i="2"/>
  <c r="B30118" i="2"/>
  <c r="B13479" i="2"/>
  <c r="B19119" i="2"/>
  <c r="B8001" i="2"/>
  <c r="B13335" i="2"/>
  <c r="B7039" i="2"/>
  <c r="B14456" i="2"/>
  <c r="B813" i="2"/>
  <c r="B28097" i="2"/>
  <c r="B3914" i="2"/>
  <c r="B6985" i="2"/>
  <c r="B12561" i="2"/>
  <c r="B32143" i="2"/>
  <c r="B16095" i="2"/>
  <c r="B6910" i="2"/>
  <c r="B7119" i="2"/>
  <c r="B6310" i="2"/>
  <c r="B18686" i="2"/>
  <c r="B35450" i="2"/>
  <c r="B36320" i="2"/>
  <c r="B33802" i="2"/>
  <c r="B17696" i="2"/>
  <c r="B5793" i="2"/>
  <c r="B26866" i="2"/>
  <c r="B21723" i="2"/>
  <c r="B34921" i="2"/>
  <c r="B30320" i="2"/>
  <c r="B21417" i="2"/>
  <c r="B1149" i="2"/>
  <c r="B28771" i="2"/>
  <c r="B3378" i="2"/>
  <c r="B35059" i="2"/>
  <c r="B35123" i="2"/>
  <c r="B11017" i="2"/>
  <c r="B23139" i="2"/>
  <c r="B17754" i="2"/>
  <c r="B3621" i="2"/>
  <c r="B34076" i="2"/>
  <c r="B16676" i="2"/>
  <c r="B13863" i="2"/>
  <c r="B35736" i="2"/>
  <c r="B35001" i="2"/>
  <c r="B9713" i="2"/>
  <c r="B9644" i="2"/>
  <c r="B6131" i="2"/>
  <c r="B35995" i="2"/>
  <c r="B26662" i="2"/>
  <c r="B14922" i="2"/>
  <c r="B25474" i="2"/>
  <c r="B7913" i="2"/>
  <c r="B2597" i="2"/>
  <c r="B36094" i="2"/>
  <c r="B17893" i="2"/>
  <c r="B8802" i="2"/>
  <c r="B21096" i="2"/>
  <c r="B34666" i="2"/>
  <c r="B9974" i="2"/>
  <c r="B11467" i="2"/>
  <c r="B14118" i="2"/>
  <c r="B20177" i="2"/>
  <c r="B33143" i="2"/>
  <c r="B9924" i="2"/>
  <c r="B3029" i="2"/>
  <c r="B3147" i="2"/>
  <c r="B33195" i="2"/>
  <c r="B10944" i="2"/>
  <c r="B19497" i="2"/>
  <c r="B26452" i="2"/>
  <c r="B27298" i="2"/>
  <c r="B34448" i="2"/>
  <c r="B21046" i="2"/>
  <c r="B11684" i="2"/>
  <c r="B20235" i="2"/>
  <c r="B22757" i="2"/>
  <c r="B5730" i="2"/>
  <c r="B20064" i="2"/>
  <c r="B17978" i="2"/>
  <c r="B14001" i="2"/>
  <c r="B26546" i="2"/>
  <c r="B25792" i="2"/>
  <c r="B5510" i="2"/>
  <c r="B12502" i="2"/>
  <c r="B24096" i="2"/>
  <c r="B9187" i="2"/>
  <c r="B15356" i="2"/>
  <c r="B14296" i="2"/>
  <c r="B9455" i="2"/>
  <c r="B255" i="2"/>
  <c r="B4072" i="2"/>
  <c r="B35672" i="2"/>
  <c r="B7218" i="2"/>
  <c r="B25231" i="2"/>
  <c r="B31419" i="2"/>
  <c r="B31843" i="2"/>
  <c r="B8164" i="2"/>
  <c r="B8553" i="2"/>
  <c r="B25201" i="2"/>
  <c r="B10606" i="2"/>
  <c r="B32017" i="2"/>
  <c r="B29019" i="2"/>
  <c r="B36278" i="2"/>
  <c r="B23970" i="2"/>
  <c r="B9236" i="2"/>
  <c r="B15884" i="2"/>
  <c r="B33137" i="2"/>
  <c r="B30303" i="2"/>
  <c r="B7902" i="2"/>
  <c r="B3701" i="2"/>
  <c r="B433" i="2"/>
  <c r="B4865" i="2"/>
  <c r="B8188" i="2"/>
  <c r="B6571" i="2"/>
  <c r="B7255" i="2"/>
  <c r="B25042" i="2"/>
  <c r="B25480" i="2"/>
  <c r="B15031" i="2"/>
  <c r="B10454" i="2"/>
  <c r="B20486" i="2"/>
  <c r="B14971" i="2"/>
  <c r="B3462" i="2"/>
  <c r="B26125" i="2"/>
  <c r="B22002" i="2"/>
  <c r="B12264" i="2"/>
  <c r="B28998" i="2"/>
  <c r="B17545" i="2"/>
  <c r="B33062" i="2"/>
  <c r="B3122" i="2"/>
  <c r="B6356" i="2"/>
  <c r="B7256" i="2"/>
  <c r="B8034" i="2"/>
  <c r="B3099" i="2"/>
  <c r="B36178" i="2"/>
  <c r="B6188" i="2"/>
  <c r="B20398" i="2"/>
  <c r="B32755" i="2"/>
  <c r="B24734" i="2"/>
  <c r="B6670" i="2"/>
  <c r="B27590" i="2"/>
  <c r="B22145" i="2"/>
  <c r="B5967" i="2"/>
  <c r="B35200" i="2"/>
  <c r="B10483" i="2"/>
  <c r="B14171" i="2"/>
  <c r="B15432" i="2"/>
  <c r="B5635" i="2"/>
  <c r="B33158" i="2"/>
  <c r="B23160" i="2"/>
  <c r="B28508" i="2"/>
  <c r="B15533" i="2"/>
  <c r="B33516" i="2"/>
  <c r="B30053" i="2"/>
  <c r="B6829" i="2"/>
  <c r="B26287" i="2"/>
  <c r="B31281" i="2"/>
  <c r="B36211" i="2"/>
  <c r="B1940" i="2"/>
  <c r="B23988" i="2"/>
  <c r="B631" i="2"/>
  <c r="B3333" i="2"/>
  <c r="B11277" i="2"/>
  <c r="B22317" i="2"/>
  <c r="B7244" i="2"/>
  <c r="B6741" i="2"/>
  <c r="B34482" i="2"/>
  <c r="B6150" i="2"/>
  <c r="B27535" i="2"/>
  <c r="B34681" i="2"/>
  <c r="B5593" i="2"/>
  <c r="B4099" i="2"/>
  <c r="B24698" i="2"/>
  <c r="B20344" i="2"/>
  <c r="B30581" i="2"/>
  <c r="B28867" i="2"/>
  <c r="B19116" i="2"/>
  <c r="B9031" i="2"/>
  <c r="B26581" i="2"/>
  <c r="B6221" i="2"/>
  <c r="B14950" i="2"/>
  <c r="B25618" i="2"/>
  <c r="B27545" i="2"/>
  <c r="B6603" i="2"/>
  <c r="B25730" i="2"/>
  <c r="B7931" i="2"/>
  <c r="B15945" i="2"/>
  <c r="B31386" i="2"/>
  <c r="B22715" i="2"/>
  <c r="B11130" i="2"/>
  <c r="B16058" i="2"/>
  <c r="B22743" i="2"/>
  <c r="B33105" i="2"/>
  <c r="B27614" i="2"/>
  <c r="B3294" i="2"/>
  <c r="B27754" i="2"/>
  <c r="B13859" i="2"/>
  <c r="B30343" i="2"/>
  <c r="B33717" i="2"/>
  <c r="B20449" i="2"/>
  <c r="B8840" i="2"/>
  <c r="B1823" i="2"/>
  <c r="B26932" i="2"/>
  <c r="B26481" i="2"/>
  <c r="B22758" i="2"/>
  <c r="B21291" i="2"/>
  <c r="B32902" i="2"/>
  <c r="B20083" i="2"/>
  <c r="B27500" i="2"/>
  <c r="B14648" i="2"/>
  <c r="B27397" i="2"/>
  <c r="B14541" i="2"/>
  <c r="B22492" i="2"/>
  <c r="B12342" i="2"/>
  <c r="B17604" i="2"/>
  <c r="B22779" i="2"/>
  <c r="B36065" i="2"/>
  <c r="B22293" i="2"/>
  <c r="B36115" i="2"/>
  <c r="B27460" i="2"/>
  <c r="B10009" i="2"/>
  <c r="B31486" i="2"/>
  <c r="B31758" i="2"/>
  <c r="B2922" i="2"/>
  <c r="B33046" i="2"/>
  <c r="B31323" i="2"/>
  <c r="B6627" i="2"/>
  <c r="B26308" i="2"/>
  <c r="B31621" i="2"/>
  <c r="B17222" i="2"/>
  <c r="B35484" i="2"/>
  <c r="B17602" i="2"/>
  <c r="B26433" i="2"/>
  <c r="B9266" i="2"/>
  <c r="B28627" i="2"/>
  <c r="B350" i="2"/>
  <c r="B5990" i="2"/>
  <c r="B18120" i="2"/>
  <c r="B9486" i="2"/>
  <c r="B32548" i="2"/>
  <c r="B6683" i="2"/>
  <c r="B22086" i="2"/>
  <c r="B35913" i="2"/>
  <c r="B30918" i="2"/>
  <c r="B17905" i="2"/>
  <c r="B2902" i="2"/>
  <c r="B9442" i="2"/>
  <c r="B8133" i="2"/>
  <c r="B13318" i="2"/>
  <c r="B32312" i="2"/>
  <c r="B5394" i="2"/>
  <c r="B17996" i="2"/>
  <c r="B9257" i="2"/>
  <c r="B33410" i="2"/>
  <c r="B4723" i="2"/>
  <c r="B19358" i="2"/>
  <c r="B33058" i="2"/>
  <c r="B15556" i="2"/>
  <c r="B8076" i="2"/>
  <c r="B29014" i="2"/>
  <c r="B29176" i="2"/>
  <c r="B2705" i="2"/>
  <c r="B29260" i="2"/>
  <c r="B21959" i="2"/>
  <c r="B18002" i="2"/>
  <c r="B27486" i="2"/>
  <c r="B30498" i="2"/>
  <c r="B24666" i="2"/>
  <c r="B7723" i="2"/>
  <c r="B21994" i="2"/>
  <c r="B36216" i="2"/>
  <c r="B8943" i="2"/>
  <c r="B15132" i="2"/>
  <c r="B18616" i="2"/>
  <c r="B36122" i="2"/>
  <c r="B22555" i="2"/>
  <c r="B9951" i="2"/>
  <c r="B27229" i="2"/>
  <c r="B25031" i="2"/>
  <c r="B33199" i="2"/>
  <c r="B32962" i="2"/>
  <c r="B19206" i="2"/>
  <c r="B7332" i="2"/>
  <c r="B22477" i="2"/>
  <c r="B13356" i="2"/>
  <c r="B30573" i="2"/>
  <c r="B24655" i="2"/>
  <c r="B33202" i="2"/>
  <c r="B24995" i="2"/>
  <c r="B12951" i="2"/>
  <c r="B16646" i="2"/>
  <c r="B6401" i="2"/>
  <c r="B2514" i="2"/>
  <c r="B32853" i="2"/>
  <c r="B33363" i="2"/>
  <c r="B6148" i="2"/>
  <c r="B24442" i="2"/>
  <c r="B27386" i="2"/>
  <c r="B5397" i="2"/>
  <c r="B6019" i="2"/>
  <c r="B6672" i="2"/>
  <c r="B5323" i="2"/>
  <c r="B21173" i="2"/>
  <c r="B18789" i="2"/>
  <c r="B14343" i="2"/>
  <c r="B18715" i="2"/>
  <c r="B9403" i="2"/>
  <c r="B7801" i="2"/>
  <c r="B26659" i="2"/>
  <c r="B27318" i="2"/>
  <c r="B21792" i="2"/>
  <c r="B19238" i="2"/>
  <c r="B7741" i="2"/>
  <c r="B14278" i="2"/>
  <c r="B29692" i="2"/>
  <c r="B964" i="2"/>
  <c r="B34169" i="2"/>
  <c r="B9370" i="2"/>
  <c r="B18585" i="2"/>
  <c r="B13103" i="2"/>
  <c r="B120" i="2"/>
  <c r="B20788" i="2"/>
  <c r="B24529" i="2"/>
  <c r="B8282" i="2"/>
  <c r="B24742" i="2"/>
  <c r="B32529" i="2"/>
  <c r="B24008" i="2"/>
  <c r="B10440" i="2"/>
  <c r="B17365" i="2"/>
  <c r="B31070" i="2"/>
  <c r="B10005" i="2"/>
  <c r="B15704" i="2"/>
  <c r="B32938" i="2"/>
  <c r="B27615" i="2"/>
  <c r="B11952" i="2"/>
  <c r="B26175" i="2"/>
  <c r="B13796" i="2"/>
  <c r="B33380" i="2"/>
  <c r="B14289" i="2"/>
  <c r="B7292" i="2"/>
  <c r="B17762" i="2"/>
  <c r="B27487" i="2"/>
  <c r="B31060" i="2"/>
  <c r="B24376" i="2"/>
  <c r="B23191" i="2"/>
  <c r="B6020" i="2"/>
  <c r="B427" i="2"/>
  <c r="B25513" i="2"/>
  <c r="B17736" i="2"/>
  <c r="B25468" i="2"/>
  <c r="B31269" i="2"/>
  <c r="B5547" i="2"/>
  <c r="B24394" i="2"/>
  <c r="B26102" i="2"/>
  <c r="B11703" i="2"/>
  <c r="B24885" i="2"/>
  <c r="B15872" i="2"/>
  <c r="B25525" i="2"/>
  <c r="B13439" i="2"/>
  <c r="B15834" i="2"/>
  <c r="B19442" i="2"/>
  <c r="B7473" i="2"/>
  <c r="B28754" i="2"/>
  <c r="B11930" i="2"/>
  <c r="B21706" i="2"/>
  <c r="B26174" i="2"/>
  <c r="B13052" i="2"/>
  <c r="B2451" i="2"/>
  <c r="B9645" i="2"/>
  <c r="B35959" i="2"/>
  <c r="B3426" i="2"/>
  <c r="B9124" i="2"/>
  <c r="B19430" i="2"/>
  <c r="B14967" i="2"/>
  <c r="B6292" i="2"/>
  <c r="B33398" i="2"/>
  <c r="B25479" i="2"/>
  <c r="B25181" i="2"/>
  <c r="B7670" i="2"/>
  <c r="B22811" i="2"/>
  <c r="B15803" i="2"/>
  <c r="B24095" i="2"/>
  <c r="B5053" i="2"/>
  <c r="B8900" i="2"/>
  <c r="B36062" i="2"/>
  <c r="B7852" i="2"/>
  <c r="B20854" i="2"/>
  <c r="B26815" i="2"/>
  <c r="B23087" i="2"/>
  <c r="B21737" i="2"/>
  <c r="B18630" i="2"/>
  <c r="B2350" i="2"/>
  <c r="B28366" i="2"/>
  <c r="B31155" i="2"/>
  <c r="B6845" i="2"/>
  <c r="B20607" i="2"/>
  <c r="B2763" i="2"/>
  <c r="B31465" i="2"/>
  <c r="B8385" i="2"/>
  <c r="B18453" i="2"/>
  <c r="B27220" i="2"/>
  <c r="B8958" i="2"/>
  <c r="B8824" i="2"/>
  <c r="B31277" i="2"/>
  <c r="B7842" i="2"/>
  <c r="B3364" i="2"/>
  <c r="B8834" i="2"/>
  <c r="B6520" i="2"/>
  <c r="B33217" i="2"/>
  <c r="B27528" i="2"/>
  <c r="B6430" i="2"/>
  <c r="B33093" i="2"/>
  <c r="B33057" i="2"/>
  <c r="B11811" i="2"/>
  <c r="B19138" i="2"/>
  <c r="B33402" i="2"/>
  <c r="B21817" i="2"/>
  <c r="B32872" i="2"/>
  <c r="B9516" i="2"/>
  <c r="B6364" i="2"/>
  <c r="B5983" i="2"/>
  <c r="B25305" i="2"/>
  <c r="B6266" i="2"/>
  <c r="B6392" i="2"/>
  <c r="B27611" i="2"/>
  <c r="B34155" i="2"/>
  <c r="B3288" i="2"/>
  <c r="B22850" i="2"/>
  <c r="B13854" i="2"/>
  <c r="B6982" i="2"/>
  <c r="B21791" i="2"/>
  <c r="B32687" i="2"/>
  <c r="B19151" i="2"/>
  <c r="B13827" i="2"/>
  <c r="B21192" i="2"/>
  <c r="B22244" i="2"/>
  <c r="B20462" i="2"/>
  <c r="B9882" i="2"/>
  <c r="B20535" i="2"/>
  <c r="B32845" i="2"/>
  <c r="B24830" i="2"/>
  <c r="B26851" i="2"/>
  <c r="B5466" i="2"/>
  <c r="B22248" i="2"/>
  <c r="B30234" i="2"/>
  <c r="B24955" i="2"/>
  <c r="B13105" i="2"/>
  <c r="B19184" i="2"/>
  <c r="B5354" i="2"/>
  <c r="B6169" i="2"/>
  <c r="B32812" i="2"/>
  <c r="B27581" i="2"/>
  <c r="B15761" i="2"/>
  <c r="B30706" i="2"/>
  <c r="B20056" i="2"/>
  <c r="B8195" i="2"/>
  <c r="B4826" i="2"/>
  <c r="B25680" i="2"/>
  <c r="B33182" i="2"/>
  <c r="B31369" i="2"/>
  <c r="B2707" i="2"/>
  <c r="B33285" i="2"/>
  <c r="B26925" i="2"/>
  <c r="B30194" i="2"/>
  <c r="B28079" i="2"/>
  <c r="B7625" i="2"/>
  <c r="B35955" i="2"/>
  <c r="B7212" i="2"/>
  <c r="B14572" i="2"/>
  <c r="B5052" i="2"/>
  <c r="B32490" i="2"/>
  <c r="B26302" i="2"/>
  <c r="B33253" i="2"/>
  <c r="B4501" i="2"/>
  <c r="B21458" i="2"/>
  <c r="B21923" i="2"/>
  <c r="B19240" i="2"/>
  <c r="B9194" i="2"/>
  <c r="B13764" i="2"/>
  <c r="B15214" i="2"/>
  <c r="B2844" i="2"/>
  <c r="B22148" i="2"/>
  <c r="B8749" i="2"/>
  <c r="B24861" i="2"/>
  <c r="B31851" i="2"/>
  <c r="B9727" i="2"/>
  <c r="B33389" i="2"/>
  <c r="B12702" i="2"/>
  <c r="B10963" i="2"/>
  <c r="B33097" i="2"/>
  <c r="B10967" i="2"/>
  <c r="B33838" i="2"/>
  <c r="B18198" i="2"/>
  <c r="B9233" i="2"/>
  <c r="B6439" i="2"/>
  <c r="B5267" i="2"/>
  <c r="B31793" i="2"/>
  <c r="B33292" i="2"/>
  <c r="B31325" i="2"/>
  <c r="B29466" i="2"/>
  <c r="B33743" i="2"/>
  <c r="B17161" i="2"/>
  <c r="B31411" i="2"/>
  <c r="B21576" i="2"/>
  <c r="B18856" i="2"/>
  <c r="B32571" i="2"/>
  <c r="B16753" i="2"/>
  <c r="B32818" i="2"/>
  <c r="B22373" i="2"/>
  <c r="B32720" i="2"/>
  <c r="B31542" i="2"/>
  <c r="B29652" i="2"/>
  <c r="B4313" i="2"/>
  <c r="B20219" i="2"/>
  <c r="B5641" i="2"/>
  <c r="B24680" i="2"/>
  <c r="B6091" i="2"/>
  <c r="B15141" i="2"/>
  <c r="B33017" i="2"/>
  <c r="B15120" i="2"/>
  <c r="B5874" i="2"/>
  <c r="B13707" i="2"/>
  <c r="B5351" i="2"/>
  <c r="B25462" i="2"/>
  <c r="B17737" i="2"/>
  <c r="B19469" i="2"/>
  <c r="B31649" i="2"/>
  <c r="B33063" i="2"/>
  <c r="B29853" i="2"/>
  <c r="B25047" i="2"/>
  <c r="B2914" i="2"/>
  <c r="B33355" i="2"/>
  <c r="B8119" i="2"/>
  <c r="B7782" i="2"/>
  <c r="B2546" i="2"/>
  <c r="B8348" i="2"/>
  <c r="B31482" i="2"/>
  <c r="B18313" i="2"/>
  <c r="B19614" i="2"/>
  <c r="B16340" i="2"/>
  <c r="B12622" i="2"/>
  <c r="B17784" i="2"/>
  <c r="B9035" i="2"/>
  <c r="B9535" i="2"/>
  <c r="B19193" i="2"/>
  <c r="B13342" i="2"/>
  <c r="B32637" i="2"/>
  <c r="B22178" i="2"/>
  <c r="B8448" i="2"/>
  <c r="B27064" i="2"/>
  <c r="B21167" i="2"/>
  <c r="B22379" i="2"/>
  <c r="B34260" i="2"/>
  <c r="B23422" i="2"/>
  <c r="B21342" i="2"/>
  <c r="B34326" i="2"/>
  <c r="B7460" i="2"/>
  <c r="B32991" i="2"/>
  <c r="B33353" i="2"/>
  <c r="B31772" i="2"/>
  <c r="B7583" i="2"/>
  <c r="B22854" i="2"/>
  <c r="B28859" i="2"/>
  <c r="B25880" i="2"/>
  <c r="B6423" i="2"/>
  <c r="B6674" i="2"/>
  <c r="B960" i="2"/>
  <c r="B33695" i="2"/>
  <c r="B28807" i="2"/>
  <c r="B12667" i="2"/>
  <c r="B19086" i="2"/>
  <c r="B18032" i="2"/>
  <c r="B30991" i="2"/>
  <c r="B34355" i="2"/>
  <c r="B34436" i="2"/>
  <c r="B29011" i="2"/>
  <c r="B1258" i="2"/>
  <c r="B24320" i="2"/>
  <c r="B22130" i="2"/>
  <c r="B33279" i="2"/>
  <c r="B32238" i="2"/>
  <c r="B14720" i="2"/>
  <c r="B23858" i="2"/>
  <c r="B18858" i="2"/>
  <c r="B25541" i="2"/>
  <c r="B32442" i="2"/>
  <c r="B7771" i="2"/>
  <c r="B9704" i="2"/>
  <c r="B14417" i="2"/>
  <c r="B27243" i="2"/>
  <c r="B34372" i="2"/>
  <c r="B3402" i="2"/>
  <c r="B2806" i="2"/>
  <c r="B16672" i="2"/>
  <c r="B11883" i="2"/>
  <c r="B30806" i="2"/>
  <c r="B21980" i="2"/>
  <c r="B24596" i="2"/>
  <c r="B14011" i="2"/>
  <c r="B16782" i="2"/>
  <c r="B24964" i="2"/>
  <c r="B19235" i="2"/>
  <c r="B12123" i="2"/>
  <c r="B6939" i="2"/>
  <c r="B24337" i="2"/>
  <c r="B25521" i="2"/>
  <c r="B2983" i="2"/>
  <c r="B31324" i="2"/>
  <c r="B17295" i="2"/>
  <c r="B24973" i="2"/>
  <c r="B6997" i="2"/>
  <c r="B7101" i="2"/>
  <c r="B18622" i="2"/>
  <c r="B31678" i="2"/>
  <c r="B3833" i="2"/>
  <c r="B36365" i="2"/>
  <c r="B33207" i="2"/>
  <c r="B8382" i="2"/>
  <c r="B26278" i="2"/>
  <c r="B31310" i="2"/>
  <c r="B5879" i="2"/>
  <c r="B24386" i="2"/>
  <c r="B18828" i="2"/>
  <c r="B17328" i="2"/>
  <c r="B32766" i="2"/>
  <c r="B14286" i="2"/>
  <c r="B827" i="2"/>
  <c r="B26319" i="2"/>
  <c r="B34392" i="2"/>
  <c r="B28517" i="2"/>
  <c r="B19" i="2"/>
  <c r="B15380" i="2"/>
  <c r="B25483" i="2"/>
  <c r="B7630" i="2"/>
  <c r="B3852" i="2"/>
  <c r="B17980" i="2"/>
  <c r="B25668" i="2"/>
  <c r="B31565" i="2"/>
  <c r="B15805" i="2"/>
  <c r="B26605" i="2"/>
  <c r="B12409" i="2"/>
  <c r="B26613" i="2"/>
  <c r="B24585" i="2"/>
  <c r="B3257" i="2"/>
  <c r="B33104" i="2"/>
  <c r="B25874" i="2"/>
  <c r="B4719" i="2"/>
  <c r="B6630" i="2"/>
  <c r="B5321" i="2"/>
  <c r="B32102" i="2"/>
  <c r="B19599" i="2"/>
  <c r="B27547" i="2"/>
  <c r="B24379" i="2"/>
  <c r="B20039" i="2"/>
  <c r="B17300" i="2"/>
  <c r="B26286" i="2"/>
  <c r="B15245" i="2"/>
  <c r="B31821" i="2"/>
  <c r="B11550" i="2"/>
  <c r="B12204" i="2"/>
  <c r="B12260" i="2"/>
  <c r="B825" i="2"/>
  <c r="B14219" i="2"/>
  <c r="B31497" i="2"/>
  <c r="B320" i="2"/>
  <c r="B19891" i="2"/>
  <c r="B22059" i="2"/>
  <c r="B17774" i="2"/>
  <c r="B25131" i="2"/>
  <c r="B23856" i="2"/>
  <c r="B25682" i="2"/>
  <c r="B4407" i="2"/>
  <c r="B19948" i="2"/>
  <c r="B18933" i="2"/>
  <c r="B4755" i="2"/>
  <c r="B24908" i="2"/>
  <c r="B15901" i="2"/>
  <c r="B21781" i="2"/>
  <c r="B8678" i="2"/>
  <c r="B24507" i="2"/>
  <c r="B61" i="2"/>
  <c r="B33050" i="2"/>
  <c r="B3856" i="2"/>
  <c r="B22686" i="2"/>
  <c r="B15084" i="2"/>
  <c r="B31689" i="2"/>
  <c r="B31677" i="2"/>
  <c r="B32696" i="2"/>
  <c r="B12125" i="2"/>
  <c r="B32979" i="2"/>
  <c r="B21957" i="2"/>
  <c r="B1887" i="2"/>
  <c r="B9532" i="2"/>
  <c r="B6880" i="2"/>
  <c r="B7453" i="2"/>
  <c r="B24629" i="2"/>
  <c r="B6994" i="2"/>
  <c r="B33290" i="2"/>
  <c r="B26796" i="2"/>
  <c r="B25012" i="2"/>
  <c r="B21842" i="2"/>
  <c r="B952" i="2"/>
  <c r="B11192" i="2"/>
  <c r="B11462" i="2"/>
  <c r="B33531" i="2"/>
  <c r="B36184" i="2"/>
  <c r="B30213" i="2"/>
  <c r="B10639" i="2"/>
  <c r="B4671" i="2"/>
  <c r="B8863" i="2"/>
  <c r="B22872" i="2"/>
  <c r="B33086" i="2"/>
  <c r="B16860" i="2"/>
  <c r="B6623" i="2"/>
  <c r="B5780" i="2"/>
  <c r="B24709" i="2"/>
  <c r="B25289" i="2"/>
  <c r="B34119" i="2"/>
  <c r="B10132" i="2"/>
  <c r="B18284" i="2"/>
  <c r="B23802" i="2"/>
  <c r="B29329" i="2"/>
  <c r="B10830" i="2"/>
  <c r="B34023" i="2"/>
  <c r="B1233" i="2"/>
  <c r="B7485" i="2"/>
  <c r="B33126" i="2"/>
  <c r="B27002" i="2"/>
  <c r="B9888" i="2"/>
  <c r="B25654" i="2"/>
  <c r="B31827" i="2"/>
  <c r="B10446" i="2"/>
  <c r="B5041" i="2"/>
  <c r="B27645" i="2"/>
  <c r="B12371" i="2"/>
  <c r="B22391" i="2"/>
  <c r="B3509" i="2"/>
  <c r="B26470" i="2"/>
  <c r="B23190" i="2"/>
  <c r="B5781" i="2"/>
  <c r="B36270" i="2"/>
  <c r="B31392" i="2"/>
  <c r="B2822" i="2"/>
  <c r="B30580" i="2"/>
  <c r="B23627" i="2"/>
  <c r="B24795" i="2"/>
  <c r="B26726" i="2"/>
  <c r="B19628" i="2"/>
  <c r="B3868" i="2"/>
  <c r="B5462" i="2"/>
  <c r="B7457" i="2"/>
  <c r="B25059" i="2"/>
  <c r="B9139" i="2"/>
  <c r="B17997" i="2"/>
  <c r="B25073" i="2"/>
  <c r="B5259" i="2"/>
  <c r="B33092" i="2"/>
  <c r="B17564" i="2"/>
  <c r="B8263" i="2"/>
  <c r="B7349" i="2"/>
  <c r="B14384" i="2"/>
  <c r="B376" i="2"/>
  <c r="B35572" i="2"/>
  <c r="B26510" i="2"/>
  <c r="B34096" i="2"/>
  <c r="B32519" i="2"/>
  <c r="B1945" i="2"/>
  <c r="B5032" i="2"/>
  <c r="B4978" i="2"/>
  <c r="B16921" i="2"/>
  <c r="B25961" i="2"/>
  <c r="B29006" i="2"/>
  <c r="B23350" i="2"/>
  <c r="B26456" i="2"/>
  <c r="B18671" i="2"/>
  <c r="B2782" i="2"/>
  <c r="B30451" i="2"/>
  <c r="B28304" i="2"/>
  <c r="B19555" i="2"/>
  <c r="B15962" i="2"/>
  <c r="B12745" i="2"/>
  <c r="B10932" i="2"/>
  <c r="B8413" i="2"/>
  <c r="B16879" i="2"/>
  <c r="B26002" i="2"/>
  <c r="B3761" i="2"/>
  <c r="B11486" i="2"/>
  <c r="B24430" i="2"/>
  <c r="B36163" i="2"/>
  <c r="B8309" i="2"/>
  <c r="B15482" i="2"/>
  <c r="B12278" i="2"/>
  <c r="B22645" i="2"/>
  <c r="B19627" i="2"/>
  <c r="B10354" i="2"/>
  <c r="B5968" i="2"/>
  <c r="B7226" i="2"/>
  <c r="B8285" i="2"/>
  <c r="B7004" i="2"/>
  <c r="B13931" i="2"/>
  <c r="B31968" i="2"/>
  <c r="B27688" i="2"/>
  <c r="B2402" i="2"/>
  <c r="B9464" i="2"/>
  <c r="B32271" i="2"/>
  <c r="B143" i="2"/>
  <c r="B12665" i="2"/>
  <c r="B19279" i="2"/>
  <c r="B5148" i="2"/>
  <c r="B33673" i="2"/>
  <c r="B13528" i="2"/>
  <c r="B9440" i="2"/>
  <c r="B24071" i="2"/>
  <c r="B6236" i="2"/>
  <c r="B36304" i="2"/>
  <c r="B29478" i="2"/>
  <c r="B27681" i="2"/>
  <c r="B4206" i="2"/>
  <c r="B3503" i="2"/>
  <c r="B745" i="2"/>
  <c r="B36181" i="2"/>
  <c r="B31198" i="2"/>
  <c r="B34997" i="2"/>
  <c r="B31100" i="2"/>
  <c r="B35112" i="2"/>
  <c r="B12980" i="2"/>
  <c r="B33261" i="2"/>
  <c r="B20794" i="2"/>
  <c r="B35125" i="2"/>
  <c r="B32836" i="2"/>
  <c r="B8794" i="2"/>
  <c r="B12320" i="2"/>
  <c r="B15763" i="2"/>
  <c r="B31346" i="2"/>
  <c r="B7273" i="2"/>
  <c r="B3780" i="2"/>
  <c r="B23532" i="2"/>
  <c r="B4245" i="2"/>
  <c r="B9759" i="2"/>
  <c r="B27325" i="2"/>
  <c r="B2896" i="2"/>
  <c r="B6204" i="2"/>
  <c r="B33423" i="2"/>
  <c r="B23912" i="2"/>
  <c r="B10040" i="2"/>
  <c r="B34497" i="2"/>
  <c r="B7266" i="2"/>
  <c r="B30787" i="2"/>
  <c r="B34396" i="2"/>
  <c r="B29764" i="2"/>
  <c r="B16293" i="2"/>
  <c r="B34618" i="2"/>
  <c r="B32012" i="2"/>
  <c r="B233" i="2"/>
  <c r="B34837" i="2"/>
  <c r="B513" i="2"/>
  <c r="B14953" i="2"/>
  <c r="B31049" i="2"/>
  <c r="B26978" i="2"/>
  <c r="B29777" i="2"/>
  <c r="B35687" i="2"/>
  <c r="B30919" i="2"/>
  <c r="B27721" i="2"/>
  <c r="B32283" i="2"/>
  <c r="B12529" i="2"/>
  <c r="B34642" i="2"/>
  <c r="B33789" i="2"/>
  <c r="B11080" i="2"/>
  <c r="B21912" i="2"/>
  <c r="B5312" i="2"/>
  <c r="B20008" i="2"/>
  <c r="B7205" i="2"/>
  <c r="B6569" i="2"/>
  <c r="B11540" i="2"/>
  <c r="B13744" i="2"/>
  <c r="B7652" i="2"/>
  <c r="B8972" i="2"/>
  <c r="B17513" i="2"/>
  <c r="B23917" i="2"/>
  <c r="B5838" i="2"/>
  <c r="B30366" i="2"/>
  <c r="B23340" i="2"/>
  <c r="B19409" i="2"/>
  <c r="B27361" i="2"/>
  <c r="B18226" i="2"/>
  <c r="B8183" i="2"/>
  <c r="B29200" i="2"/>
  <c r="B31130" i="2"/>
  <c r="B28512" i="2"/>
  <c r="B32226" i="2"/>
  <c r="B31003" i="2"/>
  <c r="B24992" i="2"/>
  <c r="B8122" i="2"/>
  <c r="B31013" i="2"/>
  <c r="B11943" i="2"/>
  <c r="B4495" i="2"/>
  <c r="B10632" i="2"/>
  <c r="B29586" i="2"/>
  <c r="B19983" i="2"/>
  <c r="B10953" i="2"/>
  <c r="B31552" i="2"/>
  <c r="B34040" i="2"/>
  <c r="B20033" i="2"/>
  <c r="B30280" i="2"/>
  <c r="B28873" i="2"/>
  <c r="B14668" i="2"/>
  <c r="B31852" i="2"/>
  <c r="B1673" i="2"/>
  <c r="B35631" i="2"/>
  <c r="B1007" i="2"/>
  <c r="B33603" i="2"/>
  <c r="B35156" i="2"/>
  <c r="B1535" i="2"/>
  <c r="B772" i="2"/>
  <c r="B617" i="2"/>
  <c r="B31992" i="2"/>
  <c r="B19308" i="2"/>
  <c r="B6306" i="2"/>
  <c r="B33334" i="2"/>
  <c r="B5550" i="2"/>
  <c r="B25585" i="2"/>
  <c r="B4746" i="2"/>
  <c r="B17326" i="2"/>
  <c r="B8025" i="2"/>
  <c r="B231" i="2"/>
  <c r="B22464" i="2"/>
  <c r="B29681" i="2"/>
  <c r="B26784" i="2"/>
  <c r="B30557" i="2"/>
  <c r="B13645" i="2"/>
  <c r="B8670" i="2"/>
  <c r="B12390" i="2"/>
  <c r="B21639" i="2"/>
  <c r="B16827" i="2"/>
  <c r="B30902" i="2"/>
  <c r="B8219" i="2"/>
  <c r="B28117" i="2"/>
  <c r="B9044" i="2"/>
  <c r="B29549" i="2"/>
  <c r="B21235" i="2"/>
  <c r="B258" i="2"/>
  <c r="B2251" i="2"/>
  <c r="B17791" i="2"/>
  <c r="B3840" i="2"/>
  <c r="B22122" i="2"/>
  <c r="B28497" i="2"/>
  <c r="B3299" i="2"/>
  <c r="B30868" i="2"/>
  <c r="B10184" i="2"/>
  <c r="B17116" i="2"/>
  <c r="B31423" i="2"/>
  <c r="B23545" i="2"/>
  <c r="B29012" i="2"/>
  <c r="B4879" i="2"/>
  <c r="B760" i="2"/>
  <c r="B18670" i="2"/>
  <c r="B15700" i="2"/>
  <c r="B18975" i="2"/>
  <c r="B34807" i="2"/>
  <c r="B12641" i="2"/>
  <c r="B5061" i="2"/>
  <c r="B32303" i="2"/>
  <c r="B9188" i="2"/>
  <c r="B6998" i="2"/>
  <c r="B13813" i="2"/>
  <c r="B19382" i="2"/>
  <c r="B29530" i="2"/>
  <c r="B35378" i="2"/>
  <c r="B34823" i="2"/>
  <c r="B2262" i="2"/>
  <c r="B7983" i="2"/>
  <c r="B5836" i="2"/>
  <c r="B14878" i="2"/>
  <c r="B6354" i="2"/>
  <c r="B19868" i="2"/>
  <c r="B4986" i="2"/>
  <c r="B14734" i="2"/>
  <c r="B11635" i="2"/>
  <c r="B20925" i="2"/>
  <c r="B10476" i="2"/>
  <c r="B22521" i="2"/>
  <c r="B33972" i="2"/>
  <c r="B32232" i="2"/>
  <c r="B28102" i="2"/>
  <c r="B29929" i="2"/>
  <c r="B32751" i="2"/>
  <c r="B12909" i="2"/>
  <c r="B1617" i="2"/>
  <c r="B33563" i="2"/>
  <c r="B28087" i="2"/>
  <c r="B32200" i="2"/>
  <c r="B2057" i="2"/>
  <c r="B14575" i="2"/>
  <c r="B16282" i="2"/>
  <c r="B30006" i="2"/>
  <c r="B17087" i="2"/>
  <c r="B29129" i="2"/>
  <c r="B28750" i="2"/>
  <c r="B28795" i="2"/>
  <c r="B31623" i="2"/>
  <c r="B26269" i="2"/>
  <c r="B19640" i="2"/>
  <c r="B21420" i="2"/>
  <c r="B26729" i="2"/>
  <c r="B34189" i="2"/>
  <c r="B34033" i="2"/>
  <c r="B7762" i="2"/>
  <c r="B27414" i="2"/>
  <c r="B32946" i="2"/>
  <c r="B19607" i="2"/>
  <c r="B25893" i="2"/>
  <c r="B24451" i="2"/>
  <c r="B14800" i="2"/>
  <c r="B14015" i="2"/>
  <c r="B23287" i="2"/>
  <c r="B6004" i="2"/>
  <c r="B31612" i="2"/>
  <c r="B17282" i="2"/>
  <c r="B26632" i="2"/>
  <c r="B8258" i="2"/>
  <c r="B490" i="2"/>
  <c r="B18596" i="2"/>
  <c r="B25177" i="2"/>
  <c r="B33815" i="2"/>
  <c r="B24326" i="2"/>
  <c r="B6714" i="2"/>
  <c r="B13484" i="2"/>
  <c r="B34726" i="2"/>
  <c r="B13317" i="2"/>
  <c r="B34294" i="2"/>
  <c r="B28422" i="2"/>
  <c r="B2460" i="2"/>
  <c r="B33868" i="2"/>
  <c r="B22698" i="2"/>
  <c r="B2829" i="2"/>
  <c r="B11170" i="2"/>
  <c r="B16902" i="2"/>
  <c r="B22707" i="2"/>
  <c r="B26342" i="2"/>
  <c r="B29003" i="2"/>
  <c r="B11862" i="2"/>
  <c r="B28003" i="2"/>
  <c r="B16306" i="2"/>
  <c r="B31306" i="2"/>
  <c r="B1526" i="2"/>
  <c r="B28858" i="2"/>
  <c r="B28434" i="2"/>
  <c r="B30644" i="2"/>
  <c r="B29161" i="2"/>
  <c r="B1878" i="2"/>
  <c r="B35912" i="2"/>
  <c r="B19520" i="2"/>
  <c r="B25398" i="2"/>
  <c r="B2508" i="2"/>
  <c r="B8493" i="2"/>
  <c r="B8053" i="2"/>
  <c r="B22798" i="2"/>
  <c r="B4929" i="2"/>
  <c r="B23637" i="2"/>
  <c r="B9168" i="2"/>
  <c r="B2827" i="2"/>
  <c r="B24293" i="2"/>
  <c r="B6307" i="2"/>
  <c r="B23466" i="2"/>
  <c r="B7847" i="2"/>
  <c r="B353" i="2"/>
  <c r="B17758" i="2"/>
  <c r="B5954" i="2"/>
  <c r="B26048" i="2"/>
  <c r="B9228" i="2"/>
  <c r="B22504" i="2"/>
  <c r="B4504" i="2"/>
  <c r="B23454" i="2"/>
  <c r="B7859" i="2"/>
  <c r="B28906" i="2"/>
  <c r="B29385" i="2"/>
  <c r="B28310" i="2"/>
  <c r="B15732" i="2"/>
  <c r="B30110" i="2"/>
  <c r="B3194" i="2"/>
  <c r="B29371" i="2"/>
  <c r="B21435" i="2"/>
  <c r="B17645" i="2"/>
  <c r="B27727" i="2"/>
  <c r="B35879" i="2"/>
  <c r="B2629" i="2"/>
  <c r="B28032" i="2"/>
  <c r="B30649" i="2"/>
  <c r="B30740" i="2"/>
  <c r="B10520" i="2"/>
  <c r="B29080" i="2"/>
  <c r="B20597" i="2"/>
  <c r="B27799" i="2"/>
  <c r="B28626" i="2"/>
  <c r="B4131" i="2"/>
  <c r="B8268" i="2"/>
  <c r="B33192" i="2"/>
  <c r="B28359" i="2"/>
  <c r="B26767" i="2"/>
  <c r="B27662" i="2"/>
  <c r="B17243" i="2"/>
  <c r="B24118" i="2"/>
  <c r="B13312" i="2"/>
  <c r="B10209" i="2"/>
  <c r="B22356" i="2"/>
  <c r="B2137" i="2"/>
  <c r="B16137" i="2"/>
  <c r="B15232" i="2"/>
  <c r="B6186" i="2"/>
  <c r="B1343" i="2"/>
  <c r="B34035" i="2"/>
  <c r="B20249" i="2"/>
  <c r="B10495" i="2"/>
  <c r="B5210" i="2"/>
  <c r="B20330" i="2"/>
  <c r="B1134" i="2"/>
  <c r="B12638" i="2"/>
  <c r="B20165" i="2"/>
  <c r="B4595" i="2"/>
  <c r="B15531" i="2"/>
  <c r="B32726" i="2"/>
  <c r="B3593" i="2"/>
  <c r="B28680" i="2"/>
  <c r="B1473" i="2"/>
  <c r="B34624" i="2"/>
  <c r="B30299" i="2"/>
  <c r="B20445" i="2"/>
  <c r="B15278" i="2"/>
  <c r="B15153" i="2"/>
  <c r="B12769" i="2"/>
  <c r="B14414" i="2"/>
  <c r="B12407" i="2"/>
  <c r="B31102" i="2"/>
  <c r="B28239" i="2"/>
  <c r="B28217" i="2"/>
  <c r="B11252" i="2"/>
  <c r="B2156" i="2"/>
  <c r="B5146" i="2"/>
  <c r="B4619" i="2"/>
  <c r="B6223" i="2"/>
  <c r="B24773" i="2"/>
  <c r="B7036" i="2"/>
  <c r="B8740" i="2"/>
  <c r="B3865" i="2"/>
  <c r="B16117" i="2"/>
  <c r="B9832" i="2"/>
  <c r="B26730" i="2"/>
  <c r="B25477" i="2"/>
  <c r="B24290" i="2"/>
  <c r="B15307" i="2"/>
  <c r="B33867" i="2"/>
  <c r="B34027" i="2"/>
  <c r="B18371" i="2"/>
  <c r="B739" i="2"/>
  <c r="B20338" i="2"/>
  <c r="B35590" i="2"/>
  <c r="B25581" i="2"/>
  <c r="B5769" i="2"/>
  <c r="B1326" i="2"/>
  <c r="B35314" i="2"/>
  <c r="B2420" i="2"/>
  <c r="B34470" i="2"/>
  <c r="B32797" i="2"/>
  <c r="B16719" i="2"/>
  <c r="B7011" i="2"/>
  <c r="B32621" i="2"/>
  <c r="B12406" i="2"/>
  <c r="B18470" i="2"/>
  <c r="B719" i="2"/>
  <c r="B1575" i="2"/>
  <c r="B31251" i="2"/>
  <c r="B16076" i="2"/>
  <c r="B16145" i="2"/>
  <c r="B22988" i="2"/>
  <c r="B16707" i="2"/>
  <c r="B15489" i="2"/>
  <c r="B4371" i="2"/>
  <c r="B17415" i="2"/>
  <c r="B29879" i="2"/>
  <c r="B241" i="2"/>
  <c r="B29813" i="2"/>
  <c r="B31885" i="2"/>
  <c r="B28869" i="2"/>
  <c r="B31122" i="2"/>
  <c r="B19641" i="2"/>
  <c r="B14796" i="2"/>
  <c r="B29554" i="2"/>
  <c r="B3587" i="2"/>
  <c r="B31824" i="2"/>
  <c r="B1320" i="2"/>
  <c r="B30152" i="2"/>
  <c r="B14802" i="2"/>
  <c r="B35539" i="2"/>
  <c r="B27873" i="2"/>
  <c r="B21707" i="2"/>
  <c r="B21618" i="2"/>
  <c r="B36274" i="2"/>
  <c r="B19207" i="2"/>
  <c r="B15045" i="2"/>
  <c r="B4799" i="2"/>
  <c r="B35978" i="2"/>
  <c r="B4612" i="2"/>
  <c r="B21612" i="2"/>
  <c r="B22013" i="2"/>
  <c r="B7496" i="2"/>
  <c r="B11756" i="2"/>
  <c r="B5219" i="2"/>
  <c r="B29724" i="2"/>
  <c r="B13937" i="2"/>
  <c r="B12902" i="2"/>
  <c r="B9408" i="2"/>
  <c r="B24271" i="2"/>
  <c r="B16008" i="2"/>
  <c r="B12757" i="2"/>
  <c r="B10908" i="2"/>
  <c r="B20350" i="2"/>
  <c r="B4585" i="2"/>
  <c r="B26127" i="2"/>
  <c r="B29797" i="2"/>
  <c r="B27869" i="2"/>
  <c r="B29772" i="2"/>
  <c r="B28823" i="2"/>
  <c r="B31065" i="2"/>
  <c r="B29334" i="2"/>
  <c r="B11164" i="2"/>
  <c r="B14489" i="2"/>
  <c r="B30167" i="2"/>
  <c r="B20730" i="2"/>
  <c r="B33450" i="2"/>
  <c r="B5794" i="2"/>
  <c r="B18193" i="2"/>
  <c r="B6811" i="2"/>
  <c r="B32168" i="2"/>
  <c r="B7053" i="2"/>
  <c r="B282" i="2"/>
  <c r="B26384" i="2"/>
  <c r="B23294" i="2"/>
  <c r="B7284" i="2"/>
  <c r="B6464" i="2"/>
  <c r="B30560" i="2"/>
  <c r="B29749" i="2"/>
  <c r="B4083" i="2"/>
  <c r="B2853" i="2"/>
  <c r="B22242" i="2"/>
  <c r="B10473" i="2"/>
  <c r="B13377" i="2"/>
  <c r="B29598" i="2"/>
  <c r="B18245" i="2"/>
  <c r="B19693" i="2"/>
  <c r="B13035" i="2"/>
  <c r="B17567" i="2"/>
  <c r="B27067" i="2"/>
  <c r="B2241" i="2"/>
  <c r="B10976" i="2"/>
  <c r="B7921" i="2"/>
  <c r="B1708" i="2"/>
  <c r="B19978" i="2"/>
  <c r="B4127" i="2"/>
  <c r="B28824" i="2"/>
  <c r="B28878" i="2"/>
  <c r="B8638" i="2"/>
  <c r="B14814" i="2"/>
  <c r="B17809" i="2"/>
  <c r="B34405" i="2"/>
  <c r="B26738" i="2"/>
  <c r="B3321" i="2"/>
  <c r="B13062" i="2"/>
  <c r="B29496" i="2"/>
  <c r="B4949" i="2"/>
  <c r="B5887" i="2"/>
  <c r="B29626" i="2"/>
  <c r="B16320" i="2"/>
  <c r="B2105" i="2"/>
  <c r="B16146" i="2"/>
  <c r="B25006" i="2"/>
  <c r="B1917" i="2"/>
  <c r="B22878" i="2"/>
  <c r="B29716" i="2"/>
  <c r="B12122" i="2"/>
  <c r="B12793" i="2"/>
  <c r="B34687" i="2"/>
  <c r="B18477" i="2"/>
  <c r="B35285" i="2"/>
  <c r="B8804" i="2"/>
  <c r="B31954" i="2"/>
  <c r="B14292" i="2"/>
  <c r="B36288" i="2"/>
  <c r="B6269" i="2"/>
  <c r="B359" i="2"/>
  <c r="B22153" i="2"/>
  <c r="B24245" i="2"/>
  <c r="B28077" i="2"/>
  <c r="B5228" i="2"/>
  <c r="B10474" i="2"/>
  <c r="B5007" i="2"/>
  <c r="B36027" i="2"/>
  <c r="B32088" i="2"/>
  <c r="B3191" i="2"/>
  <c r="B2302" i="2"/>
  <c r="B30696" i="2"/>
  <c r="B28767" i="2"/>
  <c r="B32085" i="2"/>
  <c r="B28264" i="2"/>
  <c r="B2652" i="2"/>
  <c r="B18665" i="2"/>
  <c r="B15102" i="2"/>
  <c r="B2924" i="2"/>
  <c r="B7148" i="2"/>
  <c r="B3156" i="2"/>
  <c r="B3446" i="2"/>
  <c r="B15340" i="2"/>
  <c r="B35288" i="2"/>
  <c r="B30686" i="2"/>
  <c r="B17819" i="2"/>
  <c r="B16092" i="2"/>
  <c r="B18925" i="2"/>
  <c r="B18740" i="2"/>
  <c r="B18084" i="2"/>
  <c r="B26213" i="2"/>
  <c r="B33073" i="2"/>
  <c r="B10882" i="2"/>
  <c r="B22958" i="2"/>
  <c r="B9667" i="2"/>
  <c r="B21162" i="2"/>
  <c r="B15886" i="2"/>
  <c r="B25467" i="2"/>
  <c r="B32778" i="2"/>
  <c r="B30704" i="2"/>
  <c r="B30063" i="2"/>
  <c r="B10630" i="2"/>
  <c r="B31084" i="2"/>
  <c r="B5088" i="2"/>
  <c r="B32092" i="2"/>
  <c r="B252" i="2"/>
  <c r="B11545" i="2"/>
  <c r="B3785" i="2"/>
  <c r="B17661" i="2"/>
  <c r="B19574" i="2"/>
  <c r="B30002" i="2"/>
  <c r="B30292" i="2"/>
  <c r="B31086" i="2"/>
  <c r="B35579" i="2"/>
  <c r="B15937" i="2"/>
  <c r="B3638" i="2"/>
  <c r="B27864" i="2"/>
  <c r="B9529" i="2"/>
  <c r="B23602" i="2"/>
  <c r="B16829" i="2"/>
  <c r="B9198" i="2"/>
  <c r="B28367" i="2"/>
  <c r="B32090" i="2"/>
  <c r="B5463" i="2"/>
  <c r="B27837" i="2"/>
  <c r="B35248" i="2"/>
  <c r="B17719" i="2"/>
  <c r="B14858" i="2"/>
  <c r="B6324" i="2"/>
  <c r="B5169" i="2"/>
  <c r="B7498" i="2"/>
  <c r="B8788" i="2"/>
  <c r="B22048" i="2"/>
  <c r="B9960" i="2"/>
  <c r="B20317" i="2"/>
  <c r="B25353" i="2"/>
  <c r="B7178" i="2"/>
  <c r="B2735" i="2"/>
  <c r="B7299" i="2"/>
  <c r="B6085" i="2"/>
  <c r="B27010" i="2"/>
  <c r="B7693" i="2"/>
  <c r="B2624" i="2"/>
  <c r="B11907" i="2"/>
  <c r="B31962" i="2"/>
  <c r="B31320" i="2"/>
  <c r="B1679" i="2"/>
  <c r="B26293" i="2"/>
  <c r="B13264" i="2"/>
  <c r="B32476" i="2"/>
  <c r="B4291" i="2"/>
  <c r="B34633" i="2"/>
  <c r="B34744" i="2"/>
  <c r="B35421" i="2"/>
  <c r="B5451" i="2"/>
  <c r="B33758" i="2"/>
  <c r="B10584" i="2"/>
  <c r="B11523" i="2"/>
  <c r="B17887" i="2"/>
  <c r="B2211" i="2"/>
  <c r="B4733" i="2"/>
  <c r="B4675" i="2"/>
  <c r="B33550" i="2"/>
  <c r="B29485" i="2"/>
  <c r="B17279" i="2"/>
  <c r="B23400" i="2"/>
  <c r="B8545" i="2"/>
  <c r="B27354" i="2"/>
  <c r="B24542" i="2"/>
  <c r="B26673" i="2"/>
  <c r="B26488" i="2"/>
  <c r="B19429" i="2"/>
  <c r="B6216" i="2"/>
  <c r="B7279" i="2"/>
  <c r="B7522" i="2"/>
  <c r="B25860" i="2"/>
  <c r="B7820" i="2"/>
  <c r="B26095" i="2"/>
  <c r="B22683" i="2"/>
  <c r="B27054" i="2"/>
  <c r="B30221" i="2"/>
  <c r="B5737" i="2"/>
  <c r="B22755" i="2"/>
  <c r="B13803" i="2"/>
  <c r="B7344" i="2"/>
  <c r="B28653" i="2"/>
  <c r="B28672" i="2"/>
  <c r="B35111" i="2"/>
  <c r="B19763" i="2"/>
  <c r="B34674" i="2"/>
  <c r="B18419" i="2"/>
  <c r="B34657" i="2"/>
  <c r="B16003" i="2"/>
  <c r="B1827" i="2"/>
  <c r="B1862" i="2"/>
  <c r="B6818" i="2"/>
  <c r="B31807" i="2"/>
  <c r="B25299" i="2"/>
  <c r="B27258" i="2"/>
  <c r="B31439" i="2"/>
  <c r="B16722" i="2"/>
  <c r="B1336" i="2"/>
  <c r="B19782" i="2"/>
  <c r="B30273" i="2"/>
  <c r="B29105" i="2"/>
  <c r="B29363" i="2"/>
  <c r="B16420" i="2"/>
  <c r="B7565" i="2"/>
  <c r="B31217" i="2"/>
  <c r="B15702" i="2"/>
  <c r="B2987" i="2"/>
  <c r="B22164" i="2"/>
  <c r="B7013" i="2"/>
  <c r="B34170" i="2"/>
  <c r="B16196" i="2"/>
  <c r="B17390" i="2"/>
  <c r="B32474" i="2"/>
  <c r="B8754" i="2"/>
  <c r="B22404" i="2"/>
  <c r="B21283" i="2"/>
  <c r="B31783" i="2"/>
  <c r="B18293" i="2"/>
  <c r="B25067" i="2"/>
  <c r="B21004" i="2"/>
  <c r="B16308" i="2"/>
  <c r="B31367" i="2"/>
  <c r="B31707" i="2"/>
  <c r="B31571" i="2"/>
  <c r="B26411" i="2"/>
  <c r="B32672" i="2"/>
  <c r="B27420" i="2"/>
  <c r="B10878" i="2"/>
  <c r="B14760" i="2"/>
  <c r="B16653" i="2"/>
  <c r="B9593" i="2"/>
  <c r="B7259" i="2"/>
  <c r="B14888" i="2"/>
  <c r="B1583" i="2"/>
  <c r="B35676" i="2"/>
  <c r="B34723" i="2"/>
  <c r="B35620" i="2"/>
  <c r="B8290" i="2"/>
  <c r="B34084" i="2"/>
  <c r="B24998" i="2"/>
  <c r="B36222" i="2"/>
  <c r="B34311" i="2"/>
  <c r="B18157" i="2"/>
  <c r="B5922" i="2"/>
  <c r="B7727" i="2"/>
  <c r="B29698" i="2"/>
  <c r="B3744" i="2"/>
  <c r="B10393" i="2"/>
  <c r="B11305" i="2"/>
  <c r="B11881" i="2"/>
  <c r="B1323" i="2"/>
  <c r="B35243" i="2"/>
  <c r="B34293" i="2"/>
  <c r="B27758" i="2"/>
  <c r="B24824" i="2"/>
  <c r="B11986" i="2"/>
  <c r="B17720" i="2"/>
  <c r="B32334" i="2"/>
  <c r="B34280" i="2"/>
  <c r="B8737" i="2"/>
  <c r="B8534" i="2"/>
  <c r="B19117" i="2"/>
  <c r="B31797" i="2"/>
  <c r="B17318" i="2"/>
  <c r="B10612" i="2"/>
  <c r="B8008" i="2"/>
  <c r="B2570" i="2"/>
  <c r="B13435" i="2"/>
  <c r="B21336" i="2"/>
  <c r="B24969" i="2"/>
  <c r="B24328" i="2"/>
  <c r="B11298" i="2"/>
  <c r="B15121" i="2"/>
  <c r="B14378" i="2"/>
  <c r="B4452" i="2"/>
  <c r="B7728" i="2"/>
  <c r="B20723" i="2"/>
  <c r="B23751" i="2"/>
  <c r="B17787" i="2"/>
  <c r="B6640" i="2"/>
  <c r="B8627" i="2"/>
  <c r="B33785" i="2"/>
  <c r="B4450" i="2"/>
  <c r="B13800" i="2"/>
  <c r="B7631" i="2"/>
  <c r="B22251" i="2"/>
  <c r="B16826" i="2"/>
  <c r="B15519" i="2"/>
  <c r="B5931" i="2"/>
  <c r="B6340" i="2"/>
  <c r="B33008" i="2"/>
  <c r="B20637" i="2"/>
  <c r="B23482" i="2"/>
  <c r="B24522" i="2"/>
  <c r="B9265" i="2"/>
  <c r="B32488" i="2"/>
  <c r="B27371" i="2"/>
  <c r="B11735" i="2"/>
  <c r="B22184" i="2"/>
  <c r="B32394" i="2"/>
  <c r="B28535" i="2"/>
  <c r="B28099" i="2"/>
  <c r="B23564" i="2"/>
  <c r="B21477" i="2"/>
  <c r="B28900" i="2"/>
  <c r="B24158" i="2"/>
  <c r="B6445" i="2"/>
  <c r="B6654" i="2"/>
  <c r="B10317" i="2"/>
  <c r="B32749" i="2"/>
  <c r="B3585" i="2"/>
  <c r="B35842" i="2"/>
  <c r="B25422" i="2"/>
  <c r="B11865" i="2"/>
  <c r="B30601" i="2"/>
  <c r="B14187" i="2"/>
  <c r="B17975" i="2"/>
  <c r="B10550" i="2"/>
  <c r="B26393" i="2"/>
  <c r="B22694" i="2"/>
  <c r="B26839" i="2"/>
  <c r="B8956" i="2"/>
  <c r="B27033" i="2"/>
  <c r="B36075" i="2"/>
  <c r="B13976" i="2"/>
  <c r="B1568" i="2"/>
  <c r="B33395" i="2"/>
  <c r="B23855" i="2"/>
  <c r="B7665" i="2"/>
  <c r="B19681" i="2"/>
  <c r="B22896" i="2"/>
  <c r="B6349" i="2"/>
  <c r="B30143" i="2"/>
  <c r="B35989" i="2"/>
  <c r="B10319" i="2"/>
  <c r="B35927" i="2"/>
  <c r="B10977" i="2"/>
  <c r="B26912" i="2"/>
  <c r="B7619" i="2"/>
  <c r="B26472" i="2"/>
  <c r="B23056" i="2"/>
  <c r="B26883" i="2"/>
  <c r="B23899" i="2"/>
  <c r="B10258" i="2"/>
  <c r="B7540" i="2"/>
  <c r="B20765" i="2"/>
  <c r="B12281" i="2"/>
  <c r="B14655" i="2"/>
  <c r="B25786" i="2"/>
  <c r="B3885" i="2"/>
  <c r="B32511" i="2"/>
  <c r="B3635" i="2"/>
  <c r="B22107" i="2"/>
  <c r="B30722" i="2"/>
  <c r="B6698" i="2"/>
  <c r="B6830" i="2"/>
  <c r="B34222" i="2"/>
  <c r="B21430" i="2"/>
  <c r="B20771" i="2"/>
  <c r="B34623" i="2"/>
  <c r="B26407" i="2"/>
  <c r="B25075" i="2"/>
  <c r="B15436" i="2"/>
  <c r="B32712" i="2"/>
  <c r="B18063" i="2"/>
  <c r="B27465" i="2"/>
  <c r="B22842" i="2"/>
  <c r="B24279" i="2"/>
  <c r="B18247" i="2"/>
  <c r="B16638" i="2"/>
  <c r="B839" i="2"/>
  <c r="B24760" i="2"/>
  <c r="B5485" i="2"/>
  <c r="B1080" i="2"/>
  <c r="B28960" i="2"/>
  <c r="B5071" i="2"/>
  <c r="B15796" i="2"/>
  <c r="B7936" i="2"/>
  <c r="B15603" i="2"/>
  <c r="B6272" i="2"/>
  <c r="B10045" i="2"/>
  <c r="B12176" i="2"/>
  <c r="B36068" i="2"/>
  <c r="B13717" i="2"/>
  <c r="B7374" i="2"/>
  <c r="B17845" i="2"/>
  <c r="B15406" i="2"/>
  <c r="B20191" i="2"/>
  <c r="B35527" i="2"/>
  <c r="B11011" i="2"/>
  <c r="B20849" i="2"/>
  <c r="B15330" i="2"/>
  <c r="B1971" i="2"/>
  <c r="B34967" i="2"/>
  <c r="B33495" i="2"/>
  <c r="B28949" i="2"/>
  <c r="B28720" i="2"/>
  <c r="B30976" i="2"/>
  <c r="B28967" i="2"/>
  <c r="B13486" i="2"/>
  <c r="B26198" i="2"/>
  <c r="B11941" i="2"/>
  <c r="B13980" i="2"/>
  <c r="B30012" i="2"/>
  <c r="B17810" i="2"/>
  <c r="B35781" i="2"/>
  <c r="B4469" i="2"/>
  <c r="B20172" i="2"/>
  <c r="B20419" i="2"/>
  <c r="B34121" i="2"/>
  <c r="B26442" i="2"/>
  <c r="B4729" i="2"/>
  <c r="B31273" i="2"/>
  <c r="B11236" i="2"/>
  <c r="B34022" i="2"/>
  <c r="B34831" i="2"/>
  <c r="B5870" i="2"/>
  <c r="B26781" i="2"/>
  <c r="B15671" i="2"/>
  <c r="B32803" i="2"/>
  <c r="B3048" i="2"/>
  <c r="B7703" i="2"/>
  <c r="B16116" i="2"/>
  <c r="B17182" i="2"/>
  <c r="B2325" i="2"/>
  <c r="B21219" i="2"/>
  <c r="B33510" i="2"/>
  <c r="B7918" i="2"/>
  <c r="B934" i="2"/>
  <c r="B34576" i="2"/>
  <c r="B34481" i="2"/>
  <c r="B35666" i="2"/>
  <c r="B29736" i="2"/>
  <c r="B4767" i="2"/>
  <c r="B21542" i="2"/>
  <c r="B17773" i="2"/>
  <c r="B10112" i="2"/>
  <c r="B766" i="2"/>
  <c r="B11861" i="2"/>
  <c r="B6557" i="2"/>
  <c r="B7396" i="2"/>
  <c r="B8687" i="2"/>
  <c r="B8325" i="2"/>
  <c r="B33871" i="2"/>
  <c r="B33693" i="2"/>
  <c r="B26654" i="2"/>
  <c r="B14185" i="2"/>
  <c r="B31288" i="2"/>
  <c r="B22277" i="2"/>
  <c r="B34776" i="2"/>
  <c r="B4535" i="2"/>
  <c r="B35886" i="2"/>
  <c r="B26176" i="2"/>
  <c r="B25426" i="2"/>
  <c r="B10856" i="2"/>
  <c r="B12227" i="2"/>
  <c r="B15412" i="2"/>
  <c r="B27633" i="2"/>
  <c r="B3250" i="2"/>
  <c r="B22194" i="2"/>
  <c r="B5827" i="2"/>
  <c r="B20579" i="2"/>
  <c r="B34338" i="2"/>
  <c r="B20170" i="2"/>
  <c r="B7282" i="2"/>
  <c r="B3903" i="2"/>
  <c r="B7402" i="2"/>
  <c r="B33449" i="2"/>
  <c r="B22226" i="2"/>
  <c r="B27640" i="2"/>
  <c r="B22794" i="2"/>
  <c r="B33289" i="2"/>
  <c r="B12567" i="2"/>
  <c r="B33397" i="2"/>
  <c r="B17686" i="2"/>
  <c r="B3989" i="2"/>
  <c r="B22914" i="2"/>
  <c r="B17323" i="2"/>
  <c r="B26431" i="2"/>
  <c r="B11749" i="2"/>
  <c r="B36311" i="2"/>
  <c r="B5376" i="2"/>
  <c r="B15124" i="2"/>
  <c r="B30443" i="2"/>
  <c r="B28883" i="2"/>
  <c r="B20118" i="2"/>
  <c r="B15438" i="2"/>
  <c r="B15321" i="2"/>
  <c r="B25208" i="2"/>
  <c r="B619" i="2"/>
  <c r="B25232" i="2"/>
  <c r="B18973" i="2"/>
  <c r="B11338" i="2"/>
  <c r="B14339" i="2"/>
  <c r="B24474" i="2"/>
  <c r="B3252" i="2"/>
  <c r="B9893" i="2"/>
  <c r="B25133" i="2"/>
  <c r="B31163" i="2"/>
  <c r="B3579" i="2"/>
  <c r="B8979" i="2"/>
  <c r="B6402" i="2"/>
  <c r="B22503" i="2"/>
  <c r="B33903" i="2"/>
  <c r="B26799" i="2"/>
  <c r="B6441" i="2"/>
  <c r="B32524" i="2"/>
  <c r="B2344" i="2"/>
  <c r="B15932" i="2"/>
  <c r="B35919" i="2"/>
  <c r="B15549" i="2"/>
  <c r="B3722" i="2"/>
  <c r="B32740" i="2"/>
  <c r="B6619" i="2"/>
  <c r="B32086" i="2"/>
  <c r="B4693" i="2"/>
  <c r="B4556" i="2"/>
  <c r="B24750" i="2"/>
  <c r="B31584" i="2"/>
  <c r="B18615" i="2"/>
  <c r="B33373" i="2"/>
  <c r="B4763" i="2"/>
  <c r="B29024" i="2"/>
  <c r="B22803" i="2"/>
  <c r="B27140" i="2"/>
  <c r="B8174" i="2"/>
  <c r="B24385" i="2"/>
  <c r="B18044" i="2"/>
  <c r="B36348" i="2"/>
  <c r="B35957" i="2"/>
  <c r="B29343" i="2"/>
  <c r="B21735" i="2"/>
  <c r="B24761" i="2"/>
  <c r="B16527" i="2"/>
  <c r="B20808" i="2"/>
  <c r="B32635" i="2"/>
  <c r="B10445" i="2"/>
  <c r="B13964" i="2"/>
  <c r="B31467" i="2"/>
  <c r="B21654" i="2"/>
  <c r="B30036" i="2"/>
  <c r="B31247" i="2"/>
  <c r="B451" i="2"/>
  <c r="B15317" i="2"/>
  <c r="B30412" i="2"/>
  <c r="B28584" i="2"/>
  <c r="B4434" i="2"/>
  <c r="B30085" i="2"/>
  <c r="B30386" i="2"/>
  <c r="B9444" i="2"/>
  <c r="B7209" i="2"/>
  <c r="B19878" i="2"/>
  <c r="B26113" i="2"/>
  <c r="B5896" i="2"/>
  <c r="B11633" i="2"/>
  <c r="B19070" i="2"/>
  <c r="B650" i="2"/>
  <c r="B18532" i="2"/>
  <c r="B11664" i="2"/>
  <c r="B1370" i="2"/>
  <c r="B27023" i="2"/>
  <c r="B31479" i="2"/>
  <c r="B31399" i="2"/>
  <c r="B31352" i="2"/>
  <c r="B23437" i="2"/>
  <c r="B16280" i="2"/>
  <c r="B554" i="2"/>
  <c r="B32025" i="2"/>
  <c r="B31148" i="2"/>
  <c r="B31811" i="2"/>
  <c r="B9918" i="2"/>
  <c r="B25908" i="2"/>
  <c r="B3178" i="2"/>
  <c r="B26771" i="2"/>
  <c r="B20294" i="2"/>
  <c r="B5914" i="2"/>
  <c r="B24350" i="2"/>
  <c r="B22941" i="2"/>
  <c r="B25218" i="2"/>
  <c r="B30049" i="2"/>
  <c r="B34328" i="2"/>
  <c r="B29683" i="2"/>
  <c r="B32674" i="2"/>
  <c r="B31261" i="2"/>
  <c r="B12435" i="2"/>
  <c r="B23463" i="2"/>
  <c r="B8028" i="2"/>
  <c r="B32578" i="2"/>
  <c r="B2851" i="2"/>
  <c r="B5839" i="2"/>
  <c r="B7987" i="2"/>
  <c r="B7217" i="2"/>
  <c r="B35624" i="2"/>
  <c r="B29672" i="2"/>
  <c r="B29241" i="2"/>
  <c r="B5059" i="2"/>
  <c r="B6802" i="2"/>
  <c r="B35180" i="2"/>
  <c r="B34535" i="2"/>
  <c r="B13811" i="2"/>
  <c r="B21148" i="2"/>
  <c r="B7277" i="2"/>
  <c r="B27050" i="2"/>
  <c r="B4701" i="2"/>
  <c r="B7860" i="2"/>
  <c r="B5398" i="2"/>
  <c r="B10017" i="2"/>
  <c r="B269" i="2"/>
  <c r="B4569" i="2"/>
  <c r="B19245" i="2"/>
  <c r="B31723" i="2"/>
  <c r="B14529" i="2"/>
  <c r="B2778" i="2"/>
  <c r="B13207" i="2"/>
  <c r="B19569" i="2"/>
  <c r="B1060" i="2"/>
  <c r="B33782" i="2"/>
  <c r="B29615" i="2"/>
  <c r="B27520" i="2"/>
  <c r="B27085" i="2"/>
  <c r="B9010" i="2"/>
  <c r="B9285" i="2"/>
  <c r="B4728" i="2"/>
  <c r="B22227" i="2"/>
  <c r="B29611" i="2"/>
  <c r="B13901" i="2"/>
  <c r="B15348" i="2"/>
  <c r="B35367" i="2"/>
  <c r="B8051" i="2"/>
  <c r="B33747" i="2"/>
  <c r="B22033" i="2"/>
  <c r="B25579" i="2"/>
  <c r="B10458" i="2"/>
  <c r="B7922" i="2"/>
  <c r="B33841" i="2"/>
  <c r="B29408" i="2"/>
  <c r="B8388" i="2"/>
  <c r="B21993" i="2"/>
  <c r="B5707" i="2"/>
  <c r="B23473" i="2"/>
  <c r="B437" i="2"/>
  <c r="B26787" i="2"/>
  <c r="B24956" i="2"/>
  <c r="B6063" i="2"/>
  <c r="B24554" i="2"/>
  <c r="B17374" i="2"/>
  <c r="B2725" i="2"/>
  <c r="B7887" i="2"/>
  <c r="B7291" i="2"/>
  <c r="B33106" i="2"/>
  <c r="B1729" i="2"/>
  <c r="B20851" i="2"/>
  <c r="B35325" i="2"/>
  <c r="B19822" i="2"/>
  <c r="B4744" i="2"/>
  <c r="B14212" i="2"/>
  <c r="B9222" i="2"/>
  <c r="B15512" i="2"/>
  <c r="B9098" i="2"/>
  <c r="B18154" i="2"/>
  <c r="B5579" i="2"/>
  <c r="B27145" i="2"/>
  <c r="B1494" i="2"/>
  <c r="B2390" i="2"/>
  <c r="B11374" i="2"/>
  <c r="B26051" i="2"/>
  <c r="B26994" i="2"/>
  <c r="B3008" i="2"/>
  <c r="B11181" i="2"/>
  <c r="B11945" i="2"/>
  <c r="B11725" i="2"/>
  <c r="B22608" i="2"/>
  <c r="B6570" i="2"/>
  <c r="B29198" i="2"/>
  <c r="B23328" i="2"/>
  <c r="B26489" i="2"/>
  <c r="B784" i="2"/>
  <c r="B8322" i="2"/>
  <c r="B24578" i="2"/>
  <c r="B15562" i="2"/>
  <c r="B18491" i="2"/>
  <c r="B34819" i="2"/>
  <c r="B21900" i="2"/>
  <c r="B34951" i="2"/>
  <c r="B19863" i="2"/>
  <c r="B4359" i="2"/>
  <c r="B26509" i="2"/>
  <c r="B13512" i="2"/>
  <c r="B35696" i="2"/>
  <c r="B9514" i="2"/>
  <c r="B3832" i="2"/>
  <c r="B33277" i="2"/>
  <c r="B14702" i="2"/>
  <c r="B31892" i="2"/>
  <c r="B8499" i="2"/>
  <c r="B903" i="2"/>
  <c r="B25637" i="2"/>
  <c r="B2609" i="2"/>
  <c r="B9281" i="2"/>
  <c r="B5487" i="2"/>
  <c r="B17879" i="2"/>
  <c r="B17883" i="2"/>
  <c r="B11172" i="2"/>
  <c r="B8452" i="2"/>
  <c r="B24982" i="2"/>
  <c r="B20775" i="2"/>
  <c r="B25225" i="2"/>
  <c r="B14985" i="2"/>
  <c r="B11347" i="2"/>
  <c r="B18592" i="2"/>
  <c r="B34811" i="2"/>
  <c r="B33757" i="2"/>
  <c r="B7770" i="2"/>
  <c r="B9027" i="2"/>
  <c r="B9673" i="2"/>
  <c r="B30570" i="2"/>
  <c r="B20154" i="2"/>
  <c r="B28916" i="2"/>
  <c r="B24305" i="2"/>
  <c r="B35239" i="2"/>
  <c r="B20951" i="2"/>
  <c r="B7512" i="2"/>
  <c r="B14598" i="2"/>
  <c r="B8568" i="2"/>
  <c r="B3468" i="2"/>
  <c r="B13071" i="2"/>
  <c r="B15094" i="2"/>
  <c r="B20900" i="2"/>
  <c r="B5091" i="2"/>
  <c r="B5003" i="2"/>
  <c r="B24089" i="2"/>
  <c r="B6635" i="2"/>
  <c r="B20482" i="2"/>
  <c r="B26534" i="2"/>
  <c r="B3909" i="2"/>
  <c r="B24483" i="2"/>
  <c r="B28018" i="2"/>
  <c r="B26406" i="2"/>
  <c r="B26985" i="2"/>
  <c r="B24922" i="2"/>
  <c r="B6482" i="2"/>
  <c r="B7333" i="2"/>
  <c r="B29391" i="2"/>
  <c r="B26294" i="2"/>
  <c r="B30185" i="2"/>
  <c r="B441" i="2"/>
  <c r="B22746" i="2"/>
  <c r="B11814" i="2"/>
  <c r="B12060" i="2"/>
  <c r="B12386" i="2"/>
  <c r="B29156" i="2"/>
  <c r="B31941" i="2"/>
  <c r="B22618" i="2"/>
  <c r="B25099" i="2"/>
  <c r="B24957" i="2"/>
  <c r="B19136" i="2"/>
  <c r="B8047" i="2"/>
  <c r="B8659" i="2"/>
  <c r="B6090" i="2"/>
  <c r="B22344" i="2"/>
  <c r="B7233" i="2"/>
  <c r="B24644" i="2"/>
  <c r="B25496" i="2"/>
  <c r="B33272" i="2"/>
  <c r="B9332" i="2"/>
  <c r="B9878" i="2"/>
  <c r="B5916" i="2"/>
  <c r="B23512" i="2"/>
  <c r="B25115" i="2"/>
  <c r="B23969" i="2"/>
  <c r="B17217" i="2"/>
  <c r="B13391" i="2"/>
  <c r="B22451" i="2"/>
  <c r="B8210" i="2"/>
  <c r="B22506" i="2"/>
  <c r="B27745" i="2"/>
  <c r="B20110" i="2"/>
  <c r="B31300" i="2"/>
  <c r="B31599" i="2"/>
  <c r="B19315" i="2"/>
  <c r="B11820" i="2"/>
  <c r="B27364" i="2"/>
  <c r="B3046" i="2"/>
  <c r="B24802" i="2"/>
  <c r="B21189" i="2"/>
  <c r="B15585" i="2"/>
  <c r="B16299" i="2"/>
  <c r="B36114" i="2"/>
  <c r="B34888" i="2"/>
  <c r="B29162" i="2"/>
  <c r="B8447" i="2"/>
  <c r="B30305" i="2"/>
  <c r="B19865" i="2"/>
  <c r="B22296" i="2"/>
  <c r="B4515" i="2"/>
  <c r="B7434" i="2"/>
  <c r="B5859" i="2"/>
  <c r="B8739" i="2"/>
  <c r="B3049" i="2"/>
  <c r="B17913" i="2"/>
  <c r="B8481" i="2"/>
  <c r="B8790" i="2"/>
  <c r="B4658" i="2"/>
  <c r="B11019" i="2"/>
  <c r="B30112" i="2"/>
  <c r="B31611" i="2"/>
  <c r="B4232" i="2"/>
  <c r="B1642" i="2"/>
  <c r="B24951" i="2"/>
  <c r="B32925" i="2"/>
  <c r="B3095" i="2"/>
  <c r="B23853" i="2"/>
  <c r="B25331" i="2"/>
  <c r="B14546" i="2"/>
  <c r="B14774" i="2"/>
  <c r="B16267" i="2"/>
  <c r="B12682" i="2"/>
  <c r="B28631" i="2"/>
  <c r="B721" i="2"/>
  <c r="B25102" i="2"/>
  <c r="B9596" i="2"/>
  <c r="B29648" i="2"/>
  <c r="B15304" i="2"/>
  <c r="B15100" i="2"/>
  <c r="B19725" i="2"/>
  <c r="B14284" i="2"/>
  <c r="B17042" i="2"/>
  <c r="B16494" i="2"/>
  <c r="B7411" i="2"/>
  <c r="B6242" i="2"/>
  <c r="B12782" i="2"/>
  <c r="B13225" i="2"/>
  <c r="B34912" i="2"/>
  <c r="B17537" i="2"/>
  <c r="B1994" i="2"/>
  <c r="B32679" i="2"/>
  <c r="B778" i="2"/>
  <c r="B19458" i="2"/>
  <c r="B2592" i="2"/>
  <c r="B14580" i="2"/>
  <c r="B17220" i="2"/>
  <c r="B27257" i="2"/>
  <c r="B7015" i="2"/>
  <c r="B13370" i="2"/>
  <c r="B24011" i="2"/>
  <c r="B32738" i="2"/>
  <c r="B7370" i="2"/>
  <c r="B6671" i="2"/>
  <c r="B15686" i="2"/>
  <c r="B11675" i="2"/>
  <c r="B2928" i="2"/>
  <c r="B31253" i="2"/>
  <c r="B5139" i="2"/>
  <c r="B17526" i="2"/>
  <c r="B16656" i="2"/>
  <c r="B15460" i="2"/>
  <c r="B25693" i="2"/>
  <c r="B24315" i="2"/>
  <c r="B19286" i="2"/>
  <c r="B14759" i="2"/>
  <c r="B19012" i="2"/>
  <c r="B16342" i="2"/>
  <c r="B29972" i="2"/>
  <c r="B36031" i="2"/>
  <c r="B31327" i="2"/>
  <c r="B12487" i="2"/>
  <c r="B36300" i="2"/>
  <c r="B7599" i="2"/>
  <c r="B7078" i="2"/>
  <c r="B28776" i="2"/>
  <c r="B5181" i="2"/>
  <c r="B27216" i="2"/>
  <c r="B35495" i="2"/>
  <c r="B6902" i="2"/>
  <c r="B8436" i="2"/>
  <c r="B17641" i="2"/>
  <c r="B29107" i="2"/>
  <c r="B35348" i="2"/>
  <c r="B30390" i="2"/>
  <c r="B34540" i="2"/>
  <c r="B32558" i="2"/>
  <c r="B4717" i="2"/>
  <c r="B1988" i="2"/>
  <c r="B35821" i="2"/>
  <c r="B19369" i="2"/>
  <c r="B27978" i="2"/>
  <c r="B7423" i="2"/>
  <c r="B33328" i="2"/>
  <c r="B36289" i="2"/>
  <c r="B32986" i="2"/>
  <c r="B14445" i="2"/>
  <c r="B6139" i="2"/>
  <c r="B17024" i="2"/>
  <c r="B4971" i="2"/>
  <c r="B27282" i="2"/>
  <c r="B26000" i="2"/>
  <c r="B33124" i="2"/>
  <c r="B23211" i="2"/>
  <c r="B22252" i="2"/>
  <c r="B33130" i="2"/>
  <c r="B33135" i="2"/>
  <c r="B25691" i="2"/>
  <c r="B8610" i="2"/>
  <c r="B19346" i="2"/>
  <c r="B31727" i="2"/>
  <c r="B689" i="2"/>
  <c r="B6956" i="2"/>
  <c r="B10016" i="2"/>
  <c r="B30275" i="2"/>
  <c r="B29185" i="2"/>
  <c r="B22446" i="2"/>
  <c r="B10488" i="2"/>
  <c r="B22996" i="2"/>
  <c r="B12346" i="2"/>
  <c r="B8690" i="2"/>
  <c r="B19838" i="2"/>
  <c r="B34629" i="2"/>
  <c r="B32248" i="2"/>
  <c r="B20623" i="2"/>
  <c r="B34867" i="2"/>
  <c r="B4867" i="2"/>
  <c r="B32893" i="2"/>
  <c r="B9504" i="2"/>
  <c r="B8926" i="2"/>
  <c r="B20887" i="2"/>
  <c r="B16163" i="2"/>
  <c r="B3560" i="2"/>
  <c r="B19602" i="2"/>
  <c r="B10971" i="2"/>
  <c r="B24446" i="2"/>
  <c r="B33138" i="2"/>
  <c r="B33299" i="2"/>
  <c r="B36058" i="2"/>
  <c r="B7952" i="2"/>
  <c r="B7667" i="2"/>
  <c r="B22826" i="2"/>
  <c r="B22390" i="2"/>
  <c r="B12493" i="2"/>
  <c r="B22405" i="2"/>
  <c r="B27111" i="2"/>
  <c r="B33184" i="2"/>
  <c r="B7691" i="2"/>
  <c r="B15940" i="2"/>
  <c r="B8271" i="2"/>
  <c r="B24950" i="2"/>
  <c r="B16622" i="2"/>
  <c r="B11619" i="2"/>
  <c r="B21160" i="2"/>
  <c r="B26919" i="2"/>
  <c r="B19021" i="2"/>
  <c r="B30459" i="2"/>
  <c r="B27939" i="2"/>
  <c r="B1231" i="2"/>
  <c r="B2568" i="2"/>
  <c r="B31140" i="2"/>
  <c r="B5546" i="2"/>
  <c r="B8479" i="2"/>
  <c r="B16941" i="2"/>
  <c r="B14938" i="2"/>
  <c r="B3776" i="2"/>
  <c r="B28126" i="2"/>
  <c r="B12039" i="2"/>
  <c r="B4507" i="2"/>
  <c r="B21859" i="2"/>
  <c r="B13019" i="2"/>
  <c r="B35760" i="2"/>
  <c r="B29046" i="2"/>
  <c r="B26237" i="2"/>
  <c r="B10949" i="2"/>
  <c r="B10062" i="2"/>
  <c r="B4285" i="2"/>
  <c r="B30129" i="2"/>
  <c r="B8379" i="2"/>
  <c r="B33251" i="2"/>
  <c r="B24466" i="2"/>
  <c r="B6483" i="2"/>
  <c r="B6916" i="2"/>
  <c r="B7315" i="2"/>
  <c r="B21406" i="2"/>
  <c r="B8406" i="2"/>
  <c r="B9746" i="2"/>
  <c r="B19239" i="2"/>
  <c r="B7092" i="2"/>
  <c r="B3895" i="2"/>
  <c r="B24168" i="2"/>
  <c r="B16373" i="2"/>
  <c r="B4475" i="2"/>
  <c r="B33252" i="2"/>
  <c r="B31092" i="2"/>
  <c r="B23860" i="2"/>
  <c r="B11692" i="2"/>
  <c r="B29144" i="2"/>
  <c r="B28503" i="2"/>
  <c r="B8685" i="2"/>
  <c r="B2085" i="2"/>
  <c r="B32313" i="2"/>
  <c r="B33486" i="2"/>
  <c r="B4977" i="2"/>
  <c r="B977" i="2"/>
  <c r="B28996" i="2"/>
  <c r="B35038" i="2"/>
  <c r="B4812" i="2"/>
  <c r="B18681" i="2"/>
  <c r="B17840" i="2"/>
  <c r="B20057" i="2"/>
  <c r="B14841" i="2"/>
  <c r="B29911" i="2"/>
  <c r="B22885" i="2"/>
  <c r="B3668" i="2"/>
  <c r="B33475" i="2"/>
  <c r="B771" i="2"/>
  <c r="B28973" i="2"/>
  <c r="B26186" i="2"/>
  <c r="B6906" i="2"/>
  <c r="B5324" i="2"/>
  <c r="B9170" i="2"/>
  <c r="B914" i="2"/>
  <c r="B3058" i="2"/>
  <c r="B23103" i="2"/>
  <c r="B5936" i="2"/>
  <c r="B6757" i="2"/>
  <c r="B26804" i="2"/>
  <c r="B32253" i="2"/>
  <c r="B28393" i="2"/>
  <c r="B11402" i="2"/>
  <c r="B12796" i="2"/>
  <c r="B31504" i="2"/>
  <c r="B32953" i="2"/>
  <c r="B22530" i="2"/>
  <c r="B33233" i="2"/>
  <c r="B13291" i="2"/>
  <c r="B23261" i="2"/>
  <c r="B7876" i="2"/>
  <c r="B22084" i="2"/>
  <c r="B3834" i="2"/>
  <c r="B28429" i="2"/>
  <c r="B15064" i="2"/>
  <c r="B27026" i="2"/>
  <c r="B3478" i="2"/>
  <c r="B29787" i="2"/>
  <c r="B34376" i="2"/>
  <c r="B5560" i="2"/>
  <c r="B3539" i="2"/>
  <c r="B15294" i="2"/>
  <c r="B16910" i="2"/>
  <c r="B2284" i="2"/>
  <c r="B30998" i="2"/>
  <c r="B31040" i="2"/>
  <c r="B16251" i="2"/>
  <c r="B5905" i="2"/>
  <c r="B4044" i="2"/>
  <c r="B19664" i="2"/>
  <c r="B27425" i="2"/>
  <c r="B16609" i="2"/>
  <c r="B8142" i="2"/>
  <c r="B19024" i="2"/>
  <c r="B5149" i="2"/>
  <c r="B29740" i="2"/>
  <c r="B32021" i="2"/>
  <c r="B31651" i="2"/>
  <c r="B11853" i="2"/>
  <c r="B18028" i="2"/>
  <c r="B24972" i="2"/>
  <c r="B862" i="2"/>
  <c r="B13220" i="2"/>
  <c r="B6419" i="2"/>
  <c r="B5767" i="2"/>
  <c r="B4869" i="2"/>
  <c r="B3582" i="2"/>
  <c r="B1479" i="2"/>
  <c r="B35271" i="2"/>
  <c r="B14828" i="2"/>
  <c r="B7990" i="2"/>
  <c r="B5654" i="2"/>
  <c r="B9671" i="2"/>
  <c r="B30130" i="2"/>
  <c r="B3246" i="2"/>
  <c r="B35897" i="2"/>
  <c r="B2313" i="2"/>
  <c r="B62" i="2"/>
  <c r="B9967" i="2"/>
  <c r="B28135" i="2"/>
  <c r="B4167" i="2"/>
  <c r="B8628" i="2"/>
  <c r="B20401" i="2"/>
  <c r="B32689" i="2"/>
  <c r="B28646" i="2"/>
  <c r="B3109" i="2"/>
  <c r="B35066" i="2"/>
  <c r="B1745" i="2"/>
  <c r="B2821" i="2"/>
  <c r="B21599" i="2"/>
  <c r="B19160" i="2"/>
  <c r="B18146" i="2"/>
  <c r="B27169" i="2"/>
  <c r="B8304" i="2"/>
  <c r="B23092" i="2"/>
  <c r="B5757" i="2"/>
  <c r="B6676" i="2"/>
  <c r="B24583" i="2"/>
  <c r="B24221" i="2"/>
  <c r="B15784" i="2"/>
  <c r="B32614" i="2"/>
  <c r="B20953" i="2"/>
  <c r="B32602" i="2"/>
  <c r="B19697" i="2"/>
  <c r="B18801" i="2"/>
  <c r="B17953" i="2"/>
  <c r="B32117" i="2"/>
  <c r="B5197" i="2"/>
  <c r="B17261" i="2"/>
  <c r="B16152" i="2"/>
  <c r="B2361" i="2"/>
  <c r="B31477" i="2"/>
  <c r="B15736" i="2"/>
  <c r="B3923" i="2"/>
  <c r="B27189" i="2"/>
  <c r="B8630" i="2"/>
  <c r="B31296" i="2"/>
  <c r="B35525" i="2"/>
  <c r="B1217" i="2"/>
  <c r="B21415" i="2"/>
  <c r="B10256" i="2"/>
  <c r="B5249" i="2"/>
  <c r="B30596" i="2"/>
  <c r="B28299" i="2"/>
  <c r="B7009" i="2"/>
  <c r="B31220" i="2"/>
  <c r="B22036" i="2"/>
  <c r="B36154" i="2"/>
  <c r="B2149" i="2"/>
  <c r="B4064" i="2"/>
  <c r="B7850" i="2"/>
  <c r="B4444" i="2"/>
  <c r="B34855" i="2"/>
  <c r="B20173" i="2"/>
  <c r="B9164" i="2"/>
  <c r="B24475" i="2"/>
  <c r="B29002" i="2"/>
  <c r="B26977" i="2"/>
  <c r="B17274" i="2"/>
  <c r="B5883" i="2"/>
  <c r="B23351" i="2"/>
  <c r="B23234" i="2"/>
  <c r="B7861" i="2"/>
  <c r="B21752" i="2"/>
  <c r="B32386" i="2"/>
  <c r="B25284" i="2"/>
  <c r="B5085" i="2"/>
  <c r="B5415" i="2"/>
  <c r="B34302" i="2"/>
  <c r="B27625" i="2"/>
  <c r="B32078" i="2"/>
  <c r="B11799" i="2"/>
  <c r="B24737" i="2"/>
  <c r="B19643" i="2"/>
  <c r="B24763" i="2"/>
  <c r="B19695" i="2"/>
  <c r="B30772" i="2"/>
  <c r="B17453" i="2"/>
  <c r="B21207" i="2"/>
  <c r="B853" i="2"/>
  <c r="B4103" i="2"/>
  <c r="B17400" i="2"/>
  <c r="B2028" i="2"/>
  <c r="B1775" i="2"/>
  <c r="B31160" i="2"/>
  <c r="B34528" i="2"/>
  <c r="B20839" i="2"/>
  <c r="B2438" i="2"/>
  <c r="B13150" i="2"/>
  <c r="B16816" i="2"/>
  <c r="B29059" i="2"/>
  <c r="B16225" i="2"/>
  <c r="B27455" i="2"/>
  <c r="B29406" i="2"/>
  <c r="B16239" i="2"/>
  <c r="B13281" i="2"/>
  <c r="B3754" i="2"/>
  <c r="B18401" i="2"/>
  <c r="B21583" i="2"/>
  <c r="B27399" i="2"/>
  <c r="B33276" i="2"/>
  <c r="B17733" i="2"/>
  <c r="B25501" i="2"/>
  <c r="B24228" i="2"/>
  <c r="B7289" i="2"/>
  <c r="B26236" i="2"/>
  <c r="B5180" i="2"/>
  <c r="B9361" i="2"/>
  <c r="B15553" i="2"/>
  <c r="B31894" i="2"/>
  <c r="B4647" i="2"/>
  <c r="B26856" i="2"/>
  <c r="B17369" i="2"/>
  <c r="B5884" i="2"/>
  <c r="B5819" i="2"/>
  <c r="B7586" i="2"/>
  <c r="B6040" i="2"/>
  <c r="B14455" i="2"/>
  <c r="B30777" i="2"/>
  <c r="B22052" i="2"/>
  <c r="B21352" i="2"/>
  <c r="B20886" i="2"/>
  <c r="B35671" i="2"/>
  <c r="B33629" i="2"/>
  <c r="B33832" i="2"/>
  <c r="B31225" i="2"/>
  <c r="B27901" i="2"/>
  <c r="B2053" i="2"/>
  <c r="B29437" i="2"/>
  <c r="B1408" i="2"/>
  <c r="B23304" i="2"/>
  <c r="B33566" i="2"/>
  <c r="B30250" i="2"/>
  <c r="B35859" i="2"/>
  <c r="B27898" i="2"/>
  <c r="B15586" i="2"/>
  <c r="B20675" i="2"/>
  <c r="B5586" i="2"/>
  <c r="B1605" i="2"/>
  <c r="B164" i="2"/>
  <c r="B5573" i="2"/>
  <c r="B31711" i="2"/>
  <c r="B31561" i="2"/>
  <c r="B31750" i="2"/>
  <c r="B26290" i="2"/>
  <c r="B25753" i="2"/>
  <c r="B31519" i="2"/>
  <c r="B8356" i="2"/>
  <c r="B34384" i="2"/>
  <c r="B3072" i="2"/>
  <c r="B11671" i="2"/>
  <c r="B6369" i="2"/>
  <c r="B7196" i="2"/>
  <c r="B6929" i="2"/>
  <c r="B24079" i="2"/>
  <c r="B1801" i="2"/>
  <c r="B22479" i="2"/>
  <c r="B24439" i="2"/>
  <c r="B19355" i="2"/>
  <c r="B14344" i="2"/>
  <c r="B31511" i="2"/>
  <c r="B11088" i="2"/>
  <c r="B3959" i="2"/>
  <c r="B30807" i="2"/>
  <c r="B31068" i="2"/>
  <c r="B1672" i="2"/>
  <c r="B3956" i="2"/>
  <c r="B10289" i="2"/>
  <c r="B13027" i="2"/>
  <c r="B15649" i="2"/>
  <c r="B18439" i="2"/>
  <c r="B28124" i="2"/>
  <c r="B19233" i="2"/>
  <c r="B25958" i="2"/>
  <c r="B24516" i="2"/>
  <c r="B7662" i="2"/>
  <c r="B23924" i="2"/>
  <c r="B6517" i="2"/>
  <c r="B6588" i="2"/>
  <c r="B30232" i="2"/>
  <c r="B28775" i="2"/>
  <c r="B1980" i="2"/>
  <c r="B30255" i="2"/>
  <c r="B2664" i="2"/>
  <c r="B27056" i="2"/>
  <c r="B24715" i="2"/>
  <c r="B25086" i="2"/>
  <c r="B27326" i="2"/>
  <c r="B25434" i="2"/>
  <c r="B12503" i="2"/>
  <c r="B29686" i="2"/>
  <c r="B32664" i="2"/>
  <c r="B15622" i="2"/>
  <c r="B30439" i="2"/>
  <c r="B21800" i="2"/>
  <c r="B19353" i="2"/>
  <c r="B7492" i="2"/>
  <c r="B24983" i="2"/>
  <c r="B9927" i="2"/>
  <c r="B16001" i="2"/>
  <c r="B14567" i="2"/>
  <c r="B6573" i="2"/>
  <c r="B24181" i="2"/>
  <c r="B3875" i="2"/>
  <c r="B17382" i="2"/>
  <c r="B33983" i="2"/>
  <c r="B15552" i="2"/>
  <c r="B33799" i="2"/>
  <c r="B16750" i="2"/>
  <c r="B3784" i="2"/>
  <c r="B32446" i="2"/>
  <c r="B35496" i="2"/>
  <c r="B15827" i="2"/>
  <c r="B18498" i="2"/>
  <c r="B23499" i="2"/>
  <c r="B9047" i="2"/>
  <c r="B13652" i="2"/>
  <c r="B19013" i="2"/>
  <c r="B24415" i="2"/>
  <c r="B17121" i="2"/>
  <c r="B30363" i="2"/>
  <c r="B29562" i="2"/>
  <c r="B24827" i="2"/>
  <c r="B7882" i="2"/>
  <c r="B28964" i="2"/>
  <c r="B31927" i="2"/>
  <c r="B35938" i="2"/>
  <c r="B692" i="2"/>
  <c r="B23870" i="2"/>
  <c r="B5820" i="2"/>
  <c r="B8581" i="2"/>
  <c r="B17311" i="2"/>
  <c r="B3710" i="2"/>
  <c r="B1468" i="2"/>
  <c r="B19094" i="2"/>
  <c r="B6942" i="2"/>
  <c r="B22800" i="2"/>
  <c r="B13516" i="2"/>
  <c r="B5499" i="2"/>
  <c r="B22339" i="2"/>
  <c r="B963" i="2"/>
  <c r="B26336" i="2"/>
  <c r="B27567" i="2"/>
  <c r="B32155" i="2"/>
  <c r="B22852" i="2"/>
  <c r="B5790" i="2"/>
  <c r="B27672" i="2"/>
  <c r="B29154" i="2"/>
  <c r="B5982" i="2"/>
  <c r="B1691" i="2"/>
  <c r="B35154" i="2"/>
  <c r="B29174" i="2"/>
  <c r="B4857" i="2"/>
  <c r="B33784" i="2"/>
  <c r="B35490" i="2"/>
  <c r="B17306" i="2"/>
  <c r="B33425" i="2"/>
  <c r="B8814" i="2"/>
  <c r="B8998" i="2"/>
  <c r="B27728" i="2"/>
  <c r="B8486" i="2"/>
  <c r="B191" i="2"/>
  <c r="B10671" i="2"/>
  <c r="B24791" i="2"/>
  <c r="B14480" i="2"/>
  <c r="B16044" i="2"/>
  <c r="B25527" i="2"/>
  <c r="B32940" i="2"/>
  <c r="B14879" i="2"/>
  <c r="B16371" i="2"/>
  <c r="B14244" i="2"/>
  <c r="B24753" i="2"/>
  <c r="B950" i="2"/>
  <c r="B29748" i="2"/>
  <c r="B21258" i="2"/>
  <c r="B23195" i="2"/>
  <c r="B22310" i="2"/>
  <c r="B31449" i="2"/>
  <c r="B8182" i="2"/>
  <c r="B26496" i="2"/>
  <c r="B17353" i="2"/>
  <c r="B17309" i="2"/>
  <c r="B16543" i="2"/>
  <c r="B6474" i="2"/>
  <c r="B7848" i="2"/>
  <c r="B15357" i="2"/>
  <c r="B9062" i="2"/>
  <c r="B26482" i="2"/>
  <c r="B9580" i="2"/>
  <c r="B1543" i="2"/>
  <c r="B18171" i="2"/>
  <c r="B949" i="2"/>
  <c r="B30803" i="2"/>
  <c r="B14604" i="2"/>
  <c r="B31996" i="2"/>
  <c r="B6783" i="2"/>
  <c r="B28356" i="2"/>
  <c r="B15110" i="2"/>
  <c r="B7052" i="2"/>
  <c r="B8694" i="2"/>
  <c r="B3096" i="2"/>
  <c r="B8617" i="2"/>
  <c r="B8570" i="2"/>
  <c r="B27180" i="2"/>
  <c r="B6056" i="2"/>
  <c r="B10463" i="2"/>
  <c r="B33089" i="2"/>
  <c r="B1108" i="2"/>
  <c r="B8292" i="2"/>
  <c r="B7767" i="2"/>
  <c r="B27648" i="2"/>
  <c r="B8517" i="2"/>
  <c r="B25543" i="2"/>
  <c r="B26270" i="2"/>
  <c r="B930" i="2"/>
  <c r="B5345" i="2"/>
  <c r="B30258" i="2"/>
  <c r="B33354" i="2"/>
  <c r="B8963" i="2"/>
  <c r="B26326" i="2"/>
  <c r="B8747" i="2"/>
  <c r="B33072" i="2"/>
  <c r="B6083" i="2"/>
  <c r="B33249" i="2"/>
  <c r="B7709" i="2"/>
  <c r="B30839" i="2"/>
  <c r="B8185" i="2"/>
  <c r="B667" i="2"/>
  <c r="B19201" i="2"/>
  <c r="B6673" i="2"/>
  <c r="B17847" i="2"/>
  <c r="B18160" i="2"/>
  <c r="B13213" i="2"/>
  <c r="B35839" i="2"/>
  <c r="B4939" i="2"/>
  <c r="B4945" i="2"/>
  <c r="B18870" i="2"/>
  <c r="B662" i="2"/>
  <c r="B12092" i="2"/>
  <c r="B16347" i="2"/>
  <c r="B33812" i="2"/>
  <c r="B4659" i="2"/>
  <c r="B33021" i="2"/>
  <c r="B7500" i="2"/>
  <c r="B26377" i="2"/>
  <c r="B33245" i="2"/>
  <c r="B3167" i="2"/>
  <c r="B5749" i="2"/>
  <c r="B8038" i="2"/>
  <c r="B17613" i="2"/>
  <c r="B25056" i="2"/>
  <c r="B19371" i="2"/>
  <c r="B5058" i="2"/>
  <c r="B9336" i="2"/>
  <c r="B33265" i="2"/>
  <c r="B34055" i="2"/>
  <c r="B31654" i="2"/>
  <c r="B32338" i="2"/>
  <c r="B873" i="2"/>
  <c r="B23875" i="2"/>
  <c r="B6576" i="2"/>
  <c r="B24723" i="2"/>
  <c r="B1161" i="2"/>
  <c r="B22660" i="2"/>
  <c r="B27398" i="2"/>
  <c r="B6107" i="2"/>
  <c r="B9157" i="2"/>
  <c r="B13282" i="2"/>
  <c r="B14387" i="2"/>
  <c r="B7528" i="2"/>
  <c r="B8474" i="2"/>
  <c r="B26561" i="2"/>
  <c r="B33169" i="2"/>
  <c r="B30198" i="2"/>
  <c r="B31880" i="2"/>
  <c r="B5246" i="2"/>
  <c r="B30680" i="2"/>
  <c r="B7951" i="2"/>
  <c r="B4393" i="2"/>
  <c r="B29215" i="2"/>
  <c r="B16508" i="2"/>
  <c r="B8652" i="2"/>
  <c r="B7313" i="2"/>
  <c r="B1338" i="2"/>
  <c r="B24831" i="2"/>
  <c r="B14083" i="2"/>
  <c r="B23845" i="2"/>
  <c r="B7571" i="2"/>
  <c r="B23900" i="2"/>
  <c r="B15612" i="2"/>
  <c r="B8324" i="2"/>
  <c r="B24669" i="2"/>
  <c r="B1929" i="2"/>
  <c r="B7024" i="2"/>
  <c r="B33221" i="2"/>
  <c r="B2820" i="2"/>
  <c r="B26879" i="2"/>
  <c r="B16968" i="2"/>
  <c r="B26634" i="2"/>
  <c r="B26071" i="2"/>
  <c r="B25190" i="2"/>
  <c r="B31618" i="2"/>
  <c r="B1824" i="2"/>
  <c r="B6366" i="2"/>
  <c r="B8729" i="2"/>
  <c r="B7797" i="2"/>
  <c r="B20266" i="2"/>
  <c r="B34179" i="2"/>
  <c r="B15024" i="2"/>
  <c r="B6893" i="2"/>
  <c r="B9968" i="2"/>
  <c r="B4243" i="2"/>
  <c r="B29203" i="2"/>
  <c r="B3799" i="2"/>
  <c r="B13229" i="2"/>
  <c r="B3112" i="2"/>
  <c r="B14624" i="2"/>
  <c r="B11492" i="2"/>
  <c r="B28944" i="2"/>
  <c r="B11995" i="2"/>
  <c r="B32324" i="2"/>
  <c r="B14560" i="2"/>
  <c r="B24902" i="2"/>
  <c r="B16097" i="2"/>
  <c r="B6322" i="2"/>
  <c r="B33288" i="2"/>
  <c r="B25192" i="2"/>
  <c r="B13918" i="2"/>
  <c r="B7090" i="2"/>
  <c r="B28333" i="2"/>
  <c r="B25029" i="2"/>
  <c r="B21239" i="2"/>
  <c r="B31292" i="2"/>
  <c r="B7319" i="2"/>
  <c r="B6257" i="2"/>
  <c r="B25003" i="2"/>
  <c r="B32897" i="2"/>
  <c r="B2561" i="2"/>
  <c r="B17068" i="2"/>
  <c r="B30712" i="2"/>
  <c r="B3739" i="2"/>
  <c r="B35832" i="2"/>
  <c r="B23220" i="2"/>
  <c r="B5938" i="2"/>
  <c r="B7531" i="2"/>
  <c r="B23152" i="2"/>
  <c r="B2134" i="2"/>
  <c r="B30277" i="2"/>
  <c r="B23315" i="2"/>
  <c r="B7350" i="2"/>
  <c r="B9597" i="2"/>
  <c r="B28577" i="2"/>
  <c r="B20725" i="2"/>
  <c r="B14427" i="2"/>
  <c r="B23263" i="2"/>
  <c r="B17617" i="2"/>
  <c r="B31143" i="2"/>
  <c r="B16134" i="2"/>
  <c r="B147" i="2"/>
  <c r="B13029" i="2"/>
  <c r="B12795" i="2"/>
  <c r="B13466" i="2"/>
  <c r="B18224" i="2"/>
  <c r="B9714" i="2"/>
  <c r="B28005" i="2"/>
  <c r="B3137" i="2"/>
  <c r="B28628" i="2"/>
  <c r="B7493" i="2"/>
  <c r="B21793" i="2"/>
  <c r="B22699" i="2"/>
  <c r="B8841" i="2"/>
  <c r="B21447" i="2"/>
  <c r="B3707" i="2"/>
  <c r="B26163" i="2"/>
  <c r="B24875" i="2"/>
  <c r="B36355" i="2"/>
  <c r="B24067" i="2"/>
  <c r="B6874" i="2"/>
  <c r="B11615" i="2"/>
  <c r="B27373" i="2"/>
  <c r="B24288" i="2"/>
  <c r="B9396" i="2"/>
  <c r="B10123" i="2"/>
  <c r="B4656" i="2"/>
  <c r="B31810" i="2"/>
  <c r="B25945" i="2"/>
  <c r="B13347" i="2"/>
  <c r="B3996" i="2"/>
  <c r="B14633" i="2"/>
  <c r="B32039" i="2"/>
  <c r="B29521" i="2"/>
  <c r="B34572" i="2"/>
  <c r="B2918" i="2"/>
  <c r="B25855" i="2"/>
  <c r="B18726" i="2"/>
  <c r="B20695" i="2"/>
  <c r="B26526" i="2"/>
  <c r="B17255" i="2"/>
  <c r="B27526" i="2"/>
  <c r="B6282" i="2"/>
  <c r="B31473" i="2"/>
  <c r="B20383" i="2"/>
  <c r="B30850" i="2"/>
  <c r="B22904" i="2"/>
  <c r="B9810" i="2"/>
  <c r="B32983" i="2"/>
  <c r="B26142" i="2"/>
  <c r="B12669" i="2"/>
  <c r="B32425" i="2"/>
  <c r="B7037" i="2"/>
  <c r="B20304" i="2"/>
  <c r="B10832" i="2"/>
  <c r="B2583" i="2"/>
  <c r="B19154" i="2"/>
  <c r="B25377" i="2"/>
  <c r="B34549" i="2"/>
  <c r="B22650" i="2"/>
  <c r="B32965" i="2"/>
  <c r="B34407" i="2"/>
  <c r="B9480" i="2"/>
  <c r="B28225" i="2"/>
  <c r="B14021" i="2"/>
  <c r="B34527" i="2"/>
  <c r="B7043" i="2"/>
  <c r="B1271" i="2"/>
  <c r="B22121" i="2"/>
  <c r="B31625" i="2"/>
  <c r="B11296" i="2"/>
  <c r="B6785" i="2"/>
  <c r="B8505" i="2"/>
  <c r="B2411" i="2"/>
  <c r="B5840" i="2"/>
  <c r="B4770" i="2"/>
  <c r="B14735" i="2"/>
  <c r="B33433" i="2"/>
  <c r="B17409" i="2"/>
  <c r="B25033" i="2"/>
  <c r="B17023" i="2"/>
  <c r="B3301" i="2"/>
  <c r="B24485" i="2"/>
  <c r="B9230" i="2"/>
  <c r="B13374" i="2"/>
  <c r="B31647" i="2"/>
  <c r="B31332" i="2"/>
  <c r="B15365" i="2"/>
  <c r="B31331" i="2"/>
  <c r="B31732" i="2"/>
  <c r="B31848" i="2"/>
  <c r="B23122" i="2"/>
  <c r="B22142" i="2"/>
  <c r="B19993" i="2"/>
  <c r="B9910" i="2"/>
  <c r="B4038" i="2"/>
  <c r="B19227" i="2"/>
  <c r="B24225" i="2"/>
  <c r="B18786" i="2"/>
  <c r="B18779" i="2"/>
  <c r="B6416" i="2"/>
  <c r="B1362" i="2"/>
  <c r="B26263" i="2"/>
  <c r="B32852" i="2"/>
  <c r="B13328" i="2"/>
  <c r="B6177" i="2"/>
  <c r="B13429" i="2"/>
  <c r="B18339" i="2"/>
  <c r="B6412" i="2"/>
  <c r="B26637" i="2"/>
  <c r="B33698" i="2"/>
  <c r="B29998" i="2"/>
  <c r="B5480" i="2"/>
  <c r="B32729" i="2"/>
  <c r="B5837" i="2"/>
  <c r="B6721" i="2"/>
  <c r="B23223" i="2"/>
  <c r="B25176" i="2"/>
  <c r="B29202" i="2"/>
  <c r="B24658" i="2"/>
  <c r="B14380" i="2"/>
  <c r="B21469" i="2"/>
  <c r="B8675" i="2"/>
  <c r="B5599" i="2"/>
  <c r="B22888" i="2"/>
  <c r="B6616" i="2"/>
  <c r="B19850" i="2"/>
  <c r="B27285" i="2"/>
  <c r="B23951" i="2"/>
  <c r="B29045" i="2"/>
  <c r="B6704" i="2"/>
  <c r="B5090" i="2"/>
  <c r="B25878" i="2"/>
  <c r="B19969" i="2"/>
  <c r="B5481" i="2"/>
  <c r="B2780" i="2"/>
  <c r="B7885" i="2"/>
  <c r="B24547" i="2"/>
  <c r="B14754" i="2"/>
  <c r="B10050" i="2"/>
  <c r="B6036" i="2"/>
  <c r="B2760" i="2"/>
  <c r="B34703" i="2"/>
  <c r="B12167" i="2"/>
  <c r="B22208" i="2"/>
  <c r="B34697" i="2"/>
  <c r="B9479" i="2"/>
  <c r="B18487" i="2"/>
  <c r="B27765" i="2"/>
  <c r="B11817" i="2"/>
  <c r="B23085" i="2"/>
  <c r="B6121" i="2"/>
  <c r="B30127" i="2"/>
  <c r="B34045" i="2"/>
  <c r="B25034" i="2"/>
  <c r="B14603" i="2"/>
  <c r="B16081" i="2"/>
  <c r="B16639" i="2"/>
  <c r="B16830" i="2"/>
  <c r="B35971" i="2"/>
  <c r="B5484" i="2"/>
  <c r="B32718" i="2"/>
  <c r="B8381" i="2"/>
  <c r="B26086" i="2"/>
  <c r="B24445" i="2"/>
  <c r="B21246" i="2"/>
  <c r="B21450" i="2"/>
  <c r="B15853" i="2"/>
  <c r="B20497" i="2"/>
  <c r="B23296" i="2"/>
  <c r="B5141" i="2"/>
  <c r="B17070" i="2"/>
  <c r="B20536" i="2"/>
  <c r="B15567" i="2"/>
  <c r="B25991" i="2"/>
  <c r="B31736" i="2"/>
  <c r="B11191" i="2"/>
  <c r="B13885" i="2"/>
  <c r="B7821" i="2"/>
  <c r="B8962" i="2"/>
  <c r="B5703" i="2"/>
  <c r="B14695" i="2"/>
  <c r="B36021" i="2"/>
  <c r="B1137" i="2"/>
  <c r="B9350" i="2"/>
  <c r="B26649" i="2"/>
  <c r="B36375" i="2"/>
  <c r="B12522" i="2"/>
  <c r="B15172" i="2"/>
  <c r="B5648" i="2"/>
  <c r="B24594" i="2"/>
  <c r="B3519" i="2"/>
  <c r="B14981" i="2"/>
  <c r="B30925" i="2"/>
  <c r="B1148" i="2"/>
  <c r="B13495" i="2"/>
  <c r="B5726" i="2"/>
  <c r="B6413" i="2"/>
  <c r="B6930" i="2"/>
  <c r="B17180" i="2"/>
  <c r="B19956" i="2"/>
  <c r="B11414" i="2"/>
  <c r="B16315" i="2"/>
  <c r="B14175" i="2"/>
  <c r="B14582" i="2"/>
  <c r="B22881" i="2"/>
  <c r="B12124" i="2"/>
  <c r="B17123" i="2"/>
  <c r="B21315" i="2"/>
  <c r="B19085" i="2"/>
  <c r="B14172" i="2"/>
  <c r="B17363" i="2"/>
  <c r="B36013" i="2"/>
  <c r="B4002" i="2"/>
  <c r="B33283" i="2"/>
  <c r="B23673" i="2"/>
  <c r="B16957" i="2"/>
  <c r="B31844" i="2"/>
  <c r="B19975" i="2"/>
  <c r="B28045" i="2"/>
  <c r="B30050" i="2"/>
  <c r="B6580" i="2"/>
  <c r="B15233" i="2"/>
  <c r="B8372" i="2"/>
  <c r="B31360" i="2"/>
  <c r="B25447" i="2"/>
  <c r="B3393" i="2"/>
  <c r="B2025" i="2"/>
  <c r="B27947" i="2"/>
  <c r="B28062" i="2"/>
  <c r="B17949" i="2"/>
  <c r="B20018" i="2"/>
  <c r="B17979" i="2"/>
  <c r="B34130" i="2"/>
  <c r="B18104" i="2"/>
  <c r="B14382" i="2"/>
  <c r="B15175" i="2"/>
  <c r="B15295" i="2"/>
  <c r="B2728" i="2"/>
  <c r="B5987" i="2"/>
  <c r="B23200" i="2"/>
  <c r="B3575" i="2"/>
  <c r="B7651" i="2"/>
  <c r="B23037" i="2"/>
  <c r="B9203" i="2"/>
  <c r="B25981" i="2"/>
  <c r="B22116" i="2"/>
  <c r="B23810" i="2"/>
  <c r="B3192" i="2"/>
  <c r="B32974" i="2"/>
  <c r="B23926" i="2"/>
  <c r="B32992" i="2"/>
  <c r="B33280" i="2"/>
  <c r="B27267" i="2"/>
  <c r="B3455" i="2"/>
  <c r="B33237" i="2"/>
  <c r="B30164" i="2"/>
  <c r="B31359" i="2"/>
  <c r="B31653" i="2"/>
  <c r="B13361" i="2"/>
  <c r="B31671" i="2"/>
  <c r="B10719" i="2"/>
  <c r="B26120" i="2"/>
  <c r="B22840" i="2"/>
  <c r="B22202" i="2"/>
  <c r="B33282" i="2"/>
  <c r="B16218" i="2"/>
  <c r="B23149" i="2"/>
  <c r="B13022" i="2"/>
  <c r="B35067" i="2"/>
  <c r="B12636" i="2"/>
  <c r="B80" i="2"/>
  <c r="B24174" i="2"/>
  <c r="B26172" i="2"/>
  <c r="B19437" i="2"/>
  <c r="B5926" i="2"/>
  <c r="B14422" i="2"/>
  <c r="B9414" i="2"/>
  <c r="B22688" i="2"/>
  <c r="B19248" i="2"/>
  <c r="B22749" i="2"/>
  <c r="B7616" i="2"/>
  <c r="B12113" i="2"/>
  <c r="B11255" i="2"/>
  <c r="B24318" i="2"/>
  <c r="B7058" i="2"/>
  <c r="B15855" i="2"/>
  <c r="B2974" i="2"/>
  <c r="B12937" i="2"/>
  <c r="B31608" i="2"/>
  <c r="B19910" i="2"/>
  <c r="B32340" i="2"/>
  <c r="B32382" i="2"/>
  <c r="B33247" i="2"/>
  <c r="B1269" i="2"/>
  <c r="B20744" i="2"/>
  <c r="B16073" i="2"/>
  <c r="B2803" i="2"/>
  <c r="B26516" i="2"/>
  <c r="B7035" i="2"/>
  <c r="B15276" i="2"/>
  <c r="B31607" i="2"/>
  <c r="B33718" i="2"/>
  <c r="B7395" i="2"/>
  <c r="B26681" i="2"/>
  <c r="B2915" i="2"/>
  <c r="B25209" i="2"/>
  <c r="B24819" i="2"/>
  <c r="B9254" i="2"/>
  <c r="B31562" i="2"/>
  <c r="B11509" i="2"/>
  <c r="B34420" i="2"/>
  <c r="B32824" i="2"/>
  <c r="B28118" i="2"/>
  <c r="B23863" i="2"/>
  <c r="B26870" i="2"/>
  <c r="B15146" i="2"/>
  <c r="B20599" i="2"/>
  <c r="B22453" i="2"/>
  <c r="B3116" i="2"/>
  <c r="B27024" i="2"/>
  <c r="B7268" i="2"/>
  <c r="B20199" i="2"/>
  <c r="B5989" i="2"/>
  <c r="B6502" i="2"/>
  <c r="B6771" i="2"/>
  <c r="B7757" i="2"/>
  <c r="B29350" i="2"/>
  <c r="B7025" i="2"/>
  <c r="B14553" i="2"/>
  <c r="B23628" i="2"/>
  <c r="B33401" i="2"/>
  <c r="B33274" i="2"/>
  <c r="B30545" i="2"/>
  <c r="B11422" i="2"/>
  <c r="B31712" i="2"/>
  <c r="B14207" i="2"/>
  <c r="B32915" i="2"/>
  <c r="B13961" i="2"/>
  <c r="B69" i="2"/>
  <c r="B23449" i="2"/>
  <c r="B31406" i="2"/>
  <c r="B6425" i="2"/>
  <c r="B24879" i="2"/>
  <c r="B18745" i="2"/>
  <c r="B19237" i="2"/>
  <c r="B5675" i="2"/>
  <c r="B31295" i="2"/>
  <c r="B9215" i="2"/>
  <c r="B31949" i="2"/>
  <c r="B31674" i="2"/>
  <c r="B23162" i="2"/>
  <c r="B22600" i="2"/>
  <c r="B20120" i="2"/>
  <c r="B35202" i="2"/>
  <c r="B31400" i="2"/>
  <c r="B22155" i="2"/>
  <c r="B2868" i="2"/>
  <c r="B12202" i="2"/>
  <c r="B29963" i="2"/>
  <c r="B3360" i="2"/>
  <c r="B19756" i="2"/>
  <c r="B2982" i="2"/>
  <c r="B6841" i="2"/>
  <c r="B20504" i="2"/>
  <c r="B14886" i="2"/>
  <c r="B5785" i="2"/>
  <c r="B7414" i="2"/>
  <c r="B8092" i="2"/>
  <c r="B8806" i="2"/>
  <c r="B22281" i="2"/>
  <c r="B33370" i="2"/>
  <c r="B9729" i="2"/>
  <c r="B8420" i="2"/>
  <c r="B33028" i="2"/>
  <c r="B32522" i="2"/>
  <c r="B3498" i="2"/>
  <c r="B6341" i="2"/>
  <c r="B21312" i="2"/>
  <c r="B14872" i="2"/>
  <c r="B3419" i="2"/>
  <c r="B11387" i="2"/>
  <c r="B9330" i="2"/>
  <c r="B8060" i="2"/>
  <c r="B21491" i="2"/>
  <c r="B21070" i="2"/>
  <c r="B14243" i="2"/>
  <c r="B26753" i="2"/>
  <c r="B27106" i="2"/>
  <c r="B9221" i="2"/>
  <c r="B12536" i="2"/>
  <c r="B7055" i="2"/>
  <c r="B31326" i="2"/>
  <c r="B30889" i="2"/>
  <c r="B26690" i="2"/>
  <c r="B3102" i="2"/>
  <c r="B3748" i="2"/>
  <c r="B3005" i="2"/>
  <c r="B9613" i="2"/>
  <c r="B20048" i="2"/>
  <c r="B20369" i="2"/>
  <c r="B942" i="2"/>
  <c r="B33761" i="2"/>
  <c r="B2931" i="2"/>
  <c r="B24405" i="2"/>
  <c r="B12306" i="2"/>
  <c r="B23626" i="2"/>
  <c r="B1016" i="2"/>
  <c r="B1746" i="2"/>
  <c r="B22861" i="2"/>
  <c r="B6460" i="2"/>
  <c r="B19791" i="2"/>
  <c r="B19821" i="2"/>
  <c r="B970" i="2"/>
  <c r="B33333" i="2"/>
  <c r="B29374" i="2"/>
  <c r="B25696" i="2"/>
  <c r="B7494" i="2"/>
  <c r="B27055" i="2"/>
  <c r="B13496" i="2"/>
  <c r="B14341" i="2"/>
  <c r="B28668" i="2"/>
  <c r="B25942" i="2"/>
  <c r="B5965" i="2"/>
  <c r="B1724" i="2"/>
  <c r="B32675" i="2"/>
  <c r="B13472" i="2"/>
  <c r="B26151" i="2"/>
  <c r="B9446" i="2"/>
  <c r="B36016" i="2"/>
  <c r="B7756" i="2"/>
  <c r="B31554" i="2"/>
  <c r="B15887" i="2"/>
  <c r="B8264" i="2"/>
  <c r="B20145" i="2"/>
  <c r="B25090" i="2"/>
  <c r="B3883" i="2"/>
  <c r="B27153" i="2"/>
  <c r="B20358" i="2"/>
  <c r="B31715" i="2"/>
  <c r="B7264" i="2"/>
  <c r="B3011" i="2"/>
  <c r="B25264" i="2"/>
  <c r="B3184" i="2"/>
  <c r="B27439" i="2"/>
  <c r="B34224" i="2"/>
  <c r="B33860" i="2"/>
  <c r="B22938" i="2"/>
  <c r="B16139" i="2"/>
  <c r="B19331" i="2"/>
  <c r="B32220" i="2"/>
  <c r="B27929" i="2"/>
  <c r="B25354" i="2"/>
  <c r="B26708" i="2"/>
  <c r="B25795" i="2"/>
  <c r="B22787" i="2"/>
  <c r="B30948" i="2"/>
  <c r="B5900" i="2"/>
  <c r="B11612" i="2"/>
  <c r="B9654" i="2"/>
  <c r="B24177" i="2"/>
  <c r="B22040" i="2"/>
  <c r="B6470" i="2"/>
  <c r="B25956" i="2"/>
  <c r="B31936" i="2"/>
  <c r="B17050" i="2"/>
  <c r="B14352" i="2"/>
  <c r="B31440" i="2"/>
  <c r="B5623" i="2"/>
  <c r="B32905" i="2"/>
  <c r="B27130" i="2"/>
  <c r="B13191" i="2"/>
  <c r="B23066" i="2"/>
  <c r="B7977" i="2"/>
  <c r="B6752" i="2"/>
  <c r="B31536" i="2"/>
  <c r="B23470" i="2"/>
  <c r="B19766" i="2"/>
  <c r="B33606" i="2"/>
  <c r="B8004" i="2"/>
  <c r="B20691" i="2"/>
  <c r="B35771" i="2"/>
  <c r="B30195" i="2"/>
  <c r="B25182" i="2"/>
  <c r="B16032" i="2"/>
  <c r="B32582" i="2"/>
  <c r="B5005" i="2"/>
  <c r="B18212" i="2"/>
  <c r="B1126" i="2"/>
  <c r="B18508" i="2"/>
  <c r="B29416" i="2"/>
  <c r="B6451" i="2"/>
  <c r="B31454" i="2"/>
  <c r="B10328" i="2"/>
  <c r="B23286" i="2"/>
  <c r="B22785" i="2"/>
  <c r="B30659" i="2"/>
  <c r="B26814" i="2"/>
  <c r="B8457" i="2"/>
  <c r="B26141" i="2"/>
  <c r="B4609" i="2"/>
  <c r="B22833" i="2"/>
  <c r="B25197" i="2"/>
  <c r="B25583" i="2"/>
  <c r="B30309" i="2"/>
  <c r="B6561" i="2"/>
  <c r="B20834" i="2"/>
  <c r="B8750" i="2"/>
  <c r="B7451" i="2"/>
  <c r="B7794" i="2"/>
  <c r="B33122" i="2"/>
  <c r="B6001" i="2"/>
  <c r="B25771" i="2"/>
  <c r="B3295" i="2"/>
  <c r="B13573" i="2"/>
  <c r="B25015" i="2"/>
  <c r="B31302" i="2"/>
  <c r="B12644" i="2"/>
  <c r="B19205" i="2"/>
  <c r="B31672" i="2"/>
  <c r="B18563" i="2"/>
  <c r="B25586" i="2"/>
  <c r="B28975" i="2"/>
  <c r="B25050" i="2"/>
  <c r="B9907" i="2"/>
  <c r="B19217" i="2"/>
  <c r="B23178" i="2"/>
  <c r="B209" i="2"/>
  <c r="B5865" i="2"/>
  <c r="B2641" i="2"/>
  <c r="B13408" i="2"/>
  <c r="B32100" i="2"/>
  <c r="B15334" i="2"/>
  <c r="B19072" i="2"/>
  <c r="B24641" i="2"/>
  <c r="B14265" i="2"/>
  <c r="B11832" i="2"/>
  <c r="B26073" i="2"/>
  <c r="B34209" i="2"/>
  <c r="B34117" i="2"/>
  <c r="B6796" i="2"/>
  <c r="B23533" i="2"/>
  <c r="B5706" i="2"/>
  <c r="B22846" i="2"/>
  <c r="B6662" i="2"/>
  <c r="B31402" i="2"/>
  <c r="B22203" i="2"/>
  <c r="B26399" i="2"/>
  <c r="B3843" i="2"/>
  <c r="B18170" i="2"/>
  <c r="B24303" i="2"/>
  <c r="B7123" i="2"/>
  <c r="B25838" i="2"/>
  <c r="B23407" i="2"/>
  <c r="B17726" i="2"/>
  <c r="B190" i="2"/>
  <c r="B22952" i="2"/>
  <c r="B30595" i="2"/>
  <c r="B24775" i="2"/>
  <c r="B3086" i="2"/>
  <c r="B31830" i="2"/>
  <c r="B31286" i="2"/>
  <c r="B8533" i="2"/>
  <c r="B22739" i="2"/>
  <c r="B23275" i="2"/>
  <c r="B11925" i="2"/>
  <c r="B30189" i="2"/>
  <c r="B18536" i="2"/>
  <c r="B17577" i="2"/>
  <c r="B6180" i="2"/>
  <c r="B30186" i="2"/>
  <c r="B8836" i="2"/>
  <c r="B8151" i="2"/>
  <c r="B29418" i="2"/>
  <c r="B26599" i="2"/>
  <c r="B28976" i="2"/>
  <c r="B25667" i="2"/>
  <c r="B31432" i="2"/>
  <c r="B28769" i="2"/>
  <c r="B32076" i="2"/>
  <c r="B11831" i="2"/>
  <c r="B11918" i="2"/>
  <c r="B29049" i="2"/>
  <c r="B16597" i="2"/>
  <c r="B17424" i="2"/>
  <c r="B8091" i="2"/>
  <c r="B8239" i="2"/>
  <c r="B26821" i="2"/>
  <c r="B8619" i="2"/>
  <c r="B24160" i="2"/>
  <c r="B32456" i="2"/>
  <c r="B11292" i="2"/>
  <c r="B15312" i="2"/>
  <c r="B23656" i="2"/>
  <c r="B7639" i="2"/>
  <c r="B26404" i="2"/>
  <c r="B6691" i="2"/>
  <c r="B24685" i="2"/>
  <c r="B27027" i="2"/>
  <c r="B12120" i="2"/>
  <c r="B29644" i="2"/>
  <c r="B30432" i="2"/>
  <c r="B29103" i="2"/>
  <c r="B17003" i="2"/>
  <c r="B24533" i="2"/>
  <c r="B18830" i="2"/>
  <c r="B9410" i="2"/>
  <c r="B32291" i="2"/>
  <c r="B32783" i="2"/>
  <c r="B17239" i="2"/>
  <c r="B16711" i="2"/>
  <c r="B55" i="2"/>
  <c r="B28489" i="2"/>
  <c r="B2590" i="2"/>
  <c r="B29965" i="2"/>
  <c r="B5247" i="2"/>
  <c r="B22278" i="2"/>
  <c r="B25306" i="2"/>
  <c r="B23822" i="2"/>
  <c r="B26777" i="2"/>
  <c r="B1353" i="2"/>
  <c r="B14706" i="2"/>
  <c r="B16873" i="2"/>
  <c r="B29264" i="2"/>
  <c r="B32515" i="2"/>
  <c r="B16425" i="2"/>
  <c r="B24668" i="2"/>
  <c r="B17185" i="2"/>
  <c r="B8896" i="2"/>
  <c r="B34780" i="2"/>
  <c r="B5566" i="2"/>
  <c r="B28242" i="2"/>
  <c r="B17212" i="2"/>
  <c r="B7989" i="2"/>
  <c r="B27143" i="2"/>
  <c r="B29947" i="2"/>
  <c r="B21317" i="2"/>
  <c r="B16258" i="2"/>
  <c r="B20455" i="2"/>
  <c r="B32935" i="2"/>
  <c r="B17315" i="2"/>
  <c r="B26720" i="2"/>
  <c r="B27472" i="2"/>
  <c r="B30575" i="2"/>
  <c r="B23613" i="2"/>
  <c r="B15893" i="2"/>
  <c r="B6481" i="2"/>
  <c r="B33471" i="2"/>
  <c r="B19120" i="2"/>
  <c r="B14593" i="2"/>
  <c r="B9380" i="2"/>
  <c r="B22245" i="2"/>
  <c r="B27482" i="2"/>
  <c r="B3123" i="2"/>
  <c r="B150" i="2"/>
  <c r="B17275" i="2"/>
  <c r="B7867" i="2"/>
  <c r="B28905" i="2"/>
  <c r="B11679" i="2"/>
  <c r="B30435" i="2"/>
  <c r="B30379" i="2"/>
  <c r="B7" i="2"/>
  <c r="B113" i="2"/>
  <c r="B30947" i="2"/>
  <c r="B22593" i="2"/>
  <c r="B1654" i="2"/>
  <c r="B15710" i="2"/>
  <c r="B7521" i="2"/>
  <c r="B879" i="2"/>
  <c r="B24806" i="2"/>
  <c r="B24012" i="2"/>
  <c r="B20406" i="2"/>
  <c r="B13363" i="2"/>
  <c r="B31350" i="2"/>
  <c r="B34575" i="2"/>
  <c r="B32795" i="2"/>
  <c r="B2767" i="2"/>
  <c r="B26337" i="2"/>
  <c r="B10026" i="2"/>
  <c r="B15910" i="2"/>
  <c r="B1109" i="2"/>
  <c r="B2877" i="2"/>
  <c r="B15798" i="2"/>
  <c r="B20049" i="2"/>
  <c r="B25661" i="2"/>
  <c r="B8125" i="2"/>
  <c r="B26494" i="2"/>
  <c r="B15044" i="2"/>
  <c r="B22661" i="2"/>
  <c r="B7965" i="2"/>
  <c r="B3028" i="2"/>
  <c r="B9477" i="2"/>
  <c r="B7499" i="2"/>
  <c r="B35981" i="2"/>
  <c r="B1660" i="2"/>
  <c r="B25875" i="2"/>
  <c r="B24129" i="2"/>
  <c r="B8495" i="2"/>
  <c r="B7021" i="2"/>
  <c r="B8899" i="2"/>
  <c r="B13266" i="2"/>
  <c r="B24976" i="2"/>
  <c r="B26376" i="2"/>
  <c r="B169" i="2"/>
  <c r="B8257" i="2"/>
  <c r="B24603" i="2"/>
  <c r="B22233" i="2"/>
  <c r="B7819" i="2"/>
  <c r="B5470" i="2"/>
  <c r="B26414" i="2"/>
  <c r="B13437" i="2"/>
  <c r="B15134" i="2"/>
  <c r="B17722" i="2"/>
  <c r="B5403" i="2"/>
  <c r="B6468" i="2"/>
  <c r="B1392" i="2"/>
  <c r="B5564" i="2"/>
  <c r="B26466" i="2"/>
  <c r="B2848" i="2"/>
  <c r="B144" i="2"/>
  <c r="B25554" i="2"/>
  <c r="B24510" i="2"/>
  <c r="B32955" i="2"/>
  <c r="B24776" i="2"/>
  <c r="B3230" i="2"/>
  <c r="B33581" i="2"/>
  <c r="B15820" i="2"/>
  <c r="B30639" i="2"/>
  <c r="B4760" i="2"/>
  <c r="B7228" i="2"/>
  <c r="B21463" i="2"/>
  <c r="B127" i="2"/>
  <c r="B20618" i="2"/>
  <c r="B2631" i="2"/>
  <c r="B9809" i="2"/>
  <c r="B25526" i="2"/>
  <c r="B2759" i="2"/>
  <c r="B6715" i="2"/>
  <c r="B6625" i="2"/>
  <c r="B15410" i="2"/>
  <c r="B19523" i="2"/>
  <c r="B23707" i="2"/>
  <c r="B12094" i="2"/>
  <c r="B19678" i="2"/>
  <c r="B9880" i="2"/>
  <c r="B156" i="2"/>
  <c r="B26891" i="2"/>
  <c r="B15806" i="2"/>
  <c r="B5773" i="2"/>
  <c r="B22055" i="2"/>
  <c r="B23119" i="2"/>
  <c r="B29863" i="2"/>
  <c r="B19351" i="2"/>
  <c r="B14694" i="2"/>
  <c r="B6375" i="2"/>
  <c r="B5752" i="2"/>
  <c r="B26858" i="2"/>
  <c r="B23574" i="2"/>
  <c r="B28204" i="2"/>
  <c r="B12508" i="2"/>
  <c r="B19025" i="2"/>
  <c r="B29214" i="2"/>
  <c r="B19322" i="2"/>
  <c r="B24508" i="2"/>
  <c r="B7715" i="2"/>
  <c r="B30775" i="2"/>
  <c r="B17001" i="2"/>
  <c r="B8721" i="2"/>
  <c r="B6434" i="2"/>
  <c r="B4801" i="2"/>
  <c r="B24399" i="2"/>
  <c r="B11315" i="2"/>
  <c r="B12958" i="2"/>
  <c r="B23250" i="2"/>
  <c r="B27669" i="2"/>
  <c r="B33338" i="2"/>
  <c r="B7443" i="2"/>
  <c r="B20314" i="2"/>
  <c r="B7803" i="2"/>
  <c r="B161" i="2"/>
  <c r="B17084" i="2"/>
  <c r="B8822" i="2"/>
  <c r="B9789" i="2"/>
  <c r="B24521" i="2"/>
  <c r="B32912" i="2"/>
  <c r="B33651" i="2"/>
  <c r="B6703" i="2"/>
  <c r="B4377" i="2"/>
  <c r="B5829" i="2"/>
  <c r="B4485" i="2"/>
  <c r="B22472" i="2"/>
  <c r="B10784" i="2"/>
  <c r="B26498" i="2"/>
  <c r="B3052" i="2"/>
  <c r="B24645" i="2"/>
  <c r="B28699" i="2"/>
  <c r="B20231" i="2"/>
  <c r="B1698" i="2"/>
  <c r="B29636" i="2"/>
  <c r="B25103" i="2"/>
  <c r="B6395" i="2"/>
  <c r="B5825" i="2"/>
  <c r="B34135" i="2"/>
  <c r="B25886" i="2"/>
  <c r="B6548" i="2"/>
  <c r="B25303" i="2"/>
  <c r="B24566" i="2"/>
  <c r="B24323" i="2"/>
  <c r="B22797" i="2"/>
  <c r="B25175" i="2"/>
  <c r="B31580" i="2"/>
  <c r="B27155" i="2"/>
  <c r="B13344" i="2"/>
  <c r="B5459" i="2"/>
  <c r="B25310" i="2"/>
  <c r="B2308" i="2"/>
  <c r="B22004" i="2"/>
  <c r="B36226" i="2"/>
  <c r="B16534" i="2"/>
  <c r="B22375" i="2"/>
  <c r="B28851" i="2"/>
  <c r="B774" i="2"/>
  <c r="B17000" i="2"/>
  <c r="B22783" i="2"/>
  <c r="B30282" i="2"/>
  <c r="B33750" i="2"/>
  <c r="B10656" i="2"/>
  <c r="B16725" i="2"/>
  <c r="B2640" i="2"/>
  <c r="B35321" i="2"/>
  <c r="B21713" i="2"/>
  <c r="B5338" i="2"/>
  <c r="B16305" i="2"/>
  <c r="B6240" i="2"/>
  <c r="B35393" i="2"/>
  <c r="B12118" i="2"/>
  <c r="B17078" i="2"/>
  <c r="B5262" i="2"/>
  <c r="B7169" i="2"/>
  <c r="B5907" i="2"/>
  <c r="B5488" i="2"/>
  <c r="B36233" i="2"/>
  <c r="B5534" i="2"/>
  <c r="B15186" i="2"/>
  <c r="B5784" i="2"/>
  <c r="B6134" i="2"/>
  <c r="B4008" i="2"/>
  <c r="B8555" i="2"/>
  <c r="B7068" i="2"/>
  <c r="B22070" i="2"/>
  <c r="B6327" i="2"/>
  <c r="B6660" i="2"/>
  <c r="B26126" i="2"/>
  <c r="B17775" i="2"/>
  <c r="B26760" i="2"/>
  <c r="B15858" i="2"/>
  <c r="B13861" i="2"/>
  <c r="B22587" i="2"/>
  <c r="B18294" i="2"/>
  <c r="B26867" i="2"/>
  <c r="B4289" i="2"/>
  <c r="B15733" i="2"/>
  <c r="B29254" i="2"/>
  <c r="B21740" i="2"/>
  <c r="B13637" i="2"/>
  <c r="B28078" i="2"/>
  <c r="B20060" i="2"/>
  <c r="B6013" i="2"/>
  <c r="B30512" i="2"/>
  <c r="B8492" i="2"/>
  <c r="B35269" i="2"/>
  <c r="B35898" i="2"/>
  <c r="B2252" i="2"/>
  <c r="B19357" i="2"/>
  <c r="B35785" i="2"/>
  <c r="B29989" i="2"/>
  <c r="B2095" i="2"/>
  <c r="B18660" i="2"/>
  <c r="B12558" i="2"/>
  <c r="B21649" i="2"/>
  <c r="B9296" i="2"/>
  <c r="B24473" i="2"/>
  <c r="B6834" i="2"/>
  <c r="B22770" i="2"/>
  <c r="B5682" i="2"/>
  <c r="B18266" i="2"/>
  <c r="B31661" i="2"/>
  <c r="B33459" i="2"/>
  <c r="B20065" i="2"/>
  <c r="B24050" i="2"/>
  <c r="B509" i="2"/>
  <c r="B22191" i="2"/>
  <c r="B31445" i="2"/>
  <c r="B1152" i="2"/>
  <c r="B27315" i="2"/>
  <c r="B32298" i="2"/>
  <c r="B9405" i="2"/>
  <c r="B5050" i="2"/>
  <c r="B28848" i="2"/>
  <c r="B18083" i="2"/>
  <c r="B15040" i="2"/>
  <c r="B11185" i="2"/>
  <c r="B33497" i="2"/>
  <c r="B24010" i="2"/>
  <c r="B34741" i="2"/>
  <c r="B19363" i="2"/>
  <c r="B28355" i="2"/>
  <c r="B2215" i="2"/>
  <c r="B30266" i="2"/>
  <c r="B34042" i="2"/>
  <c r="B3214" i="2"/>
  <c r="B17154" i="2"/>
  <c r="B13462" i="2"/>
  <c r="B12416" i="2"/>
  <c r="B3439" i="2"/>
  <c r="B28495" i="2"/>
  <c r="B32477" i="2"/>
  <c r="B36076" i="2"/>
  <c r="B34787" i="2"/>
  <c r="B2544" i="2"/>
  <c r="B31000" i="2"/>
  <c r="B18026" i="2"/>
  <c r="B28974" i="2"/>
  <c r="B28" i="2"/>
  <c r="B4819" i="2"/>
  <c r="B22088" i="2"/>
  <c r="B18551" i="2"/>
  <c r="B18113" i="2"/>
  <c r="B6729" i="2"/>
  <c r="B36204" i="2"/>
  <c r="B33096" i="2"/>
  <c r="B30257" i="2"/>
  <c r="B27459" i="2"/>
  <c r="B35780" i="2"/>
  <c r="B9259" i="2"/>
  <c r="B33978" i="2"/>
  <c r="B24981" i="2"/>
  <c r="B7570" i="2"/>
  <c r="B21522" i="2"/>
  <c r="B34920" i="2"/>
  <c r="B35025" i="2"/>
  <c r="B33906" i="2"/>
  <c r="B12933" i="2"/>
  <c r="B34485" i="2"/>
  <c r="B30202" i="2"/>
  <c r="B29319" i="2"/>
  <c r="B36131" i="2"/>
  <c r="B12021" i="2"/>
  <c r="B13997" i="2"/>
  <c r="B23104" i="2"/>
  <c r="B29906" i="2"/>
  <c r="B5732" i="2"/>
  <c r="B10228" i="2"/>
  <c r="B11826" i="2"/>
  <c r="B22973" i="2"/>
  <c r="B10000" i="2"/>
  <c r="B19505" i="2"/>
  <c r="B5431" i="2"/>
  <c r="B35198" i="2"/>
  <c r="B10762" i="2"/>
  <c r="B3675" i="2"/>
  <c r="B28306" i="2"/>
  <c r="B2322" i="2"/>
  <c r="B29321" i="2"/>
  <c r="B17153" i="2"/>
  <c r="B30941" i="2"/>
  <c r="B28903" i="2"/>
  <c r="B10128" i="2"/>
  <c r="B23721" i="2"/>
  <c r="B25431" i="2"/>
  <c r="B6488" i="2"/>
  <c r="B34796" i="2"/>
  <c r="B14747" i="2"/>
  <c r="B18345" i="2"/>
  <c r="B35029" i="2"/>
  <c r="B34341" i="2"/>
  <c r="B24654" i="2"/>
  <c r="B25366" i="2"/>
  <c r="B27583" i="2"/>
  <c r="B5901" i="2"/>
  <c r="B22091" i="2"/>
  <c r="B11742" i="2"/>
  <c r="B31578" i="2"/>
  <c r="B21433" i="2"/>
  <c r="B19526" i="2"/>
  <c r="B11284" i="2"/>
  <c r="B17929" i="2"/>
  <c r="B28734" i="2"/>
  <c r="B25642" i="2"/>
  <c r="B30243" i="2"/>
  <c r="B10616" i="2"/>
  <c r="B905" i="2"/>
  <c r="B27872" i="2"/>
  <c r="B29114" i="2"/>
  <c r="B1856" i="2"/>
  <c r="B36353" i="2"/>
  <c r="B34003" i="2"/>
  <c r="B13625" i="2"/>
  <c r="B21109" i="2"/>
  <c r="B1058" i="2"/>
  <c r="B21658" i="2"/>
  <c r="B12216" i="2"/>
  <c r="B28061" i="2"/>
  <c r="B35881" i="2"/>
  <c r="B28825" i="2"/>
  <c r="B1538" i="2"/>
  <c r="B10945" i="2"/>
  <c r="B8618" i="2"/>
  <c r="B1540" i="2"/>
  <c r="B18967" i="2"/>
  <c r="B12063" i="2"/>
  <c r="B2064" i="2"/>
  <c r="B21169" i="2"/>
  <c r="B30207" i="2"/>
  <c r="B16793" i="2"/>
  <c r="B33458" i="2"/>
  <c r="B7382" i="2"/>
  <c r="B7864" i="2"/>
  <c r="B18434" i="2"/>
  <c r="B4705" i="2"/>
  <c r="B6381" i="2"/>
  <c r="B14405" i="2"/>
  <c r="B8027" i="2"/>
  <c r="B25362" i="2"/>
  <c r="B24444" i="2"/>
  <c r="B7515" i="2"/>
  <c r="B9605" i="2"/>
  <c r="B34361" i="2"/>
  <c r="B27699" i="2"/>
  <c r="B28872" i="2"/>
  <c r="B17047" i="2"/>
  <c r="B34054" i="2"/>
  <c r="B296" i="2"/>
  <c r="B13628" i="2"/>
  <c r="B17817" i="2"/>
  <c r="B19395" i="2"/>
  <c r="B19412" i="2"/>
  <c r="B16780" i="2"/>
  <c r="B4712" i="2"/>
  <c r="B28792" i="2"/>
  <c r="B5214" i="2"/>
  <c r="B32620" i="2"/>
  <c r="B24443" i="2"/>
  <c r="B10193" i="2"/>
  <c r="B724" i="2"/>
  <c r="B4472" i="2"/>
  <c r="B12048" i="2"/>
  <c r="B23814" i="2"/>
  <c r="B8232" i="2"/>
  <c r="B8064" i="2"/>
  <c r="B7189" i="2"/>
  <c r="B5709" i="2"/>
  <c r="B13946" i="2"/>
  <c r="B16560" i="2"/>
  <c r="B11091" i="2"/>
  <c r="B35107" i="2"/>
  <c r="B12486" i="2"/>
  <c r="B8661" i="2"/>
  <c r="B33386" i="2"/>
  <c r="B19551" i="2"/>
  <c r="B1731" i="2"/>
  <c r="B36164" i="2"/>
  <c r="B5920" i="2"/>
  <c r="B9791" i="2"/>
  <c r="B1117" i="2"/>
  <c r="B32471" i="2"/>
  <c r="B9803" i="2"/>
  <c r="B5390" i="2"/>
  <c r="B1781" i="2"/>
  <c r="B35966" i="2"/>
  <c r="B24009" i="2"/>
  <c r="B6869" i="2"/>
  <c r="B1666" i="2"/>
  <c r="B31379" i="2"/>
  <c r="B342" i="2"/>
  <c r="B34990" i="2"/>
  <c r="B17570" i="2"/>
  <c r="B28829" i="2"/>
  <c r="B22412" i="2"/>
  <c r="B30726" i="2"/>
  <c r="B21196" i="2"/>
  <c r="B234" i="2"/>
  <c r="B25386" i="2"/>
  <c r="B28623" i="2"/>
  <c r="B21474" i="2"/>
  <c r="B5037" i="2"/>
  <c r="B16835" i="2"/>
  <c r="B14465" i="2"/>
  <c r="B27860" i="2"/>
  <c r="B7614" i="2"/>
  <c r="B28250" i="2"/>
  <c r="B31724" i="2"/>
  <c r="B4326" i="2"/>
  <c r="B7007" i="2"/>
  <c r="B17422" i="2"/>
  <c r="B34493" i="2"/>
  <c r="B24397" i="2"/>
  <c r="B5435" i="2"/>
  <c r="B9050" i="2"/>
  <c r="B15699" i="2"/>
  <c r="B8613" i="2"/>
  <c r="B31872" i="2"/>
  <c r="B4898" i="2"/>
  <c r="B18776" i="2"/>
  <c r="B32609" i="2"/>
  <c r="B6185" i="2"/>
  <c r="B13966" i="2"/>
  <c r="B5521" i="2"/>
  <c r="B20921" i="2"/>
  <c r="B3087" i="2"/>
  <c r="B4797" i="2"/>
  <c r="B20601" i="2"/>
  <c r="B25338" i="2"/>
  <c r="B13288" i="2"/>
  <c r="B104" i="2"/>
  <c r="B6447" i="2"/>
  <c r="B10525" i="2"/>
  <c r="B33639" i="2"/>
  <c r="B3772" i="2"/>
  <c r="B27946" i="2"/>
  <c r="B13278" i="2"/>
  <c r="B23625" i="2"/>
  <c r="B20187" i="2"/>
  <c r="B21118" i="2"/>
  <c r="B35609" i="2"/>
  <c r="B5513" i="2"/>
  <c r="B13057" i="2"/>
  <c r="B27884" i="2"/>
  <c r="B2491" i="2"/>
  <c r="B22044" i="2"/>
  <c r="B30737" i="2"/>
  <c r="B2024" i="2"/>
  <c r="B21787" i="2"/>
  <c r="B22414" i="2"/>
  <c r="B17122" i="2"/>
  <c r="B3157" i="2"/>
  <c r="B16927" i="2"/>
  <c r="B5361" i="2"/>
  <c r="B699" i="2"/>
  <c r="B9995" i="2"/>
  <c r="B8657" i="2"/>
  <c r="B24624" i="2"/>
  <c r="B33942" i="2"/>
  <c r="B9890" i="2"/>
  <c r="B6914" i="2"/>
  <c r="B8193" i="2"/>
  <c r="B15575" i="2"/>
  <c r="B9701" i="2"/>
  <c r="B24876" i="2"/>
  <c r="B24298" i="2"/>
  <c r="B24233" i="2"/>
  <c r="B6248" i="2"/>
  <c r="B35283" i="2"/>
  <c r="B29015" i="2"/>
  <c r="B33575" i="2"/>
  <c r="B1101" i="2"/>
  <c r="B33865" i="2"/>
  <c r="B7077" i="2"/>
  <c r="B33774" i="2"/>
  <c r="B27962" i="2"/>
  <c r="B28035" i="2"/>
  <c r="B64" i="2"/>
  <c r="B30352" i="2"/>
  <c r="B3479" i="2"/>
  <c r="B3733" i="2"/>
  <c r="B1927" i="2"/>
  <c r="B31203" i="2"/>
  <c r="B3139" i="2"/>
  <c r="B19267" i="2"/>
  <c r="B30937" i="2"/>
  <c r="B26345" i="2"/>
  <c r="B3600" i="2"/>
  <c r="B2746" i="2"/>
  <c r="B11269" i="2"/>
  <c r="B23189" i="2"/>
  <c r="B30598" i="2"/>
  <c r="B11636" i="2"/>
  <c r="B18514" i="2"/>
  <c r="B7001" i="2"/>
  <c r="B7231" i="2"/>
  <c r="B7088" i="2"/>
  <c r="B36074" i="2"/>
  <c r="B10664" i="2"/>
  <c r="B621" i="2"/>
  <c r="B25701" i="2"/>
  <c r="B27446" i="2"/>
  <c r="B7572" i="2"/>
  <c r="B7906" i="2"/>
  <c r="B12637" i="2"/>
  <c r="B6321" i="2"/>
  <c r="B15493" i="2"/>
  <c r="B36158" i="2"/>
  <c r="B24670" i="2"/>
  <c r="B34049" i="2"/>
  <c r="B35467" i="2"/>
  <c r="B31694" i="2"/>
  <c r="B5671" i="2"/>
  <c r="B8582" i="2"/>
  <c r="B6027" i="2"/>
  <c r="B35037" i="2"/>
  <c r="B32876" i="2"/>
  <c r="B23306" i="2"/>
  <c r="B10615" i="2"/>
  <c r="B13804" i="2"/>
  <c r="B32651" i="2"/>
  <c r="B35474" i="2"/>
  <c r="B11082" i="2"/>
  <c r="B13520" i="2"/>
  <c r="B35245" i="2"/>
  <c r="B29029" i="2"/>
  <c r="B14658" i="2"/>
  <c r="B3641" i="2"/>
  <c r="B11955" i="2"/>
  <c r="B30" i="2"/>
  <c r="B1238" i="2"/>
  <c r="B18859" i="2"/>
  <c r="B32855" i="2"/>
  <c r="B7022" i="2"/>
  <c r="B35739" i="2"/>
  <c r="B20327" i="2"/>
  <c r="B23379" i="2"/>
  <c r="B7713" i="2"/>
  <c r="B5514" i="2"/>
  <c r="B26343" i="2"/>
  <c r="B9957" i="2"/>
  <c r="B30095" i="2"/>
  <c r="B7413" i="2"/>
  <c r="B7594" i="2"/>
  <c r="B33232" i="2"/>
  <c r="B26896" i="2"/>
  <c r="B20307" i="2"/>
  <c r="B21613" i="2"/>
  <c r="B27587" i="2"/>
  <c r="B8344" i="2"/>
  <c r="B26873" i="2"/>
  <c r="B7739" i="2"/>
  <c r="B10180" i="2"/>
  <c r="B8059" i="2"/>
  <c r="B9029" i="2"/>
  <c r="B16967" i="2"/>
  <c r="B1230" i="2"/>
  <c r="B14437" i="2"/>
  <c r="B24733" i="2"/>
  <c r="B31518" i="2"/>
  <c r="B33995" i="2"/>
  <c r="B33676" i="2"/>
  <c r="B33729" i="2"/>
  <c r="B11555" i="2"/>
  <c r="B4354" i="2"/>
  <c r="B30048" i="2"/>
  <c r="B21610" i="2"/>
  <c r="B34752" i="2"/>
  <c r="B32900" i="2"/>
  <c r="B18922" i="2"/>
  <c r="B4182" i="2"/>
  <c r="B13834" i="2"/>
  <c r="B35889" i="2"/>
  <c r="B13661" i="2"/>
  <c r="B21099" i="2"/>
  <c r="B10669" i="2"/>
  <c r="B28326" i="2"/>
  <c r="B25747" i="2"/>
  <c r="B327" i="2"/>
  <c r="B14169" i="2"/>
  <c r="B8318" i="2"/>
  <c r="B32643" i="2"/>
  <c r="B6582" i="2"/>
  <c r="B25888" i="2"/>
  <c r="B9308" i="2"/>
  <c r="B7403" i="2"/>
  <c r="B11652" i="2"/>
  <c r="B17043" i="2"/>
  <c r="B14845" i="2"/>
  <c r="B7461" i="2"/>
  <c r="B29146" i="2"/>
  <c r="B9378" i="2"/>
  <c r="B17657" i="2"/>
  <c r="B22791" i="2"/>
  <c r="B25230" i="2"/>
  <c r="B17585" i="2"/>
  <c r="B25931" i="2"/>
  <c r="B9689" i="2"/>
  <c r="B33040" i="2"/>
  <c r="B21527" i="2"/>
  <c r="B32843" i="2"/>
  <c r="B26128" i="2"/>
  <c r="B32185" i="2"/>
  <c r="B1773" i="2"/>
  <c r="B11533" i="2"/>
  <c r="B19720" i="2"/>
  <c r="B34906" i="2"/>
  <c r="B28708" i="2"/>
  <c r="B4223" i="2"/>
  <c r="B32121" i="2"/>
  <c r="B13930" i="2"/>
  <c r="B31112" i="2"/>
  <c r="B71" i="2"/>
  <c r="B17462" i="2"/>
  <c r="B6123" i="2"/>
  <c r="B3513" i="2"/>
  <c r="B32788" i="2"/>
  <c r="B31035" i="2"/>
  <c r="B17813" i="2"/>
  <c r="B3448" i="2"/>
  <c r="B18736" i="2"/>
  <c r="B13110" i="2"/>
  <c r="B35888" i="2"/>
  <c r="B21924" i="2"/>
  <c r="B10412" i="2"/>
  <c r="B7845" i="2"/>
  <c r="B19949" i="2"/>
  <c r="B13836" i="2"/>
  <c r="B31680" i="2"/>
  <c r="B7825" i="2"/>
  <c r="B7425" i="2"/>
  <c r="B34533" i="2"/>
  <c r="B5824" i="2"/>
  <c r="B25476" i="2"/>
  <c r="B35709" i="2"/>
  <c r="B11696" i="2"/>
  <c r="B28611" i="2"/>
  <c r="B24564" i="2"/>
  <c r="B3836" i="2"/>
  <c r="B8066" i="2"/>
  <c r="B13406" i="2"/>
  <c r="B15220" i="2"/>
  <c r="B21635" i="2"/>
  <c r="B23650" i="2"/>
  <c r="B4372" i="2"/>
  <c r="B15466" i="2"/>
  <c r="B17392" i="2"/>
  <c r="B5615" i="2"/>
  <c r="B22211" i="2"/>
  <c r="B33431" i="2"/>
  <c r="B12355" i="2"/>
  <c r="B21274" i="2"/>
  <c r="B35775" i="2"/>
  <c r="B17863" i="2"/>
  <c r="B9777" i="2"/>
  <c r="B21625" i="2"/>
  <c r="B20112" i="2"/>
  <c r="B3151" i="2"/>
  <c r="B29097" i="2"/>
  <c r="B8128" i="2"/>
  <c r="B27146" i="2"/>
  <c r="B13947" i="2"/>
  <c r="B29495" i="2"/>
  <c r="B7856" i="2"/>
  <c r="B32008" i="2"/>
  <c r="B27997" i="2"/>
  <c r="B17171" i="2"/>
  <c r="B49" i="2"/>
  <c r="B2777" i="2"/>
  <c r="B7240" i="2"/>
  <c r="B7270" i="2"/>
  <c r="B36096" i="2"/>
  <c r="B24848" i="2"/>
  <c r="B9174" i="2"/>
  <c r="B30145" i="2"/>
  <c r="B5132" i="2"/>
  <c r="B34916" i="2"/>
  <c r="B25183" i="2"/>
  <c r="B18352" i="2"/>
  <c r="B33797" i="2"/>
  <c r="B9952" i="2"/>
  <c r="B1458" i="2"/>
  <c r="B33643" i="2"/>
  <c r="B34153" i="2"/>
  <c r="B1284" i="2"/>
  <c r="B27092" i="2"/>
  <c r="B18072" i="2"/>
  <c r="B19952" i="2"/>
  <c r="B18134" i="2"/>
  <c r="B29239" i="2"/>
  <c r="B5570" i="2"/>
  <c r="B11927" i="2"/>
  <c r="B27836" i="2"/>
  <c r="B14396" i="2"/>
  <c r="B22507" i="2"/>
  <c r="B13601" i="2"/>
  <c r="B19634" i="2"/>
  <c r="B31208" i="2"/>
  <c r="B27418" i="2"/>
  <c r="B28546" i="2"/>
  <c r="B8104" i="2"/>
  <c r="B3756" i="2"/>
  <c r="B1982" i="2"/>
  <c r="B9716" i="2"/>
  <c r="B3972" i="2"/>
  <c r="B16884" i="2"/>
  <c r="B27903" i="2"/>
  <c r="B18572" i="2"/>
  <c r="B30281" i="2"/>
  <c r="B34105" i="2"/>
  <c r="B31864" i="2"/>
  <c r="B30244" i="2"/>
  <c r="B7355" i="2"/>
  <c r="B7272" i="2"/>
  <c r="B12161" i="2"/>
  <c r="B4964" i="2"/>
  <c r="B15653" i="2"/>
  <c r="B15607" i="2"/>
  <c r="B1256" i="2"/>
  <c r="B11061" i="2"/>
  <c r="B23792" i="2"/>
  <c r="B33813" i="2"/>
  <c r="B20045" i="2"/>
  <c r="B7629" i="2"/>
  <c r="B1638" i="2"/>
  <c r="B8717" i="2"/>
  <c r="B11779" i="2"/>
  <c r="B23086" i="2"/>
  <c r="B17768" i="2"/>
  <c r="B15089" i="2"/>
  <c r="B13858" i="2"/>
  <c r="B7223" i="2"/>
  <c r="B17033" i="2"/>
  <c r="B17343" i="2"/>
  <c r="B6964" i="2"/>
  <c r="B33013" i="2"/>
  <c r="B26211" i="2"/>
  <c r="B15190" i="2"/>
  <c r="B14000" i="2"/>
  <c r="B34014" i="2"/>
  <c r="B11295" i="2"/>
  <c r="B7105" i="2"/>
  <c r="B19354" i="2"/>
  <c r="B16416" i="2"/>
  <c r="B2281" i="2"/>
  <c r="B13698" i="2"/>
  <c r="B18865" i="2"/>
  <c r="B26387" i="2"/>
  <c r="B1578" i="2"/>
  <c r="B13527" i="2"/>
  <c r="B35754" i="2"/>
  <c r="B23088" i="2"/>
  <c r="B35575" i="2"/>
  <c r="B16080" i="2"/>
  <c r="B23358" i="2"/>
  <c r="B18793" i="2"/>
  <c r="B16399" i="2"/>
  <c r="B4225" i="2"/>
  <c r="B2306" i="2"/>
  <c r="B16124" i="2"/>
  <c r="B30072" i="2"/>
  <c r="B29921" i="2"/>
  <c r="B17418" i="2"/>
  <c r="B30300" i="2"/>
  <c r="B7607" i="2"/>
  <c r="B7314" i="2"/>
  <c r="B34937" i="2"/>
  <c r="B8684" i="2"/>
  <c r="B6730" i="2"/>
  <c r="B4092" i="2"/>
  <c r="B34553" i="2"/>
  <c r="B35649" i="2"/>
  <c r="B11329" i="2"/>
  <c r="B4880" i="2"/>
  <c r="B34972" i="2"/>
  <c r="B33570" i="2"/>
  <c r="B35030" i="2"/>
  <c r="B34001" i="2"/>
  <c r="B24657" i="2"/>
  <c r="B33499" i="2"/>
  <c r="B1551" i="2"/>
  <c r="B9154" i="2"/>
  <c r="B2396" i="2"/>
  <c r="B34543" i="2"/>
  <c r="B11400" i="2"/>
  <c r="B31999" i="2"/>
  <c r="B19577" i="2"/>
  <c r="B15576" i="2"/>
  <c r="B30368" i="2"/>
  <c r="B35790" i="2"/>
  <c r="B10057" i="2"/>
  <c r="B14429" i="2"/>
  <c r="B8549" i="2"/>
  <c r="B18678" i="2"/>
  <c r="B34452" i="2"/>
  <c r="B16601" i="2"/>
  <c r="B29723" i="2"/>
  <c r="B14988" i="2"/>
  <c r="B1701" i="2"/>
  <c r="B18653" i="2"/>
  <c r="B2908" i="2"/>
  <c r="B9658" i="2"/>
  <c r="B29204" i="2"/>
  <c r="B5960" i="2"/>
  <c r="B8030" i="2"/>
  <c r="B6178" i="2"/>
  <c r="B15943" i="2"/>
  <c r="B14270" i="2"/>
  <c r="B17624" i="2"/>
  <c r="B6799" i="2"/>
  <c r="B32632" i="2"/>
  <c r="B33473" i="2"/>
  <c r="B28855" i="2"/>
  <c r="B8996" i="2"/>
  <c r="B28665" i="2"/>
  <c r="B19330" i="2"/>
  <c r="B1018" i="2"/>
  <c r="B13541" i="2"/>
  <c r="B34310" i="2"/>
  <c r="B12305" i="2"/>
  <c r="B30888" i="2"/>
  <c r="B65" i="2"/>
  <c r="B5629" i="2"/>
  <c r="B12315" i="2"/>
  <c r="B34970" i="2"/>
  <c r="B35090" i="2"/>
  <c r="B25772" i="2"/>
  <c r="B11689" i="2"/>
  <c r="B2510" i="2"/>
  <c r="B20458" i="2"/>
  <c r="B31145" i="2"/>
  <c r="B19480" i="2"/>
  <c r="B17230" i="2"/>
  <c r="B25524" i="2"/>
  <c r="B6917" i="2"/>
  <c r="B12717" i="2"/>
  <c r="B30801" i="2"/>
  <c r="B27787" i="2"/>
  <c r="B11973" i="2"/>
  <c r="B34258" i="2"/>
  <c r="B34142" i="2"/>
  <c r="B4308" i="2"/>
  <c r="B6980" i="2"/>
  <c r="B33242" i="2"/>
  <c r="B9980" i="2"/>
  <c r="B28530" i="2"/>
  <c r="B34749" i="2"/>
  <c r="B35726" i="2"/>
  <c r="B741" i="2"/>
  <c r="B11938" i="2"/>
  <c r="B22171" i="2"/>
  <c r="B907" i="2"/>
  <c r="B24081" i="2"/>
  <c r="B33647" i="2"/>
  <c r="B30652" i="2"/>
  <c r="B33833" i="2"/>
  <c r="B35143" i="2"/>
  <c r="B6490" i="2"/>
  <c r="B34103" i="2"/>
  <c r="B8165" i="2"/>
  <c r="B7919" i="2"/>
  <c r="B14834" i="2"/>
  <c r="B21481" i="2"/>
  <c r="B23848" i="2"/>
  <c r="B32534" i="2"/>
  <c r="B14017" i="2"/>
  <c r="B19596" i="2"/>
  <c r="B10292" i="2"/>
  <c r="B35470" i="2"/>
  <c r="B1436" i="2"/>
  <c r="B19483" i="2"/>
  <c r="B4853" i="2"/>
  <c r="B11391" i="2"/>
  <c r="B3576" i="2"/>
  <c r="B36199" i="2"/>
  <c r="B18457" i="2"/>
  <c r="B28798" i="2"/>
  <c r="B29152" i="2"/>
  <c r="B29467" i="2"/>
  <c r="B6742" i="2"/>
  <c r="B35730" i="2"/>
  <c r="B34778" i="2"/>
  <c r="B18375" i="2"/>
  <c r="B18164" i="2"/>
  <c r="B20295" i="2"/>
  <c r="B4887" i="2"/>
  <c r="B34864" i="2"/>
  <c r="B26689" i="2"/>
  <c r="B15261" i="2"/>
  <c r="B3118" i="2"/>
  <c r="B12604" i="2"/>
  <c r="B12572" i="2"/>
  <c r="B10299" i="2"/>
  <c r="B31058" i="2"/>
  <c r="B16298" i="2"/>
  <c r="B30003" i="2"/>
  <c r="B21799" i="2"/>
  <c r="B629" i="2"/>
  <c r="B36240" i="2"/>
  <c r="B36263" i="2"/>
  <c r="B4438" i="2"/>
  <c r="B32432" i="2"/>
  <c r="B16233" i="2"/>
  <c r="B13265" i="2"/>
  <c r="B26616" i="2"/>
  <c r="B5444" i="2"/>
  <c r="B7812" i="2"/>
  <c r="B6888" i="2"/>
  <c r="B21078" i="2"/>
  <c r="B19220" i="2"/>
  <c r="B1903" i="2"/>
  <c r="B2150" i="2"/>
  <c r="B18301" i="2"/>
  <c r="B29761" i="2"/>
  <c r="B16532" i="2"/>
  <c r="B4256" i="2"/>
  <c r="B1668" i="2"/>
  <c r="B5436" i="2"/>
  <c r="B2179" i="2"/>
  <c r="B33931" i="2"/>
  <c r="B6314" i="2"/>
  <c r="B34566" i="2"/>
  <c r="B35299" i="2"/>
  <c r="B29057" i="2"/>
  <c r="B36109" i="2"/>
  <c r="B34241" i="2"/>
  <c r="B35173" i="2"/>
  <c r="B10344" i="2"/>
  <c r="B15948" i="2"/>
  <c r="B14595" i="2"/>
  <c r="B31531" i="2"/>
  <c r="B2094" i="2"/>
  <c r="B16353" i="2"/>
  <c r="B20591" i="2"/>
  <c r="B22611" i="2"/>
  <c r="B35403" i="2"/>
  <c r="B1810" i="2"/>
  <c r="B3203" i="2"/>
  <c r="B23421" i="2"/>
  <c r="B31846" i="2"/>
  <c r="B13336" i="2"/>
  <c r="B23496" i="2"/>
  <c r="B11353" i="2"/>
  <c r="B35698" i="2"/>
  <c r="B19712" i="2"/>
  <c r="B11136" i="2"/>
  <c r="B24179" i="2"/>
  <c r="B740" i="2"/>
  <c r="B12455" i="2"/>
  <c r="B22025" i="2"/>
  <c r="B25957" i="2"/>
  <c r="B7066" i="2"/>
  <c r="B30319" i="2"/>
  <c r="B34935" i="2"/>
  <c r="B35535" i="2"/>
  <c r="B33872" i="2"/>
  <c r="B28362" i="2"/>
  <c r="B834" i="2"/>
  <c r="B22920" i="2"/>
  <c r="B6835" i="2"/>
  <c r="B6074" i="2"/>
  <c r="B4648" i="2"/>
  <c r="B30027" i="2"/>
  <c r="B3619" i="2"/>
  <c r="B2381" i="2"/>
  <c r="B4198" i="2"/>
  <c r="B1417" i="2"/>
  <c r="B2356" i="2"/>
  <c r="B33645" i="2"/>
  <c r="B18739" i="2"/>
  <c r="B1249" i="2"/>
  <c r="B4730" i="2"/>
  <c r="B11009" i="2"/>
  <c r="B11823" i="2"/>
  <c r="B28681" i="2"/>
  <c r="B15795" i="2"/>
  <c r="B712" i="2"/>
  <c r="B15605" i="2"/>
  <c r="B32704" i="2"/>
  <c r="B1486" i="2"/>
  <c r="B34402" i="2"/>
  <c r="B36147" i="2"/>
  <c r="B33775" i="2"/>
  <c r="B30674" i="2"/>
  <c r="B33585" i="2"/>
  <c r="B22635" i="2"/>
  <c r="B27341" i="2"/>
  <c r="B15518" i="2"/>
  <c r="B33131" i="2"/>
  <c r="B23833" i="2"/>
  <c r="B20927" i="2"/>
  <c r="B22508" i="2"/>
  <c r="B13276" i="2"/>
  <c r="B32660" i="2"/>
  <c r="B26860" i="2"/>
  <c r="B2769" i="2"/>
  <c r="B2317" i="2"/>
  <c r="B2034" i="2"/>
  <c r="B2140" i="2"/>
  <c r="B32693" i="2"/>
  <c r="B6500" i="2"/>
  <c r="B32509" i="2"/>
  <c r="B2573" i="2"/>
  <c r="B15734" i="2"/>
  <c r="B13186" i="2"/>
  <c r="B29619" i="2"/>
  <c r="B34946" i="2"/>
  <c r="B34995" i="2"/>
  <c r="B16245" i="2"/>
  <c r="B17502" i="2"/>
  <c r="B8756" i="2"/>
  <c r="B7112" i="2"/>
  <c r="B8674" i="2"/>
  <c r="B9320" i="2"/>
  <c r="B25895" i="2"/>
  <c r="B6003" i="2"/>
  <c r="B17339" i="2"/>
  <c r="B27454" i="2"/>
  <c r="B33030" i="2"/>
  <c r="B22778" i="2"/>
  <c r="B18064" i="2"/>
  <c r="B6294" i="2"/>
  <c r="B5082" i="2"/>
  <c r="B446" i="2"/>
  <c r="B28933" i="2"/>
  <c r="B27485" i="2"/>
  <c r="B18304" i="2"/>
  <c r="B28073" i="2"/>
  <c r="B6950" i="2"/>
  <c r="B8833" i="2"/>
  <c r="B33420" i="2"/>
  <c r="B16489" i="2"/>
  <c r="B17199" i="2"/>
  <c r="B35254" i="2"/>
  <c r="B32601" i="2"/>
  <c r="B9606" i="2"/>
  <c r="B26626" i="2"/>
  <c r="B10626" i="2"/>
  <c r="B22483" i="2"/>
  <c r="B1912" i="2"/>
  <c r="B5322" i="2"/>
  <c r="B14987" i="2"/>
  <c r="B22813" i="2"/>
  <c r="B6125" i="2"/>
  <c r="B6708" i="2"/>
  <c r="B13762" i="2"/>
  <c r="B27073" i="2"/>
  <c r="B8158" i="2"/>
  <c r="B1031" i="2"/>
  <c r="B30747" i="2"/>
  <c r="B35511" i="2"/>
  <c r="B16203" i="2"/>
  <c r="B29773" i="2"/>
  <c r="B933" i="2"/>
  <c r="B18230" i="2"/>
  <c r="B33707" i="2"/>
  <c r="B7257" i="2"/>
  <c r="B30076" i="2"/>
  <c r="B11468" i="2"/>
  <c r="B4550" i="2"/>
  <c r="B25311" i="2"/>
  <c r="B29806" i="2"/>
  <c r="B14430" i="2"/>
  <c r="B27874" i="2"/>
  <c r="B16035" i="2"/>
  <c r="B1348" i="2"/>
  <c r="B32099" i="2"/>
  <c r="B1457" i="2"/>
  <c r="B3919" i="2"/>
  <c r="B18206" i="2"/>
  <c r="B19255" i="2"/>
  <c r="B24031" i="2"/>
  <c r="B23502" i="2"/>
  <c r="B36025" i="2"/>
  <c r="B17286" i="2"/>
  <c r="B21084" i="2"/>
  <c r="B8473" i="2"/>
  <c r="B7128" i="2"/>
  <c r="B29726" i="2"/>
  <c r="B9025" i="2"/>
  <c r="B17329" i="2"/>
  <c r="B18430" i="2"/>
  <c r="B13828" i="2"/>
  <c r="B5854" i="2"/>
  <c r="B262" i="2"/>
  <c r="B30505" i="2"/>
  <c r="B22734" i="2"/>
  <c r="B7695" i="2"/>
  <c r="B35473" i="2"/>
  <c r="B10867" i="2"/>
  <c r="B30927" i="2"/>
  <c r="B17414" i="2"/>
  <c r="B29075" i="2"/>
  <c r="B30589" i="2"/>
  <c r="B9107" i="2"/>
  <c r="B29167" i="2"/>
  <c r="B15645" i="2"/>
  <c r="B33691" i="2"/>
  <c r="B35439" i="2"/>
  <c r="B1181" i="2"/>
  <c r="B19004" i="2"/>
  <c r="B7925" i="2"/>
  <c r="B31805" i="2"/>
  <c r="B31546" i="2"/>
  <c r="B18421" i="2"/>
  <c r="B6687" i="2"/>
  <c r="B23844" i="2"/>
  <c r="B9095" i="2"/>
  <c r="B7659" i="2"/>
  <c r="B2846" i="2"/>
  <c r="B36120" i="2"/>
  <c r="B13576" i="2"/>
  <c r="B471" i="2"/>
  <c r="B108" i="2"/>
  <c r="B7786" i="2"/>
  <c r="B1224" i="2"/>
  <c r="B7507" i="2"/>
  <c r="B22422" i="2"/>
  <c r="B15086" i="2"/>
  <c r="B34728" i="2"/>
  <c r="B34270" i="2"/>
  <c r="B12097" i="2"/>
  <c r="B34922" i="2"/>
  <c r="B33935" i="2"/>
  <c r="B16965" i="2"/>
  <c r="B36079" i="2"/>
  <c r="B21697" i="2"/>
  <c r="B12243" i="2"/>
  <c r="B28696" i="2"/>
  <c r="B11910" i="2"/>
  <c r="B28654" i="2"/>
  <c r="B591" i="2"/>
  <c r="B34892" i="2"/>
  <c r="B20640" i="2"/>
  <c r="B32830" i="2"/>
  <c r="B25487" i="2"/>
  <c r="B31782" i="2"/>
  <c r="B2916" i="2"/>
  <c r="B10880" i="2"/>
  <c r="B15697" i="2"/>
  <c r="B29980" i="2"/>
  <c r="B9530" i="2"/>
  <c r="B27951" i="2"/>
  <c r="B29962" i="2"/>
  <c r="B29827" i="2"/>
  <c r="B16077" i="2"/>
  <c r="B24872" i="2"/>
  <c r="B7816" i="2"/>
  <c r="B19760" i="2"/>
  <c r="B9575" i="2"/>
  <c r="B6688" i="2"/>
  <c r="B3881" i="2"/>
  <c r="B12509" i="2"/>
  <c r="B5460" i="2"/>
  <c r="B8636" i="2"/>
  <c r="B36041" i="2"/>
  <c r="B7426" i="2"/>
  <c r="B31256" i="2"/>
  <c r="B21913" i="2"/>
  <c r="B29767" i="2"/>
  <c r="B4400" i="2"/>
  <c r="B1157" i="2"/>
  <c r="B28757" i="2"/>
  <c r="B6329" i="2"/>
  <c r="B22637" i="2"/>
  <c r="B6265" i="2"/>
  <c r="B6901" i="2"/>
  <c r="B12642" i="2"/>
  <c r="B35176" i="2"/>
  <c r="B20399" i="2"/>
  <c r="B36137" i="2"/>
  <c r="B15830" i="2"/>
  <c r="B32358" i="2"/>
  <c r="B13082" i="2"/>
  <c r="B30766" i="2"/>
  <c r="B30210" i="2"/>
  <c r="B1909" i="2"/>
  <c r="B35994" i="2"/>
  <c r="B32356" i="2"/>
  <c r="B5475" i="2"/>
  <c r="B5136" i="2"/>
  <c r="B4210" i="2"/>
  <c r="B9684" i="2"/>
  <c r="B14024" i="2"/>
  <c r="B27367" i="2"/>
  <c r="B27950" i="2"/>
  <c r="B4082" i="2"/>
  <c r="B36148" i="2"/>
  <c r="B9620" i="2"/>
  <c r="B27659" i="2"/>
  <c r="B29678" i="2"/>
  <c r="B31601" i="2"/>
  <c r="B31508" i="2"/>
  <c r="B31592" i="2"/>
  <c r="B34659" i="2"/>
  <c r="B34150" i="2"/>
  <c r="B33687" i="2"/>
  <c r="B10890" i="2"/>
  <c r="B19211" i="2"/>
  <c r="B6768" i="2"/>
  <c r="B6848" i="2"/>
  <c r="B27853" i="2"/>
  <c r="B27259" i="2"/>
  <c r="B17779" i="2"/>
  <c r="B24424" i="2"/>
  <c r="B1511" i="2"/>
  <c r="B2873" i="2"/>
  <c r="B17229" i="2"/>
  <c r="B5137" i="2"/>
  <c r="B6332" i="2"/>
  <c r="B5255" i="2"/>
  <c r="B10835" i="2"/>
  <c r="B2879" i="2"/>
  <c r="B32391" i="2"/>
  <c r="B31137" i="2"/>
  <c r="B8564" i="2"/>
  <c r="B8641" i="2"/>
  <c r="B9081" i="2"/>
  <c r="B29096" i="2"/>
  <c r="B6262" i="2"/>
  <c r="B29810" i="2"/>
  <c r="B28163" i="2"/>
  <c r="B12756" i="2"/>
  <c r="B2045" i="2"/>
  <c r="B10647" i="2"/>
  <c r="B310" i="2"/>
  <c r="B28931" i="2"/>
  <c r="B125" i="2"/>
  <c r="B142" i="2"/>
  <c r="B33878" i="2"/>
  <c r="B14874" i="2"/>
  <c r="B17797" i="2"/>
  <c r="B29875" i="2"/>
  <c r="B3090" i="2"/>
  <c r="B4351" i="2"/>
  <c r="B30046" i="2"/>
  <c r="B30168" i="2"/>
  <c r="B11877" i="2"/>
  <c r="B31175" i="2"/>
  <c r="B9149" i="2"/>
  <c r="B33316" i="2"/>
  <c r="B8097" i="2"/>
  <c r="B6808" i="2"/>
  <c r="B1653" i="2"/>
  <c r="B5610" i="2"/>
  <c r="B17060" i="2"/>
  <c r="B14712" i="2"/>
  <c r="B19707" i="2"/>
  <c r="B32595" i="2"/>
  <c r="B419" i="2"/>
  <c r="B24310" i="2"/>
  <c r="B27503" i="2"/>
  <c r="B34203" i="2"/>
  <c r="B20082" i="2"/>
  <c r="B33705" i="2"/>
  <c r="B20821" i="2"/>
  <c r="B32647" i="2"/>
  <c r="B19940" i="2"/>
  <c r="B846" i="2"/>
  <c r="B16521" i="2"/>
  <c r="B18466" i="2"/>
  <c r="B3986" i="2"/>
  <c r="B12623" i="2"/>
  <c r="B15814" i="2"/>
  <c r="B30908" i="2"/>
  <c r="B2065" i="2"/>
  <c r="B10726" i="2"/>
  <c r="B22875" i="2"/>
  <c r="B5332" i="2"/>
  <c r="B28961" i="2"/>
  <c r="B30900" i="2"/>
  <c r="B8206" i="2"/>
  <c r="B30671" i="2"/>
  <c r="B7162" i="2"/>
  <c r="B6444" i="2"/>
  <c r="B13709" i="2"/>
  <c r="B29790" i="2"/>
  <c r="B29175" i="2"/>
  <c r="B28514" i="2"/>
  <c r="B32799" i="2"/>
  <c r="B28145" i="2"/>
  <c r="B30083" i="2"/>
  <c r="B30087" i="2"/>
  <c r="B32230" i="2"/>
  <c r="B20030" i="2"/>
  <c r="B25125" i="2"/>
  <c r="B31615" i="2"/>
  <c r="B9595" i="2"/>
  <c r="B6877" i="2"/>
  <c r="B1603" i="2"/>
  <c r="B32694" i="2"/>
  <c r="B8964" i="2"/>
  <c r="B17356" i="2"/>
  <c r="B4247" i="2"/>
  <c r="B32611" i="2"/>
  <c r="B17291" i="2"/>
  <c r="B9311" i="2"/>
  <c r="B28633" i="2"/>
  <c r="B13614" i="2"/>
  <c r="B10910" i="2"/>
  <c r="B34815" i="2"/>
  <c r="B26445" i="2"/>
  <c r="B13205" i="2"/>
  <c r="B1707" i="2"/>
  <c r="B7704" i="2"/>
  <c r="B9812" i="2"/>
  <c r="B7755" i="2"/>
  <c r="B27204" i="2"/>
  <c r="B5736" i="2"/>
  <c r="B3405" i="2"/>
  <c r="B17407" i="2"/>
  <c r="B32792" i="2"/>
  <c r="B7262" i="2"/>
  <c r="B12186" i="2"/>
  <c r="B30098" i="2"/>
  <c r="B4600" i="2"/>
  <c r="B27823" i="2"/>
  <c r="B12847" i="2"/>
  <c r="B7830" i="2"/>
  <c r="B6722" i="2"/>
  <c r="B22621" i="2"/>
  <c r="B34368" i="2"/>
  <c r="B19303" i="2"/>
  <c r="B29926" i="2"/>
  <c r="B10831" i="2"/>
  <c r="B32257" i="2"/>
  <c r="B21559" i="2"/>
  <c r="B16360" i="2"/>
  <c r="B28110" i="2"/>
  <c r="B10482" i="2"/>
  <c r="B12525" i="2"/>
  <c r="B16870" i="2"/>
  <c r="B28989" i="2"/>
  <c r="B16795" i="2"/>
  <c r="B35854" i="2"/>
  <c r="B35727" i="2"/>
  <c r="B11256" i="2"/>
  <c r="B33914" i="2"/>
  <c r="B543" i="2"/>
  <c r="B9354" i="2"/>
  <c r="B23915" i="2"/>
  <c r="B28431" i="2"/>
  <c r="B30743" i="2"/>
  <c r="B479" i="2"/>
  <c r="B18604" i="2"/>
  <c r="B9451" i="2"/>
  <c r="B25018" i="2"/>
  <c r="B24170" i="2"/>
  <c r="B15450" i="2"/>
  <c r="B26921" i="2"/>
  <c r="B16985" i="2"/>
  <c r="B24860" i="2"/>
  <c r="B12570" i="2"/>
  <c r="B18853" i="2"/>
  <c r="B9665" i="2"/>
  <c r="B2464" i="2"/>
  <c r="B185" i="2"/>
  <c r="B5034" i="2"/>
  <c r="B28634" i="2"/>
  <c r="B10517" i="2"/>
  <c r="B15241" i="2"/>
  <c r="B5449" i="2"/>
  <c r="B6855" i="2"/>
  <c r="B8336" i="2"/>
  <c r="B9150" i="2"/>
  <c r="B35594" i="2"/>
  <c r="B28951" i="2"/>
  <c r="B10110" i="2"/>
  <c r="B867" i="2"/>
  <c r="B31342" i="2"/>
  <c r="B2981" i="2"/>
  <c r="B31634" i="2"/>
  <c r="B27984" i="2"/>
  <c r="B25335" i="2"/>
  <c r="B24893" i="2"/>
  <c r="B7117" i="2"/>
  <c r="B20126" i="2"/>
  <c r="B7554" i="2"/>
  <c r="B24706" i="2"/>
  <c r="B29885" i="2"/>
  <c r="B36229" i="2"/>
  <c r="B23642" i="2"/>
  <c r="B17960" i="2"/>
  <c r="B14664" i="2"/>
  <c r="B35611" i="2"/>
  <c r="B12265" i="2"/>
  <c r="B18031" i="2"/>
  <c r="B6728" i="2"/>
  <c r="B36370" i="2"/>
  <c r="B15648" i="2"/>
  <c r="B3428" i="2"/>
  <c r="B13165" i="2"/>
  <c r="B14912" i="2"/>
  <c r="B6770" i="2"/>
  <c r="B4702" i="2"/>
  <c r="B25556" i="2"/>
  <c r="B1725" i="2"/>
  <c r="B30561" i="2"/>
  <c r="B31759" i="2"/>
  <c r="B35723" i="2"/>
  <c r="B28130" i="2"/>
  <c r="B10638" i="2"/>
  <c r="B10527" i="2"/>
  <c r="B70" i="2"/>
  <c r="B3182" i="2"/>
  <c r="B10736" i="2"/>
  <c r="B25260" i="2"/>
  <c r="B26961" i="2"/>
  <c r="B22712" i="2"/>
  <c r="B3228" i="2"/>
  <c r="B5227" i="2"/>
  <c r="B1174" i="2"/>
  <c r="B23550" i="2"/>
  <c r="B35731" i="2"/>
  <c r="B34597" i="2"/>
  <c r="B15778" i="2"/>
  <c r="B19378" i="2"/>
  <c r="B9471" i="2"/>
  <c r="B31314" i="2"/>
  <c r="B33514" i="2"/>
  <c r="B13908" i="2"/>
  <c r="B119" i="2"/>
  <c r="B4646" i="2"/>
  <c r="B6467" i="2"/>
  <c r="B20501" i="2"/>
  <c r="B24502" i="2"/>
  <c r="B22098" i="2"/>
  <c r="B34273" i="2"/>
  <c r="B7582" i="2"/>
  <c r="B5973" i="2"/>
  <c r="B36174" i="2"/>
  <c r="B1608" i="2"/>
  <c r="B35087" i="2"/>
  <c r="B32616" i="2"/>
  <c r="B34612" i="2"/>
  <c r="B16387" i="2"/>
  <c r="B26711" i="2"/>
  <c r="B2834" i="2"/>
  <c r="B5934" i="2"/>
  <c r="B6018" i="2"/>
  <c r="B34914" i="2"/>
  <c r="B10928" i="2"/>
  <c r="B4892" i="2"/>
  <c r="B12562" i="2"/>
  <c r="B27967" i="2"/>
  <c r="B31975" i="2"/>
  <c r="B11632" i="2"/>
  <c r="B5127" i="2"/>
  <c r="B23683" i="2"/>
  <c r="B25191" i="2"/>
  <c r="B16466" i="2"/>
  <c r="B34872" i="2"/>
  <c r="B22677" i="2"/>
  <c r="B34863" i="2"/>
  <c r="B11239" i="2"/>
  <c r="B9564" i="2"/>
  <c r="B32114" i="2"/>
  <c r="B19077" i="2"/>
  <c r="B30779" i="2"/>
  <c r="B15062" i="2"/>
  <c r="B13679" i="2"/>
  <c r="B24484" i="2"/>
  <c r="B22899" i="2"/>
  <c r="B4737" i="2"/>
  <c r="B19665" i="2"/>
  <c r="B36205" i="2"/>
  <c r="B22789" i="2"/>
  <c r="B4721" i="2"/>
  <c r="B17674" i="2"/>
  <c r="B33248" i="2"/>
  <c r="B15577" i="2"/>
  <c r="B15112" i="2"/>
  <c r="B82" i="2"/>
  <c r="B31480" i="2"/>
  <c r="B4340" i="2"/>
  <c r="B34595" i="2"/>
  <c r="B32520" i="2"/>
  <c r="B16430" i="2"/>
  <c r="B22730" i="2"/>
  <c r="B5747" i="2"/>
  <c r="B13392" i="2"/>
  <c r="B33669" i="2"/>
  <c r="B16336" i="2"/>
  <c r="B3534" i="2"/>
  <c r="B26334" i="2"/>
  <c r="B16141" i="2"/>
  <c r="B28391" i="2"/>
  <c r="B10213" i="2"/>
  <c r="B10115" i="2"/>
  <c r="B25508" i="2"/>
  <c r="B33240" i="2"/>
  <c r="B2470" i="2"/>
  <c r="B32610" i="2"/>
  <c r="B1613" i="2"/>
  <c r="B18488" i="2"/>
  <c r="B14433" i="2"/>
  <c r="B34891" i="2"/>
  <c r="B21778" i="2"/>
  <c r="B25928" i="2"/>
  <c r="B14501" i="2"/>
  <c r="B17867" i="2"/>
  <c r="B20620" i="2"/>
  <c r="B22742" i="2"/>
  <c r="B21164" i="2"/>
  <c r="B13248" i="2"/>
  <c r="B19081" i="2"/>
  <c r="B287" i="2"/>
  <c r="B5915" i="2"/>
  <c r="B6546" i="2"/>
  <c r="B17335" i="2"/>
  <c r="B6521" i="2"/>
  <c r="B3472" i="2"/>
  <c r="B18692" i="2"/>
  <c r="B14829" i="2"/>
  <c r="B6896" i="2"/>
  <c r="B24230" i="2"/>
  <c r="B4270" i="2"/>
  <c r="B2663" i="2"/>
  <c r="B25045" i="2"/>
  <c r="B23843" i="2"/>
  <c r="B25158" i="2"/>
  <c r="B7749" i="2"/>
  <c r="B9080" i="2"/>
  <c r="B13904" i="2"/>
  <c r="B17468" i="2"/>
  <c r="B25751" i="2"/>
  <c r="B8147" i="2"/>
  <c r="B2710" i="2"/>
  <c r="B8297" i="2"/>
  <c r="B6689" i="2"/>
  <c r="B26223" i="2"/>
  <c r="B22937" i="2"/>
  <c r="B5432" i="2"/>
  <c r="B36017" i="2"/>
  <c r="B11602" i="2"/>
  <c r="B13222" i="2"/>
  <c r="B6753" i="2"/>
  <c r="B5503" i="2"/>
  <c r="B36119" i="2"/>
  <c r="B13330" i="2"/>
  <c r="B17861" i="2"/>
  <c r="B11848" i="2"/>
  <c r="B25379" i="2"/>
  <c r="B7334" i="2"/>
  <c r="B19153" i="2"/>
  <c r="B31394" i="2"/>
  <c r="B21589" i="2"/>
  <c r="B19579" i="2"/>
  <c r="B3994" i="2"/>
  <c r="B18693" i="2"/>
  <c r="B25213" i="2"/>
  <c r="B8551" i="2"/>
  <c r="B17457" i="2"/>
  <c r="B7814" i="2"/>
  <c r="B5464" i="2"/>
  <c r="B21277" i="2"/>
  <c r="B30962" i="2"/>
  <c r="B29661" i="2"/>
  <c r="B14522" i="2"/>
  <c r="B23773" i="2"/>
  <c r="B31980" i="2"/>
  <c r="B5687" i="2"/>
  <c r="B3259" i="2"/>
  <c r="B7410" i="2"/>
  <c r="B6477" i="2"/>
  <c r="B32457" i="2"/>
  <c r="B5517" i="2"/>
  <c r="B23398" i="2"/>
  <c r="B5454" i="2"/>
  <c r="B23739" i="2"/>
  <c r="B25286" i="2"/>
  <c r="B6686" i="2"/>
  <c r="B19176" i="2"/>
  <c r="B18017" i="2"/>
  <c r="B12724" i="2"/>
  <c r="B11718" i="2"/>
  <c r="B6151" i="2"/>
  <c r="B20495" i="2"/>
  <c r="B13592" i="2"/>
  <c r="B12109" i="2"/>
  <c r="B8093" i="2"/>
  <c r="B19411" i="2"/>
  <c r="B27057" i="2"/>
  <c r="B23830" i="2"/>
  <c r="B5723" i="2"/>
  <c r="B17062" i="2"/>
  <c r="B36246" i="2"/>
  <c r="B20373" i="2"/>
  <c r="B22614" i="2"/>
  <c r="B5543" i="2"/>
  <c r="B22475" i="2"/>
  <c r="B33173" i="2"/>
  <c r="B34159" i="2"/>
  <c r="B24428" i="2"/>
  <c r="B713" i="2"/>
  <c r="B7993" i="2"/>
  <c r="B29359" i="2"/>
  <c r="B688" i="2"/>
  <c r="B9614" i="2"/>
  <c r="B24790" i="2"/>
  <c r="B32452" i="2"/>
  <c r="B17876" i="2"/>
  <c r="B36000" i="2"/>
  <c r="B24037" i="2"/>
  <c r="B4491" i="2"/>
  <c r="B5702" i="2"/>
  <c r="B7557" i="2"/>
  <c r="B28509" i="2"/>
  <c r="B19421" i="2"/>
  <c r="B2163" i="2"/>
  <c r="B13355" i="2"/>
  <c r="B7430" i="2"/>
  <c r="B9465" i="2"/>
  <c r="B23382" i="2"/>
  <c r="B35451" i="2"/>
  <c r="B8287" i="2"/>
  <c r="B19074" i="2"/>
  <c r="B4925" i="2"/>
  <c r="B5759" i="2"/>
  <c r="B35809" i="2"/>
  <c r="B4231" i="2"/>
  <c r="B22417" i="2"/>
  <c r="B30683" i="2"/>
  <c r="B25653" i="2"/>
  <c r="B9536" i="2"/>
  <c r="B14063" i="2"/>
  <c r="B6346" i="2"/>
  <c r="B25370" i="2"/>
  <c r="B31910" i="2"/>
  <c r="B12479" i="2"/>
  <c r="B13404" i="2"/>
  <c r="B16088" i="2"/>
  <c r="B116" i="2"/>
  <c r="B7793" i="2"/>
  <c r="B8108" i="2"/>
  <c r="B29847" i="2"/>
  <c r="B10703" i="2"/>
  <c r="B19467" i="2"/>
  <c r="B16321" i="2"/>
  <c r="B24660" i="2"/>
  <c r="B17146" i="2"/>
  <c r="B7909" i="2"/>
  <c r="B9844" i="2"/>
  <c r="B13182" i="2"/>
  <c r="B30391" i="2"/>
  <c r="B6883" i="2"/>
  <c r="B5862" i="2"/>
  <c r="B11506" i="2"/>
  <c r="B26101" i="2"/>
  <c r="B910" i="2"/>
  <c r="B5505" i="2"/>
  <c r="B35677" i="2"/>
  <c r="B21696" i="2"/>
  <c r="B31307" i="2"/>
  <c r="B7671" i="2"/>
  <c r="B4697" i="2"/>
  <c r="B24324" i="2"/>
  <c r="B2524" i="2"/>
  <c r="B25768" i="2"/>
  <c r="B22486" i="2"/>
  <c r="B21233" i="2"/>
  <c r="B7099" i="2"/>
  <c r="B26556" i="2"/>
  <c r="B14581" i="2"/>
  <c r="B9179" i="2"/>
  <c r="B30827" i="2"/>
  <c r="B23112" i="2"/>
  <c r="B34232" i="2"/>
  <c r="B19836" i="2"/>
  <c r="B4703" i="2"/>
  <c r="B25072" i="2"/>
  <c r="B5976" i="2"/>
  <c r="B5828" i="2"/>
  <c r="B25516" i="2"/>
  <c r="B15703" i="2"/>
  <c r="B16555" i="2"/>
  <c r="B13303" i="2"/>
  <c r="B27330" i="2"/>
  <c r="B9457" i="2"/>
  <c r="B35622" i="2"/>
  <c r="B22467" i="2"/>
  <c r="B8044" i="2"/>
  <c r="B9352" i="2"/>
  <c r="B24612" i="2"/>
  <c r="B4295" i="2"/>
  <c r="B9492" i="2"/>
  <c r="B7287" i="2"/>
  <c r="B22138" i="2"/>
  <c r="B659" i="2"/>
  <c r="B435" i="2"/>
  <c r="B10194" i="2"/>
  <c r="B4639" i="2"/>
  <c r="B1963" i="2"/>
  <c r="B2951" i="2"/>
  <c r="B32711" i="2"/>
  <c r="B30975" i="2"/>
  <c r="B23715" i="2"/>
  <c r="B31799" i="2"/>
  <c r="B23536" i="2"/>
  <c r="B4445" i="2"/>
  <c r="B28013" i="2"/>
  <c r="B18899" i="2"/>
  <c r="B4836" i="2"/>
  <c r="B33424" i="2"/>
  <c r="B5500" i="2"/>
  <c r="B14925" i="2"/>
  <c r="B2275" i="2"/>
  <c r="B35921" i="2"/>
  <c r="B29320" i="2"/>
  <c r="B32736" i="2"/>
  <c r="B30230" i="2"/>
  <c r="B35416" i="2"/>
  <c r="B7144" i="2"/>
  <c r="B5285" i="2"/>
  <c r="B17706" i="2"/>
  <c r="B21548" i="2"/>
  <c r="B35729" i="2"/>
  <c r="B8369" i="2"/>
  <c r="B24712" i="2"/>
  <c r="B23494" i="2"/>
  <c r="B6343" i="2"/>
  <c r="B15484" i="2"/>
  <c r="B8229" i="2"/>
  <c r="B19249" i="2"/>
  <c r="B34791" i="2"/>
  <c r="B3894" i="2"/>
  <c r="B29066" i="2"/>
  <c r="B31279" i="2"/>
  <c r="B33336" i="2"/>
  <c r="B7027" i="2"/>
  <c r="B23784" i="2"/>
  <c r="B10718" i="2"/>
  <c r="B8768" i="2"/>
  <c r="B3338" i="2"/>
  <c r="B31191" i="2"/>
  <c r="B6938" i="2"/>
  <c r="B33411" i="2"/>
  <c r="B17438" i="2"/>
  <c r="B22933" i="2"/>
  <c r="B8676" i="2"/>
  <c r="B7603" i="2"/>
  <c r="B9033" i="2"/>
  <c r="B19667" i="2"/>
  <c r="B5734" i="2"/>
  <c r="B22437" i="2"/>
  <c r="B28659" i="2"/>
  <c r="B4241" i="2"/>
  <c r="B33257" i="2"/>
  <c r="B24903" i="2"/>
  <c r="B2984" i="2"/>
  <c r="B7912" i="2"/>
  <c r="B2623" i="2"/>
  <c r="B34425" i="2"/>
  <c r="B33545" i="2"/>
  <c r="B23078" i="2"/>
  <c r="B22154" i="2"/>
  <c r="B25236" i="2"/>
  <c r="B21362" i="2"/>
  <c r="B7459" i="2"/>
  <c r="B773" i="2"/>
  <c r="B3807" i="2"/>
  <c r="B7911" i="2"/>
  <c r="B7216" i="2"/>
  <c r="B6491" i="2"/>
  <c r="B10569" i="2"/>
  <c r="B6801" i="2"/>
  <c r="B34706" i="2"/>
  <c r="B4706" i="2"/>
  <c r="B3348" i="2"/>
  <c r="B5691" i="2"/>
  <c r="B7643" i="2"/>
  <c r="B2807" i="2"/>
  <c r="B23737" i="2"/>
  <c r="B7433" i="2"/>
  <c r="B25307" i="2"/>
  <c r="B6442" i="2"/>
  <c r="B2965" i="2"/>
  <c r="B15418" i="2"/>
  <c r="B7126" i="2"/>
  <c r="B12742" i="2"/>
  <c r="B34440" i="2"/>
  <c r="B26846" i="2"/>
  <c r="B32917" i="2"/>
  <c r="B8019" i="2"/>
  <c r="B28510" i="2"/>
  <c r="B4781" i="2"/>
  <c r="B23405" i="2"/>
  <c r="B30788" i="2"/>
  <c r="B19281" i="2"/>
  <c r="B28285" i="2"/>
  <c r="B33806" i="2"/>
  <c r="B9364" i="2"/>
  <c r="B28997" i="2"/>
  <c r="B19225" i="2"/>
  <c r="B32745" i="2"/>
  <c r="B7642" i="2"/>
  <c r="B12132" i="2"/>
  <c r="B22415" i="2"/>
  <c r="B26410" i="2"/>
  <c r="B24970" i="2"/>
  <c r="B11291" i="2"/>
  <c r="B5388" i="2"/>
  <c r="B5541" i="2"/>
  <c r="B9394" i="2"/>
  <c r="B5584" i="2"/>
  <c r="B5067" i="2"/>
  <c r="B21763" i="2"/>
  <c r="B20163" i="2"/>
  <c r="B29094" i="2"/>
  <c r="B21686" i="2"/>
  <c r="B3553" i="2"/>
  <c r="B33324" i="2"/>
  <c r="B26900" i="2"/>
  <c r="B20622" i="2"/>
  <c r="B23052" i="2"/>
  <c r="B12661" i="2"/>
  <c r="B10653" i="2"/>
  <c r="B23455" i="2"/>
  <c r="B11968" i="2"/>
  <c r="B6374" i="2"/>
  <c r="B24374" i="2"/>
  <c r="B21028" i="2"/>
  <c r="B16682" i="2"/>
  <c r="B34577" i="2"/>
  <c r="B36335" i="2"/>
  <c r="B13839" i="2"/>
  <c r="B11909" i="2"/>
  <c r="B25569" i="2"/>
  <c r="B10106" i="2"/>
  <c r="B6154" i="2"/>
  <c r="B8367" i="2"/>
  <c r="B25567" i="2"/>
  <c r="B5240" i="2"/>
  <c r="B4259" i="2"/>
  <c r="B2840" i="2"/>
  <c r="B12692" i="2"/>
  <c r="B5304" i="2"/>
  <c r="B11603" i="2"/>
  <c r="B11314" i="2"/>
  <c r="B26727" i="2"/>
  <c r="B17850" i="2"/>
  <c r="B12149" i="2"/>
  <c r="B10543" i="2"/>
  <c r="B18150" i="2"/>
  <c r="B1169" i="2"/>
  <c r="B5326" i="2"/>
  <c r="B2946" i="2"/>
  <c r="B17685" i="2"/>
  <c r="B1577" i="2"/>
  <c r="B28058" i="2"/>
  <c r="B34416" i="2"/>
  <c r="B25240" i="2"/>
  <c r="B21771" i="2"/>
  <c r="B11412" i="2"/>
  <c r="B6153" i="2"/>
  <c r="B16587" i="2"/>
  <c r="B11582" i="2"/>
  <c r="B11576" i="2"/>
  <c r="B6277" i="2"/>
  <c r="B21825" i="2"/>
  <c r="B21580" i="2"/>
  <c r="B34847" i="2"/>
  <c r="B7029" i="2"/>
  <c r="B6038" i="2"/>
  <c r="B15520" i="2"/>
  <c r="B16607" i="2"/>
  <c r="B12209" i="2"/>
  <c r="B32029" i="2"/>
  <c r="B25610" i="2"/>
  <c r="B33733" i="2"/>
  <c r="B1316" i="2"/>
  <c r="B10926" i="2"/>
  <c r="B34156" i="2"/>
  <c r="B27523" i="2"/>
  <c r="B12373" i="2"/>
  <c r="B29610" i="2"/>
  <c r="B29839" i="2"/>
  <c r="B11661" i="2"/>
  <c r="B23747" i="2"/>
  <c r="B5054" i="2"/>
  <c r="B25460" i="2"/>
  <c r="B26514" i="2"/>
  <c r="B34587" i="2"/>
  <c r="B14554" i="2"/>
  <c r="B20144" i="2"/>
  <c r="B16552" i="2"/>
  <c r="B9505" i="2"/>
  <c r="B3155" i="2"/>
  <c r="B20565" i="2"/>
  <c r="B1651" i="2"/>
  <c r="B19304" i="2"/>
  <c r="B14756" i="2"/>
  <c r="B35004" i="2"/>
  <c r="B35150" i="2"/>
  <c r="B12139" i="2"/>
  <c r="B28716" i="2"/>
  <c r="B6973" i="2"/>
  <c r="B3397" i="2"/>
  <c r="B23183" i="2"/>
  <c r="B27649" i="2"/>
  <c r="B3921" i="2"/>
  <c r="B12391" i="2"/>
  <c r="B23055" i="2"/>
  <c r="B22198" i="2"/>
  <c r="B32622" i="2"/>
  <c r="B3215" i="2"/>
  <c r="B36366" i="2"/>
  <c r="B23526" i="2"/>
  <c r="B32909" i="2"/>
  <c r="B18819" i="2"/>
  <c r="B31576" i="2"/>
  <c r="B5572" i="2"/>
  <c r="B33403" i="2"/>
  <c r="B27119" i="2"/>
  <c r="B6373" i="2"/>
  <c r="B8225" i="2"/>
  <c r="B3752" i="2"/>
  <c r="B16570" i="2"/>
  <c r="B15315" i="2"/>
  <c r="B9485" i="2"/>
  <c r="B32970" i="2"/>
  <c r="B28383" i="2"/>
  <c r="B3746" i="2"/>
  <c r="B35420" i="2"/>
  <c r="B31043" i="2"/>
  <c r="B30214" i="2"/>
  <c r="B34868" i="2"/>
  <c r="B35586" i="2"/>
  <c r="B19208" i="2"/>
  <c r="B19200" i="2"/>
  <c r="B17498" i="2"/>
  <c r="B27357" i="2"/>
  <c r="B27656" i="2"/>
  <c r="B27343" i="2"/>
  <c r="B31193" i="2"/>
  <c r="B5612" i="2"/>
  <c r="B18795" i="2"/>
  <c r="B17351" i="2"/>
  <c r="B32600" i="2"/>
  <c r="B19035" i="2"/>
  <c r="B12129" i="2"/>
  <c r="B33191" i="2"/>
  <c r="B22907" i="2"/>
  <c r="B25372" i="2"/>
  <c r="B3108" i="2"/>
  <c r="B7456" i="2"/>
  <c r="B8041" i="2"/>
  <c r="B12325" i="2"/>
  <c r="B29625" i="2"/>
  <c r="B7311" i="2"/>
  <c r="B7488" i="2"/>
  <c r="B10500" i="2"/>
  <c r="B33940" i="2"/>
  <c r="B8488" i="2"/>
  <c r="B21453" i="2"/>
  <c r="B5892" i="2"/>
  <c r="B21349" i="2"/>
  <c r="B21953" i="2"/>
  <c r="B12190" i="2"/>
  <c r="B3355" i="2"/>
  <c r="B31984" i="2"/>
  <c r="B26823" i="2"/>
  <c r="B15326" i="2"/>
  <c r="B15688" i="2"/>
  <c r="B8672" i="2"/>
  <c r="B8157" i="2"/>
  <c r="B17397" i="2"/>
  <c r="B27295" i="2"/>
  <c r="B5742" i="2"/>
  <c r="B9622" i="2"/>
  <c r="B122" i="2"/>
  <c r="B6370" i="2"/>
  <c r="B16179" i="2"/>
  <c r="B16882" i="2"/>
  <c r="B7093" i="2"/>
  <c r="B25646" i="2"/>
  <c r="B21588" i="2"/>
  <c r="B8321" i="2"/>
  <c r="B33394" i="2"/>
  <c r="B19742" i="2"/>
  <c r="B1006" i="2"/>
  <c r="B15510" i="2"/>
  <c r="B19937" i="2"/>
  <c r="B6833" i="2"/>
  <c r="B793" i="2"/>
  <c r="B6068" i="2"/>
  <c r="B32536" i="2"/>
  <c r="B2677" i="2"/>
  <c r="B15597" i="2"/>
  <c r="B33187" i="2"/>
  <c r="B14151" i="2"/>
  <c r="B14622" i="2"/>
  <c r="B3298" i="2"/>
  <c r="B14689" i="2"/>
  <c r="B8109" i="2"/>
  <c r="B5727" i="2"/>
  <c r="B25532" i="2"/>
  <c r="B14143" i="2"/>
  <c r="B23565" i="2"/>
  <c r="B11864" i="2"/>
  <c r="B26122" i="2"/>
  <c r="B19740" i="2"/>
  <c r="B8880" i="2"/>
  <c r="B23769" i="2"/>
  <c r="B7929" i="2"/>
  <c r="B9507" i="2"/>
  <c r="B15682" i="2"/>
  <c r="B9304" i="2"/>
  <c r="B16216" i="2"/>
  <c r="B3400" i="2"/>
  <c r="B24354" i="2"/>
  <c r="B5400" i="2"/>
  <c r="B32972" i="2"/>
  <c r="B15581" i="2"/>
  <c r="B29336" i="2"/>
  <c r="B33771" i="2"/>
  <c r="B16296" i="2"/>
  <c r="B9340" i="2"/>
  <c r="B32462" i="2"/>
  <c r="B31845" i="2"/>
  <c r="B3040" i="2"/>
  <c r="B23019" i="2"/>
  <c r="B167" i="2"/>
  <c r="B26108" i="2"/>
  <c r="B17970" i="2"/>
  <c r="B6319" i="2"/>
  <c r="B8960" i="2"/>
  <c r="B9372" i="2"/>
  <c r="B2595" i="2"/>
  <c r="B7409" i="2"/>
  <c r="B26467" i="2"/>
  <c r="B12253" i="2"/>
  <c r="B21269" i="2"/>
  <c r="B3647" i="2"/>
  <c r="B6313" i="2"/>
  <c r="B25575" i="2"/>
  <c r="B33144" i="2"/>
  <c r="B7134" i="2"/>
  <c r="B34444" i="2"/>
  <c r="B5074" i="2"/>
  <c r="B8801" i="2"/>
  <c r="B18311" i="2"/>
  <c r="B26154" i="2"/>
  <c r="B23998" i="2"/>
  <c r="B21144" i="2"/>
  <c r="B27404" i="2"/>
  <c r="B33071" i="2"/>
  <c r="B2776" i="2"/>
  <c r="B5529" i="2"/>
  <c r="B13411" i="2"/>
  <c r="B1488" i="2"/>
  <c r="B28707" i="2"/>
  <c r="B31312" i="2"/>
  <c r="B6765" i="2"/>
  <c r="B17059" i="2"/>
  <c r="B6655" i="2"/>
  <c r="B23571" i="2"/>
  <c r="B33567" i="2"/>
  <c r="B28182" i="2"/>
  <c r="B29342" i="2"/>
  <c r="B10680" i="2"/>
  <c r="B13687" i="2"/>
  <c r="B15875" i="2"/>
  <c r="B1196" i="2"/>
  <c r="B7297" i="2"/>
  <c r="B2577" i="2"/>
  <c r="B781" i="2"/>
  <c r="B5433" i="2"/>
  <c r="B6465" i="2"/>
  <c r="B4301" i="2"/>
  <c r="B12427" i="2"/>
  <c r="B24844" i="2"/>
  <c r="B33715" i="2"/>
  <c r="B15401" i="2"/>
  <c r="B5704" i="2"/>
  <c r="B24993" i="2"/>
  <c r="B27110" i="2"/>
  <c r="B7286" i="2"/>
  <c r="B9053" i="2"/>
  <c r="B20019" i="2"/>
  <c r="B24034" i="2"/>
  <c r="B20103" i="2"/>
  <c r="B33241" i="2"/>
  <c r="B8003" i="2"/>
  <c r="B24821" i="2"/>
  <c r="B2819" i="2"/>
  <c r="B6290" i="2"/>
  <c r="B22005" i="2"/>
  <c r="B29115" i="2"/>
  <c r="B16005" i="2"/>
  <c r="B16539" i="2"/>
  <c r="B3948" i="2"/>
  <c r="B9947" i="2"/>
  <c r="B7886" i="2"/>
  <c r="B33133" i="2"/>
  <c r="B7436" i="2"/>
  <c r="B21552" i="2"/>
  <c r="B6172" i="2"/>
  <c r="B1015" i="2"/>
  <c r="B7065" i="2"/>
  <c r="B9173" i="2"/>
  <c r="B7373" i="2"/>
  <c r="B26749" i="2"/>
  <c r="B202" i="2"/>
  <c r="B19216" i="2"/>
  <c r="B35637" i="2"/>
  <c r="B32682" i="2"/>
  <c r="B23762" i="2"/>
  <c r="B32437" i="2"/>
  <c r="B33203" i="2"/>
  <c r="B31105" i="2"/>
  <c r="B32193" i="2"/>
  <c r="B19663" i="2"/>
  <c r="B22431" i="2"/>
  <c r="B30692" i="2"/>
  <c r="B25906" i="2"/>
  <c r="B32877" i="2"/>
  <c r="B3750" i="2"/>
  <c r="B33109" i="2"/>
  <c r="B7935" i="2"/>
  <c r="B19209" i="2"/>
  <c r="B25542" i="2"/>
  <c r="B33520" i="2"/>
  <c r="B4382" i="2"/>
  <c r="B10969" i="2"/>
  <c r="B311" i="2"/>
  <c r="B831" i="2"/>
  <c r="B9847" i="2"/>
  <c r="B6475" i="2"/>
  <c r="B21243" i="2"/>
  <c r="B33171" i="2"/>
  <c r="B30907" i="2"/>
  <c r="B22615" i="2"/>
  <c r="B1405" i="2"/>
  <c r="B10306" i="2"/>
  <c r="B35240" i="2"/>
  <c r="B24640" i="2"/>
  <c r="B7290" i="2"/>
  <c r="B24202" i="2"/>
  <c r="B6748" i="2"/>
  <c r="B8395" i="2"/>
  <c r="B5109" i="2"/>
  <c r="B35397" i="2"/>
  <c r="B28467" i="2"/>
  <c r="B26723" i="2"/>
  <c r="B20968" i="2"/>
  <c r="B7889" i="2"/>
  <c r="B19190" i="2"/>
  <c r="B7840" i="2"/>
  <c r="B25707" i="2"/>
  <c r="B15873" i="2"/>
  <c r="B18324" i="2"/>
  <c r="B7317" i="2"/>
  <c r="B33226" i="2"/>
  <c r="B19767" i="2"/>
  <c r="B2117" i="2"/>
  <c r="B33565" i="2"/>
  <c r="B29121" i="2"/>
  <c r="B19310" i="2"/>
  <c r="B26025" i="2"/>
  <c r="B9973" i="2"/>
  <c r="B24864" i="2"/>
  <c r="B15026" i="2"/>
  <c r="B28576" i="2"/>
  <c r="B21305" i="2"/>
  <c r="B5232" i="2"/>
  <c r="B32790" i="2"/>
  <c r="B15828" i="2"/>
  <c r="B15807" i="2"/>
  <c r="B36299" i="2"/>
  <c r="B146" i="2"/>
  <c r="B6166" i="2"/>
  <c r="B18393" i="2"/>
  <c r="B8023" i="2"/>
  <c r="B33223" i="2"/>
  <c r="B20593" i="2"/>
  <c r="B17135" i="2"/>
  <c r="B12592" i="2"/>
  <c r="B36201" i="2"/>
  <c r="B24141" i="2"/>
  <c r="B15909" i="2"/>
  <c r="B5601" i="2"/>
  <c r="B153" i="2"/>
  <c r="B20026" i="2"/>
  <c r="B33331" i="2"/>
  <c r="B3159" i="2"/>
  <c r="B32395" i="2"/>
  <c r="B13193" i="2"/>
  <c r="B30360" i="2"/>
  <c r="B27634" i="2"/>
  <c r="B26028" i="2"/>
  <c r="B9669" i="2"/>
  <c r="B6108" i="2"/>
  <c r="B32042" i="2"/>
  <c r="B3481" i="2"/>
  <c r="B8881" i="2"/>
  <c r="B30748" i="2"/>
  <c r="B28169" i="2"/>
  <c r="B16325" i="2"/>
  <c r="B3190" i="2"/>
  <c r="B31595" i="2"/>
  <c r="B32070" i="2"/>
  <c r="B32981" i="2"/>
  <c r="B31693" i="2"/>
  <c r="B2545" i="2"/>
  <c r="B31364" i="2"/>
  <c r="B15907" i="2"/>
  <c r="B15103" i="2"/>
  <c r="B4601" i="2"/>
  <c r="B31781" i="2"/>
  <c r="B13074" i="2"/>
  <c r="B1226" i="2"/>
  <c r="B7618" i="2"/>
  <c r="B31714" i="2"/>
  <c r="B24239" i="2"/>
  <c r="B11458" i="2"/>
  <c r="B29739" i="2"/>
  <c r="B31587" i="2"/>
  <c r="B25857" i="2"/>
  <c r="B1310" i="2"/>
  <c r="B7844" i="2"/>
  <c r="B2808" i="2"/>
  <c r="B25126" i="2"/>
  <c r="B33268" i="2"/>
  <c r="B17287" i="2"/>
  <c r="B25700" i="2"/>
  <c r="B23229" i="2"/>
  <c r="B11858" i="2"/>
  <c r="B25836" i="2"/>
  <c r="B22935" i="2"/>
  <c r="B29377" i="2"/>
  <c r="B33745" i="2"/>
  <c r="B26840" i="2"/>
  <c r="B35763" i="2"/>
  <c r="B33100" i="2"/>
  <c r="B5985" i="2"/>
  <c r="B35975" i="2"/>
  <c r="B26394" i="2"/>
  <c r="B26862" i="2"/>
  <c r="B8247" i="2"/>
  <c r="B12872" i="2"/>
  <c r="B16435" i="2"/>
  <c r="B13159" i="2"/>
  <c r="B2855" i="2"/>
  <c r="B12635" i="2"/>
  <c r="B17808" i="2"/>
  <c r="B1866" i="2"/>
  <c r="B29196" i="2"/>
  <c r="B15398" i="2"/>
  <c r="B36135" i="2"/>
  <c r="B32815" i="2"/>
  <c r="B20709" i="2"/>
  <c r="B21604" i="2"/>
  <c r="B25234" i="2"/>
  <c r="B30389" i="2"/>
  <c r="B16834" i="2"/>
  <c r="B33140" i="2"/>
  <c r="B33022" i="2"/>
  <c r="B7288" i="2"/>
  <c r="B23004" i="2"/>
  <c r="B2266" i="2"/>
  <c r="B25473" i="2"/>
  <c r="B20895" i="2"/>
  <c r="B35159" i="2"/>
  <c r="B27751" i="2"/>
  <c r="B34199" i="2"/>
  <c r="B31559" i="2"/>
  <c r="B28214" i="2"/>
  <c r="B24626" i="2"/>
  <c r="B33045" i="2"/>
  <c r="B27561" i="2"/>
  <c r="B20611" i="2"/>
  <c r="B2375" i="2"/>
  <c r="B21472" i="2"/>
  <c r="B19652" i="2"/>
  <c r="B21123" i="2"/>
  <c r="B34856" i="2"/>
  <c r="B33164" i="2"/>
  <c r="B1033" i="2"/>
  <c r="B33043" i="2"/>
  <c r="B11805" i="2"/>
  <c r="B13397" i="2"/>
  <c r="B27517" i="2"/>
  <c r="B12418" i="2"/>
  <c r="B16732" i="2"/>
  <c r="B24329" i="2"/>
  <c r="B10597" i="2"/>
  <c r="B17077" i="2"/>
  <c r="B35851" i="2"/>
  <c r="B8234" i="2"/>
  <c r="B31577" i="2"/>
  <c r="B4638" i="2"/>
  <c r="B6579" i="2"/>
  <c r="B31341" i="2"/>
  <c r="B7688" i="2"/>
  <c r="B32478" i="2"/>
  <c r="B35819" i="2"/>
  <c r="B10642" i="2"/>
  <c r="B21003" i="2"/>
  <c r="B31475" i="2"/>
  <c r="B35996" i="2"/>
  <c r="B24815" i="2"/>
  <c r="B24539" i="2"/>
  <c r="B34115" i="2"/>
  <c r="B4631" i="2"/>
  <c r="B16487" i="2"/>
  <c r="B4051" i="2"/>
  <c r="B25371" i="2"/>
  <c r="B7841" i="2"/>
  <c r="B4685" i="2"/>
  <c r="B8757" i="2"/>
  <c r="B16286" i="2"/>
  <c r="B31698" i="2"/>
  <c r="B33301" i="2"/>
  <c r="B19739" i="2"/>
  <c r="B7310" i="2"/>
  <c r="B26965" i="2"/>
  <c r="B18303" i="2"/>
  <c r="B31053" i="2"/>
  <c r="B27694" i="2"/>
  <c r="B32361" i="2"/>
  <c r="B36142" i="2"/>
  <c r="B8504" i="2"/>
  <c r="B31371" i="2"/>
  <c r="B29424" i="2"/>
  <c r="B20757" i="2"/>
  <c r="B4029" i="2"/>
  <c r="B30253" i="2"/>
  <c r="B28278" i="2"/>
  <c r="B19338" i="2"/>
  <c r="B31448" i="2"/>
  <c r="B35596" i="2"/>
  <c r="B3164" i="2"/>
  <c r="B23090" i="2"/>
  <c r="B6608" i="2"/>
  <c r="B31866" i="2"/>
  <c r="B23226" i="2"/>
  <c r="B19532" i="2"/>
  <c r="B35799" i="2"/>
  <c r="B2234" i="2"/>
  <c r="B35808" i="2"/>
  <c r="B13005" i="2"/>
  <c r="B17044" i="2"/>
  <c r="B31708" i="2"/>
  <c r="B31356" i="2"/>
  <c r="B2692" i="2"/>
  <c r="B5719" i="2"/>
  <c r="B19616" i="2"/>
  <c r="B4268" i="2"/>
  <c r="B34725" i="2"/>
  <c r="B32546" i="2"/>
  <c r="B34694" i="2"/>
  <c r="B31318" i="2"/>
  <c r="B6015" i="2"/>
  <c r="B2613" i="2"/>
  <c r="B20473" i="2"/>
  <c r="B6740" i="2"/>
  <c r="B13238" i="2"/>
  <c r="B21033" i="2"/>
  <c r="B5902" i="2"/>
  <c r="B29512" i="2"/>
  <c r="B16572" i="2"/>
  <c r="B5538" i="2"/>
  <c r="B2717" i="2"/>
  <c r="B3740" i="2"/>
  <c r="B8265" i="2"/>
  <c r="B14869" i="2"/>
  <c r="B20054" i="2"/>
  <c r="B321" i="2"/>
  <c r="B13970" i="2"/>
  <c r="B22545" i="2"/>
  <c r="B13912" i="2"/>
  <c r="B14290" i="2"/>
  <c r="B20500" i="2"/>
  <c r="B13503" i="2"/>
  <c r="B31605" i="2"/>
  <c r="B15719" i="2"/>
  <c r="B20175" i="2"/>
  <c r="B31812" i="2"/>
  <c r="B4807" i="2"/>
  <c r="B19982" i="2"/>
  <c r="B31265" i="2"/>
  <c r="B28537" i="2"/>
  <c r="B3614" i="2"/>
  <c r="B30294" i="2"/>
  <c r="B25428" i="2"/>
  <c r="B32837" i="2"/>
  <c r="B31502" i="2"/>
  <c r="B36197" i="2"/>
  <c r="B11045" i="2"/>
  <c r="B17496" i="2"/>
  <c r="B21031" i="2"/>
  <c r="B2055" i="2"/>
  <c r="B14209" i="2"/>
  <c r="B13935" i="2"/>
  <c r="B28131" i="2"/>
  <c r="B32022" i="2"/>
  <c r="B23390" i="2"/>
  <c r="B13" i="2"/>
  <c r="B29902" i="2"/>
  <c r="B14810" i="2"/>
  <c r="B15632" i="2"/>
  <c r="B2203" i="2"/>
  <c r="B19115" i="2"/>
  <c r="B16068" i="2"/>
  <c r="B11084" i="2"/>
  <c r="B27747" i="2"/>
  <c r="B1382" i="2"/>
  <c r="B24400" i="2"/>
  <c r="B30206" i="2"/>
  <c r="B33508" i="2"/>
  <c r="B31771" i="2"/>
  <c r="B1114" i="2"/>
  <c r="B14827" i="2"/>
  <c r="B11357" i="2"/>
  <c r="B19648" i="2"/>
  <c r="B35747" i="2"/>
  <c r="B7267" i="2"/>
  <c r="B31775" i="2"/>
  <c r="B22312" i="2"/>
  <c r="B30922" i="2"/>
  <c r="B33464" i="2"/>
  <c r="B8997" i="2"/>
  <c r="B31489" i="2"/>
  <c r="B126" i="2"/>
  <c r="B20101" i="2"/>
  <c r="B14088" i="2"/>
  <c r="B3758" i="2"/>
  <c r="B338" i="2"/>
  <c r="B7774" i="2"/>
  <c r="B14779" i="2"/>
  <c r="B172" i="2"/>
  <c r="B18314" i="2"/>
  <c r="B26716" i="2"/>
  <c r="B14864" i="2"/>
  <c r="B25143" i="2"/>
  <c r="B28600" i="2"/>
  <c r="B12375" i="2"/>
  <c r="B23803" i="2"/>
  <c r="B8892" i="2"/>
  <c r="B22906" i="2"/>
  <c r="B796" i="2"/>
  <c r="B33934" i="2"/>
  <c r="B12705" i="2"/>
  <c r="B23547" i="2"/>
  <c r="B16279" i="2"/>
  <c r="B30642" i="2"/>
  <c r="B25464" i="2"/>
  <c r="B13488" i="2"/>
  <c r="B23968" i="2"/>
  <c r="B30437" i="2"/>
  <c r="B18625" i="2"/>
  <c r="B1976" i="2"/>
  <c r="B20034" i="2"/>
  <c r="B4841" i="2"/>
  <c r="B6285" i="2"/>
  <c r="B18153" i="2"/>
  <c r="B24538" i="2"/>
  <c r="B21885" i="2"/>
  <c r="B6639" i="2"/>
  <c r="B35192" i="2"/>
  <c r="B30176" i="2"/>
  <c r="B3604" i="2"/>
  <c r="B28465" i="2"/>
  <c r="B23708" i="2"/>
  <c r="B1049" i="2"/>
  <c r="B28268" i="2"/>
  <c r="B12806" i="2"/>
  <c r="B8293" i="2"/>
  <c r="B19232" i="2"/>
  <c r="B15344" i="2"/>
  <c r="B6556" i="2"/>
  <c r="B22729" i="2"/>
  <c r="B20470" i="2"/>
  <c r="B8277" i="2"/>
  <c r="B27886" i="2"/>
  <c r="B18423" i="2"/>
  <c r="B35489" i="2"/>
  <c r="B12919" i="2"/>
  <c r="B11379" i="2"/>
  <c r="B8117" i="2"/>
  <c r="B20326" i="2"/>
  <c r="B24453" i="2"/>
  <c r="B7943" i="2"/>
  <c r="B15551" i="2"/>
  <c r="B15303" i="2"/>
  <c r="B13491" i="2"/>
  <c r="B24581" i="2"/>
  <c r="B31632" i="2"/>
  <c r="B16990" i="2"/>
  <c r="B13531" i="2"/>
  <c r="B6812" i="2"/>
  <c r="B20935" i="2"/>
  <c r="B12298" i="2"/>
  <c r="B10496" i="2"/>
  <c r="B25648" i="2"/>
  <c r="B17075" i="2"/>
  <c r="B20750" i="2"/>
  <c r="B21279" i="2"/>
  <c r="B8509" i="2"/>
  <c r="B7731" i="2"/>
  <c r="B2651" i="2"/>
  <c r="B9583" i="2"/>
  <c r="B32719" i="2"/>
  <c r="B1545" i="2"/>
  <c r="B27484" i="2"/>
  <c r="B6328" i="2"/>
  <c r="B5452" i="2"/>
  <c r="B9921" i="2"/>
  <c r="B25076" i="2"/>
  <c r="B22708" i="2"/>
  <c r="B29357" i="2"/>
  <c r="B19050" i="2"/>
  <c r="B4584" i="2"/>
  <c r="B6756" i="2"/>
  <c r="B32945" i="2"/>
  <c r="B6972" i="2"/>
  <c r="B36152" i="2"/>
  <c r="B29753" i="2"/>
  <c r="B7224" i="2"/>
  <c r="B13400" i="2"/>
  <c r="B20879" i="2"/>
  <c r="B777" i="2"/>
  <c r="B4226" i="2"/>
  <c r="B8506" i="2"/>
  <c r="B18980" i="2"/>
  <c r="B1669" i="2"/>
  <c r="B36272" i="2"/>
  <c r="B17664" i="2"/>
  <c r="B33101" i="2"/>
  <c r="B22675" i="2"/>
  <c r="B36166" i="2"/>
  <c r="B9738" i="2"/>
  <c r="B34230" i="2"/>
  <c r="B6552" i="2"/>
  <c r="B8048" i="2"/>
  <c r="B12512" i="2"/>
  <c r="B34136" i="2"/>
  <c r="B25049" i="2"/>
  <c r="B8712" i="2"/>
  <c r="B26446" i="2"/>
  <c r="B24382" i="2"/>
  <c r="B11654" i="2"/>
  <c r="B31699" i="2"/>
  <c r="B11196" i="2"/>
  <c r="B10917" i="2"/>
  <c r="B9939" i="2"/>
  <c r="B2788" i="2"/>
  <c r="B26288" i="2"/>
  <c r="B1710" i="2"/>
  <c r="B24301" i="2"/>
  <c r="B33506" i="2"/>
  <c r="B15871" i="2"/>
  <c r="B13938" i="2"/>
  <c r="B8440" i="2"/>
  <c r="B11010" i="2"/>
  <c r="B7431" i="2"/>
  <c r="B17675" i="2"/>
  <c r="B26181" i="2"/>
  <c r="B32157" i="2"/>
  <c r="B8017" i="2"/>
  <c r="B22691" i="2"/>
  <c r="B10855" i="2"/>
  <c r="B3658" i="2"/>
  <c r="B6449" i="2"/>
  <c r="B7656" i="2"/>
  <c r="B23459" i="2"/>
  <c r="B8748" i="2"/>
  <c r="B34202" i="2"/>
  <c r="B32052" i="2"/>
  <c r="B30849" i="2"/>
  <c r="B18052" i="2"/>
  <c r="B16230" i="2"/>
  <c r="B2591" i="2"/>
  <c r="B22524" i="2"/>
  <c r="B11975" i="2"/>
  <c r="B35365" i="2"/>
  <c r="B22129" i="2"/>
  <c r="B26192" i="2"/>
  <c r="B26584" i="2"/>
  <c r="B33308" i="2"/>
  <c r="B15913" i="2"/>
  <c r="B26855" i="2"/>
  <c r="B20920" i="2"/>
  <c r="B26837" i="2"/>
  <c r="B5731" i="2"/>
  <c r="B31834" i="2"/>
  <c r="B1306" i="2"/>
  <c r="B7552" i="2"/>
  <c r="B33364" i="2"/>
  <c r="B8482" i="2"/>
  <c r="B12146" i="2"/>
  <c r="B21392" i="2"/>
  <c r="B29054" i="2"/>
  <c r="B22959" i="2"/>
  <c r="B27828" i="2"/>
  <c r="B31287" i="2"/>
  <c r="B36139" i="2"/>
  <c r="B13314" i="2"/>
  <c r="B9781" i="2"/>
  <c r="B15081" i="2"/>
  <c r="B3221" i="2"/>
  <c r="B1845" i="2"/>
  <c r="B23130" i="2"/>
  <c r="B29245" i="2"/>
  <c r="B33152" i="2"/>
  <c r="B11508" i="2"/>
  <c r="B4942" i="2"/>
  <c r="B8699" i="2"/>
  <c r="B36086" i="2"/>
  <c r="B2817" i="2"/>
  <c r="B7973" i="2"/>
  <c r="B34529" i="2"/>
  <c r="B36371" i="2"/>
  <c r="B30926" i="2"/>
  <c r="B19250" i="2"/>
  <c r="B3768" i="2"/>
  <c r="B32703" i="2"/>
  <c r="B14271" i="2"/>
  <c r="B15152" i="2"/>
  <c r="B8656" i="2"/>
  <c r="B9247" i="2"/>
  <c r="B30490" i="2"/>
  <c r="B32472" i="2"/>
  <c r="B30388" i="2"/>
  <c r="B18037" i="2"/>
  <c r="B10512" i="2"/>
  <c r="B16616" i="2"/>
  <c r="B35683" i="2"/>
  <c r="B2249" i="2"/>
  <c r="B11804" i="2"/>
  <c r="B208" i="2"/>
  <c r="B8760" i="2"/>
  <c r="B1818" i="2"/>
  <c r="B16633" i="2"/>
  <c r="B27664" i="2"/>
  <c r="B11810" i="2"/>
  <c r="B3663" i="2"/>
  <c r="B10015" i="2"/>
  <c r="B34934" i="2"/>
  <c r="B11469" i="2"/>
  <c r="B35710" i="2"/>
  <c r="B27416" i="2"/>
  <c r="B7686" i="2"/>
  <c r="B18053" i="2"/>
  <c r="B29882" i="2"/>
  <c r="B32868" i="2"/>
  <c r="B3975" i="2"/>
  <c r="B26585" i="2"/>
  <c r="B27925" i="2"/>
  <c r="B29520" i="2"/>
  <c r="B16264" i="2"/>
  <c r="B8410" i="2"/>
  <c r="B7817" i="2"/>
  <c r="B32669" i="2"/>
  <c r="B804" i="2"/>
  <c r="B21211" i="2"/>
  <c r="B28613" i="2"/>
  <c r="B4875" i="2"/>
  <c r="B30800" i="2"/>
  <c r="B30081" i="2"/>
  <c r="B30005" i="2"/>
  <c r="B32892" i="2"/>
  <c r="B3398" i="2"/>
  <c r="B26234" i="2"/>
  <c r="B8663" i="2"/>
  <c r="B27931" i="2"/>
  <c r="B12200" i="2"/>
  <c r="B29612" i="2"/>
  <c r="B19426" i="2"/>
  <c r="B30116" i="2"/>
  <c r="B14746" i="2"/>
  <c r="B11228" i="2"/>
  <c r="B28915" i="2"/>
  <c r="B9091" i="2"/>
  <c r="B6383" i="2"/>
  <c r="B35714" i="2"/>
  <c r="B27914" i="2"/>
  <c r="B32131" i="2"/>
  <c r="B13211" i="2"/>
  <c r="B2469" i="2"/>
  <c r="B34777" i="2"/>
  <c r="B36106" i="2"/>
  <c r="B30302" i="2"/>
  <c r="B27250" i="2"/>
  <c r="B10545" i="2"/>
  <c r="B1380" i="2"/>
  <c r="B364" i="2"/>
  <c r="B34455" i="2"/>
  <c r="B26684" i="2"/>
  <c r="B4765" i="2"/>
  <c r="B35477" i="2"/>
  <c r="B19141" i="2"/>
  <c r="B27781" i="2"/>
  <c r="B30501" i="2"/>
  <c r="B28820" i="2"/>
  <c r="B23030" i="2"/>
  <c r="B36196" i="2"/>
  <c r="B26179" i="2"/>
  <c r="B9843" i="2"/>
  <c r="B961" i="2"/>
  <c r="B28471" i="2"/>
  <c r="B34695" i="2"/>
  <c r="B3036" i="2"/>
  <c r="B25391" i="2"/>
  <c r="B6014" i="2"/>
  <c r="B6208" i="2"/>
  <c r="B9051" i="2"/>
  <c r="B6220" i="2"/>
  <c r="B6275" i="2"/>
  <c r="B30879" i="2"/>
  <c r="B21841" i="2"/>
  <c r="B15949" i="2"/>
  <c r="B10165" i="2"/>
  <c r="B3820" i="2"/>
  <c r="B27970" i="2"/>
  <c r="B35607" i="2"/>
  <c r="B25360" i="2"/>
  <c r="B5817" i="2"/>
  <c r="B27566" i="2"/>
  <c r="B13789" i="2"/>
  <c r="B15894" i="2"/>
  <c r="B33437" i="2"/>
  <c r="B10470" i="2"/>
  <c r="B6339" i="2"/>
  <c r="B351" i="2"/>
  <c r="B15156" i="2"/>
  <c r="B7881" i="2"/>
  <c r="B7389" i="2"/>
  <c r="B29872" i="2"/>
  <c r="B19213" i="2"/>
  <c r="B6227" i="2"/>
  <c r="B13209" i="2"/>
  <c r="B18075" i="2"/>
  <c r="B29414" i="2"/>
  <c r="B11476" i="2"/>
  <c r="B12786" i="2"/>
  <c r="B841" i="2"/>
  <c r="B21222" i="2"/>
  <c r="B22745" i="2"/>
  <c r="B20552" i="2"/>
  <c r="B2686" i="2"/>
  <c r="B3037" i="2"/>
  <c r="B1563" i="2"/>
  <c r="B1858" i="2"/>
  <c r="B22853" i="2"/>
  <c r="B35438" i="2"/>
  <c r="B9587" i="2"/>
  <c r="B7787" i="2"/>
  <c r="B263" i="2"/>
  <c r="B17046" i="2"/>
  <c r="B34094" i="2"/>
  <c r="B12739" i="2"/>
  <c r="B12752" i="2"/>
  <c r="B30479" i="2"/>
  <c r="B30837" i="2"/>
  <c r="B24189" i="2"/>
  <c r="B32904" i="2"/>
  <c r="B9438" i="2"/>
  <c r="B8971" i="2"/>
  <c r="B8408" i="2"/>
  <c r="B22750" i="2"/>
  <c r="B33435" i="2"/>
  <c r="B33405" i="2"/>
  <c r="B7049" i="2"/>
  <c r="B33107" i="2"/>
  <c r="B23884" i="2"/>
  <c r="B30823" i="2"/>
  <c r="B1142" i="2"/>
  <c r="B15370" i="2"/>
  <c r="B7946" i="2"/>
  <c r="B6652" i="2"/>
  <c r="B25174" i="2"/>
  <c r="B2699" i="2"/>
  <c r="B32931" i="2"/>
  <c r="B6764" i="2"/>
  <c r="B26882" i="2"/>
  <c r="B34257" i="2"/>
  <c r="B25364" i="2"/>
  <c r="B5552" i="2"/>
  <c r="B7394" i="2"/>
  <c r="B9346" i="2"/>
  <c r="B33147" i="2"/>
  <c r="B4611" i="2"/>
  <c r="B31847" i="2"/>
  <c r="B7028" i="2"/>
  <c r="B19204" i="2"/>
  <c r="B27281" i="2"/>
  <c r="B16663" i="2"/>
  <c r="B5848" i="2"/>
  <c r="B25980" i="2"/>
  <c r="B6146" i="2"/>
  <c r="B22276" i="2"/>
  <c r="B1208" i="2"/>
  <c r="B15788" i="2"/>
  <c r="B22726" i="2"/>
  <c r="B29313" i="2"/>
  <c r="B8204" i="2"/>
  <c r="B23241" i="2"/>
  <c r="B5522" i="2"/>
  <c r="B7602" i="2"/>
  <c r="B13915" i="2"/>
  <c r="B22728" i="2"/>
  <c r="B22185" i="2"/>
  <c r="B6030" i="2"/>
  <c r="B7354" i="2"/>
  <c r="B17756" i="2"/>
  <c r="B21606" i="2"/>
  <c r="B25470" i="2"/>
  <c r="B25555" i="2"/>
  <c r="B24696" i="2"/>
  <c r="B8966" i="2"/>
  <c r="B35222" i="2"/>
  <c r="B34401" i="2"/>
  <c r="B33500" i="2"/>
  <c r="B6949" i="2"/>
  <c r="B36344" i="2"/>
  <c r="B33366" i="2"/>
  <c r="B31730" i="2"/>
  <c r="B14530" i="2"/>
  <c r="B9452" i="2"/>
  <c r="B13194" i="2"/>
  <c r="B31862" i="2"/>
  <c r="B22297" i="2"/>
  <c r="B12065" i="2"/>
  <c r="B4629" i="2"/>
  <c r="B7100" i="2"/>
  <c r="B24807" i="2"/>
  <c r="B30834" i="2"/>
  <c r="B31867" i="2"/>
  <c r="B22653" i="2"/>
  <c r="B8196" i="2"/>
  <c r="B26075" i="2"/>
  <c r="B27175" i="2"/>
  <c r="B17063" i="2"/>
  <c r="B17058" i="2"/>
  <c r="B12379" i="2"/>
  <c r="B6592" i="2"/>
  <c r="B9034" i="2"/>
  <c r="B14812" i="2"/>
  <c r="B30265" i="2"/>
  <c r="B4487" i="2"/>
  <c r="B35424" i="2"/>
  <c r="B12150" i="2"/>
  <c r="B23952" i="2"/>
  <c r="B10121" i="2"/>
  <c r="B34254" i="2"/>
  <c r="B8422" i="2"/>
  <c r="B18277" i="2"/>
  <c r="B16767" i="2"/>
  <c r="B29690" i="2"/>
  <c r="B4380" i="2"/>
  <c r="B23202" i="2"/>
  <c r="B29912" i="2"/>
  <c r="B13991" i="2"/>
  <c r="B7080" i="2"/>
  <c r="B8107" i="2"/>
  <c r="B33445" i="2"/>
  <c r="B7331" i="2"/>
  <c r="B26361" i="2"/>
  <c r="B8429" i="2"/>
  <c r="B8600" i="2"/>
  <c r="B17119" i="2"/>
  <c r="B6747" i="2"/>
  <c r="B27388" i="2"/>
  <c r="B25681" i="2"/>
  <c r="B780" i="2"/>
  <c r="B22735" i="2"/>
  <c r="B33293" i="2"/>
  <c r="B25341" i="2"/>
  <c r="B27311" i="2"/>
  <c r="B6632" i="2"/>
  <c r="B31171" i="2"/>
  <c r="B8069" i="2"/>
  <c r="B24449" i="2"/>
  <c r="B12026" i="2"/>
  <c r="B34919" i="2"/>
  <c r="B14536" i="2"/>
  <c r="B23213" i="2"/>
  <c r="B4304" i="2"/>
  <c r="B5060" i="2"/>
  <c r="B1637" i="2"/>
  <c r="B9437" i="2"/>
  <c r="B26790" i="2"/>
  <c r="B31754" i="2"/>
  <c r="B33382" i="2"/>
  <c r="B7111" i="2"/>
  <c r="B6795" i="2"/>
  <c r="B26717" i="2"/>
  <c r="B13933" i="2"/>
  <c r="B6549" i="2"/>
  <c r="B31856" i="2"/>
  <c r="B4318" i="2"/>
  <c r="B2534" i="2"/>
  <c r="B23325" i="2"/>
  <c r="B33229" i="2"/>
  <c r="B27493" i="2"/>
  <c r="B1821" i="2"/>
  <c r="B9366" i="2"/>
  <c r="B6922" i="2"/>
  <c r="B9323" i="2"/>
  <c r="B2023" i="2"/>
  <c r="B5440" i="2"/>
  <c r="B5450" i="2"/>
  <c r="B24642" i="2"/>
  <c r="B5667" i="2"/>
  <c r="B8556" i="2"/>
  <c r="B28051" i="2"/>
  <c r="B7497" i="2"/>
  <c r="B24681" i="2"/>
  <c r="B7635" i="2"/>
  <c r="B6536" i="2"/>
  <c r="B23506" i="2"/>
  <c r="B14146" i="2"/>
  <c r="B6920" i="2"/>
  <c r="B5094" i="2"/>
  <c r="B8835" i="2"/>
  <c r="B10175" i="2"/>
  <c r="B15958" i="2"/>
  <c r="B24313" i="2"/>
  <c r="B17052" i="2"/>
  <c r="B6194" i="2"/>
  <c r="B22754" i="2"/>
  <c r="B8933" i="2"/>
  <c r="B7305" i="2"/>
  <c r="B5425" i="2"/>
  <c r="B17377" i="2"/>
  <c r="B17440" i="2"/>
  <c r="B5223" i="2"/>
  <c r="B9411" i="2"/>
  <c r="B230" i="2"/>
  <c r="B19928" i="2"/>
  <c r="B36269" i="2"/>
  <c r="B32240" i="2"/>
  <c r="B271" i="2"/>
  <c r="B10164" i="2"/>
  <c r="B33973" i="2"/>
  <c r="B28893" i="2"/>
  <c r="B17442" i="2"/>
  <c r="B5245" i="2"/>
  <c r="B15218" i="2"/>
  <c r="B10529" i="2"/>
  <c r="B28055" i="2"/>
  <c r="B8138" i="2"/>
  <c r="B27859" i="2"/>
  <c r="B34758" i="2"/>
  <c r="B27881" i="2"/>
  <c r="B12838" i="2"/>
  <c r="B34024" i="2"/>
  <c r="B31096" i="2"/>
  <c r="B31022" i="2"/>
  <c r="B1809" i="2"/>
  <c r="B21629" i="2"/>
  <c r="B102" i="2"/>
  <c r="B10192" i="2"/>
  <c r="B5556" i="2"/>
  <c r="B25791" i="2"/>
  <c r="B3717" i="2"/>
  <c r="B13127" i="2"/>
  <c r="B19561" i="2"/>
  <c r="B7527" i="2"/>
  <c r="B32113" i="2"/>
  <c r="B25274" i="2"/>
  <c r="B28950" i="2"/>
  <c r="B8512" i="2"/>
  <c r="B3138" i="2"/>
  <c r="B17500" i="2"/>
  <c r="B4033" i="2"/>
  <c r="B28172" i="2"/>
  <c r="B29126" i="2"/>
  <c r="B22696" i="2"/>
  <c r="B2781" i="2"/>
  <c r="B34799" i="2"/>
  <c r="B681" i="2"/>
  <c r="B22383" i="2"/>
  <c r="B11393" i="2"/>
  <c r="B33407" i="2"/>
  <c r="B13338" i="2"/>
  <c r="B7234" i="2"/>
  <c r="B6105" i="2"/>
  <c r="B25577" i="2"/>
  <c r="B13243" i="2"/>
  <c r="B36340" i="2"/>
  <c r="B3897" i="2"/>
  <c r="B12579" i="2"/>
  <c r="B23069" i="2"/>
  <c r="B33306" i="2"/>
  <c r="B4606" i="2"/>
  <c r="B19257" i="2"/>
  <c r="B7083" i="2"/>
  <c r="B22969" i="2"/>
  <c r="B16776" i="2"/>
  <c r="B31376" i="2"/>
  <c r="B17330" i="2"/>
  <c r="B1867" i="2"/>
  <c r="B5676" i="2"/>
  <c r="B17264" i="2"/>
  <c r="B20728" i="2"/>
  <c r="B3902" i="2"/>
  <c r="B13280" i="2"/>
  <c r="B5940" i="2"/>
  <c r="B5438" i="2"/>
  <c r="B33102" i="2"/>
  <c r="B23546" i="2"/>
  <c r="B4149" i="2"/>
  <c r="B23894" i="2"/>
  <c r="B25670" i="2"/>
  <c r="B7103" i="2"/>
  <c r="B33243" i="2"/>
  <c r="B33118" i="2"/>
  <c r="B36153" i="2"/>
  <c r="B7735" i="2"/>
  <c r="B24948" i="2"/>
  <c r="B9014" i="2"/>
  <c r="B33305" i="2"/>
  <c r="B32936" i="2"/>
  <c r="B22455" i="2"/>
  <c r="B7227" i="2"/>
  <c r="B8919" i="2"/>
  <c r="B22269" i="2"/>
  <c r="B35950" i="2"/>
  <c r="B8022" i="2"/>
  <c r="B15941" i="2"/>
  <c r="B5340" i="2"/>
  <c r="B24556" i="2"/>
  <c r="B8246" i="2"/>
  <c r="B33400" i="2"/>
  <c r="B20384" i="2"/>
  <c r="B16274" i="2"/>
  <c r="B9752" i="2"/>
  <c r="B10605" i="2"/>
  <c r="B15869" i="2"/>
  <c r="B12691" i="2"/>
  <c r="B10637" i="2"/>
  <c r="B4089" i="2"/>
  <c r="B35064" i="2"/>
  <c r="B30943" i="2"/>
  <c r="B16481" i="2"/>
  <c r="B31083" i="2"/>
  <c r="B27077" i="2"/>
  <c r="B5562" i="2"/>
  <c r="B24549" i="2"/>
  <c r="B20971" i="2"/>
  <c r="B33419" i="2"/>
  <c r="B33098" i="2"/>
  <c r="B35253" i="2"/>
  <c r="B35843" i="2"/>
  <c r="B29197" i="2"/>
  <c r="B21777" i="2"/>
  <c r="B23227" i="2"/>
  <c r="B8528" i="2"/>
  <c r="B14332" i="2"/>
  <c r="B14991" i="2"/>
  <c r="B5549" i="2"/>
  <c r="B12171" i="2"/>
  <c r="B21214" i="2"/>
  <c r="B16012" i="2"/>
  <c r="B14242" i="2"/>
  <c r="B17162" i="2"/>
  <c r="B31921" i="2"/>
  <c r="B27383" i="2"/>
  <c r="B22747" i="2"/>
  <c r="B33740" i="2"/>
  <c r="B10389" i="2"/>
  <c r="B14860" i="2"/>
  <c r="B20731" i="2"/>
  <c r="B36214" i="2"/>
  <c r="B3625" i="2"/>
  <c r="B2529" i="2"/>
  <c r="B29157" i="2"/>
  <c r="B5107" i="2"/>
  <c r="B4019" i="2"/>
  <c r="B24720" i="2"/>
  <c r="B25100" i="2"/>
  <c r="B31840" i="2"/>
  <c r="B6007" i="2"/>
  <c r="B31902" i="2"/>
  <c r="B15338" i="2"/>
  <c r="B32231" i="2"/>
  <c r="B15537" i="2"/>
  <c r="B11656" i="2"/>
  <c r="B25216" i="2"/>
  <c r="B2849" i="2"/>
  <c r="B3907" i="2"/>
  <c r="B28373" i="2"/>
  <c r="B32349" i="2"/>
  <c r="B27661" i="2"/>
  <c r="B19644" i="2"/>
  <c r="B9911" i="2"/>
  <c r="B5708" i="2"/>
  <c r="B32492" i="2"/>
  <c r="B23655" i="2"/>
  <c r="B154" i="2"/>
  <c r="B10023" i="2"/>
  <c r="B31725" i="2"/>
  <c r="B8421" i="2"/>
  <c r="B3100" i="2"/>
  <c r="B10092" i="2"/>
  <c r="B31907" i="2"/>
  <c r="B27429" i="2"/>
  <c r="B17459" i="2"/>
  <c r="B6760" i="2"/>
  <c r="B26705" i="2"/>
  <c r="B5608" i="2"/>
  <c r="B33314" i="2"/>
  <c r="B30157" i="2"/>
  <c r="B12169" i="2"/>
  <c r="B16745" i="2"/>
  <c r="B21646" i="2"/>
  <c r="B16464" i="2"/>
  <c r="B25827" i="2"/>
  <c r="B14484" i="2"/>
  <c r="B14028" i="2"/>
  <c r="B14373" i="2"/>
  <c r="B1768" i="2"/>
  <c r="B27734" i="2"/>
  <c r="B30682" i="2"/>
  <c r="B32429" i="2"/>
  <c r="B23580" i="2"/>
  <c r="B7203" i="2"/>
  <c r="B31795" i="2"/>
  <c r="B18248" i="2"/>
  <c r="B1180" i="2"/>
  <c r="B19147" i="2"/>
  <c r="B26183" i="2"/>
  <c r="B1769" i="2"/>
  <c r="B20509" i="2"/>
  <c r="B21117" i="2"/>
  <c r="B333" i="2"/>
  <c r="B32648" i="2"/>
  <c r="B526" i="2"/>
  <c r="B12993" i="2"/>
  <c r="B3830" i="2"/>
  <c r="B8751" i="2"/>
  <c r="B216" i="2"/>
  <c r="B5712" i="2"/>
  <c r="B6230" i="2"/>
  <c r="B17916" i="2"/>
  <c r="B5885" i="2"/>
  <c r="B27261" i="2"/>
  <c r="B31768" i="2"/>
  <c r="B11231" i="2"/>
  <c r="B21887" i="2"/>
  <c r="B3088" i="2"/>
  <c r="B12836" i="2"/>
  <c r="B31893" i="2"/>
  <c r="B21032" i="2"/>
  <c r="B5930" i="2"/>
  <c r="B29730" i="2"/>
  <c r="B9420" i="2"/>
  <c r="B6538" i="2"/>
  <c r="B27334" i="2"/>
  <c r="B36039" i="2"/>
  <c r="B25976" i="2"/>
  <c r="B13059" i="2"/>
  <c r="B28052" i="2"/>
  <c r="B16945" i="2"/>
  <c r="B23876" i="2"/>
  <c r="B31362" i="2"/>
  <c r="B29284" i="2"/>
  <c r="B32722" i="2"/>
  <c r="B5587" i="2"/>
  <c r="B8640" i="2"/>
  <c r="B20558" i="2"/>
  <c r="B22576" i="2"/>
  <c r="B22671" i="2"/>
  <c r="B7692" i="2"/>
  <c r="B1806" i="2"/>
  <c r="B9453" i="2"/>
  <c r="B3463" i="2"/>
  <c r="B7858" i="2"/>
  <c r="B30554" i="2"/>
  <c r="B33201" i="2"/>
  <c r="B31271" i="2"/>
  <c r="B7798" i="2"/>
  <c r="B16765" i="2"/>
  <c r="B33484" i="2"/>
  <c r="B8522" i="2"/>
  <c r="B25755" i="2"/>
  <c r="B6384" i="2"/>
  <c r="B20574" i="2"/>
  <c r="B7387" i="2"/>
  <c r="B23258" i="2"/>
  <c r="B31414" i="2"/>
  <c r="B30147" i="2"/>
  <c r="B16787" i="2"/>
  <c r="B13268" i="2"/>
  <c r="B31361" i="2"/>
  <c r="B3848" i="2"/>
  <c r="B6844" i="2"/>
  <c r="B5760" i="2"/>
  <c r="B27705" i="2"/>
  <c r="B7862" i="2"/>
  <c r="B32763" i="2"/>
  <c r="B1075" i="2"/>
  <c r="B14420" i="2"/>
  <c r="B17995" i="2"/>
  <c r="B31470" i="2"/>
  <c r="B15888" i="2"/>
  <c r="B22407" i="2"/>
  <c r="B30526" i="2"/>
  <c r="B27127" i="2"/>
  <c r="B12599" i="2"/>
  <c r="B31368" i="2"/>
  <c r="B35766" i="2"/>
  <c r="B24491" i="2"/>
  <c r="B18349" i="2"/>
  <c r="B28377" i="2"/>
  <c r="B31174" i="2"/>
  <c r="B12172" i="2"/>
  <c r="B19234" i="2"/>
  <c r="B5917" i="2"/>
  <c r="B24985" i="2"/>
  <c r="B7668" i="2"/>
  <c r="B7242" i="2"/>
  <c r="B6605" i="2"/>
  <c r="B8580" i="2"/>
  <c r="B23821" i="2"/>
  <c r="B27368" i="2"/>
  <c r="B23468" i="2"/>
  <c r="B29925" i="2"/>
  <c r="B29769" i="2"/>
  <c r="B5498" i="2"/>
  <c r="B2606" i="2"/>
  <c r="B25666" i="2"/>
  <c r="B17398" i="2"/>
  <c r="B14577" i="2"/>
  <c r="B36112" i="2"/>
  <c r="B17064" i="2"/>
  <c r="B31838" i="2"/>
  <c r="B6480" i="2"/>
  <c r="B20222" i="2"/>
  <c r="B20703" i="2"/>
  <c r="B31396" i="2"/>
  <c r="B31541" i="2"/>
  <c r="B30843" i="2"/>
  <c r="B4548" i="2"/>
  <c r="B8847" i="2"/>
  <c r="B31644" i="2"/>
  <c r="B26614" i="2"/>
  <c r="B30033" i="2"/>
  <c r="B25600" i="2"/>
  <c r="B23389" i="2"/>
  <c r="B26271" i="2"/>
  <c r="B9870" i="2"/>
  <c r="B33087" i="2"/>
  <c r="B18589" i="2"/>
  <c r="B25832" i="2"/>
  <c r="B7215" i="2"/>
  <c r="B31900" i="2"/>
  <c r="B1420" i="2"/>
  <c r="B28439" i="2"/>
  <c r="B10666" i="2"/>
  <c r="B9475" i="2"/>
  <c r="B13554" i="2"/>
  <c r="B24889" i="2"/>
  <c r="B8523" i="2"/>
  <c r="B29104" i="2"/>
  <c r="B13841" i="2"/>
  <c r="B14379" i="2"/>
  <c r="B10815" i="2"/>
  <c r="B15842" i="2"/>
  <c r="B7596" i="2"/>
  <c r="B33256" i="2"/>
  <c r="B33183" i="2"/>
  <c r="B27195" i="2"/>
  <c r="B28181" i="2"/>
  <c r="B26563" i="2"/>
  <c r="B33372" i="2"/>
  <c r="B4816" i="2"/>
  <c r="B17178" i="2"/>
  <c r="B31914" i="2"/>
  <c r="B11147" i="2"/>
  <c r="B27239" i="2"/>
  <c r="B915" i="2"/>
  <c r="B1066" i="2"/>
  <c r="B7789" i="2"/>
  <c r="B32177" i="2"/>
  <c r="B25948" i="2"/>
  <c r="B28844" i="2"/>
  <c r="B4766" i="2"/>
  <c r="B28193" i="2"/>
  <c r="B31774" i="2"/>
  <c r="B16752" i="2"/>
  <c r="B31321" i="2"/>
  <c r="B31351" i="2"/>
  <c r="B3324" i="2"/>
  <c r="B15005" i="2"/>
  <c r="B14221" i="2"/>
  <c r="B32439" i="2"/>
  <c r="B13190" i="2"/>
  <c r="B9312" i="2"/>
  <c r="B31558" i="2"/>
  <c r="B31930" i="2"/>
  <c r="B29873" i="2"/>
  <c r="B8566" i="2"/>
  <c r="B25721" i="2"/>
  <c r="B29148" i="2"/>
  <c r="B31697" i="2"/>
  <c r="B9603" i="2"/>
  <c r="B27975" i="2"/>
  <c r="B7463" i="2"/>
  <c r="B15611" i="2"/>
  <c r="B8235" i="2"/>
  <c r="B27467" i="2"/>
  <c r="B32165" i="2"/>
  <c r="B6884" i="2"/>
  <c r="B13339" i="2"/>
  <c r="B8248" i="2"/>
  <c r="B22901" i="2"/>
  <c r="B2739" i="2"/>
  <c r="B24704" i="2"/>
  <c r="B27377" i="2"/>
  <c r="B31120" i="2"/>
  <c r="B995" i="2"/>
  <c r="B2522" i="2"/>
  <c r="B20681" i="2"/>
  <c r="B32406" i="2"/>
  <c r="B23746" i="2"/>
  <c r="B23187" i="2"/>
  <c r="B25238" i="2"/>
  <c r="B7802" i="2"/>
  <c r="B23265" i="2"/>
  <c r="B24109" i="2"/>
  <c r="B23157" i="2"/>
  <c r="B33429" i="2"/>
  <c r="B25940" i="2"/>
  <c r="B2813" i="2"/>
  <c r="B36023" i="2"/>
  <c r="B3380" i="2"/>
  <c r="B7060" i="2"/>
  <c r="B31416" i="2"/>
  <c r="B15177" i="2"/>
  <c r="B3686" i="2"/>
  <c r="B8820" i="2"/>
  <c r="B21565" i="2"/>
  <c r="B31988" i="2"/>
  <c r="B31370" i="2"/>
  <c r="B8883" i="2"/>
  <c r="B22529" i="2"/>
  <c r="B17592" i="2"/>
  <c r="B33439" i="2"/>
  <c r="B13058" i="2"/>
  <c r="B3287" i="2"/>
  <c r="B17915" i="2"/>
  <c r="B27108" i="2"/>
  <c r="B10304" i="2"/>
  <c r="B18845" i="2"/>
  <c r="B18811" i="2"/>
  <c r="B5251" i="2"/>
  <c r="B4054" i="2"/>
  <c r="B36203" i="2"/>
  <c r="B11844" i="2"/>
  <c r="B20227" i="2"/>
  <c r="B165" i="2"/>
  <c r="B31431" i="2"/>
  <c r="B2116" i="2"/>
  <c r="B8335" i="2"/>
  <c r="B5036" i="2"/>
  <c r="B15409" i="2"/>
  <c r="B8932" i="2"/>
  <c r="B6456" i="2"/>
  <c r="B30604" i="2"/>
  <c r="B24809" i="2"/>
  <c r="B1749" i="2"/>
  <c r="B2608" i="2"/>
  <c r="B25148" i="2"/>
  <c r="B22620" i="2"/>
  <c r="B2784" i="2"/>
  <c r="B19156" i="2"/>
  <c r="B33273" i="2"/>
  <c r="B31642" i="2"/>
  <c r="B36177" i="2"/>
  <c r="B31801" i="2"/>
  <c r="B13232" i="2"/>
  <c r="B21147" i="2"/>
  <c r="B20356" i="2"/>
  <c r="B9214" i="2"/>
  <c r="B6526" i="2"/>
  <c r="B4713" i="2"/>
  <c r="B31614" i="2"/>
  <c r="B31344" i="2"/>
  <c r="B8089" i="2"/>
  <c r="B31495" i="2"/>
  <c r="B12107" i="2"/>
  <c r="B15216" i="2"/>
  <c r="B36085" i="2"/>
  <c r="B4783" i="2"/>
  <c r="B31534" i="2"/>
  <c r="B10010" i="2"/>
  <c r="B30021" i="2"/>
  <c r="B4524" i="2"/>
  <c r="B18952" i="2"/>
  <c r="B1187" i="2"/>
  <c r="B30668" i="2"/>
  <c r="B12420" i="2"/>
  <c r="B21526" i="2"/>
  <c r="B11224" i="2"/>
  <c r="B5755" i="2"/>
  <c r="B27847" i="2"/>
  <c r="B28410" i="2"/>
  <c r="B23826" i="2"/>
  <c r="B14975" i="2"/>
  <c r="B7357" i="2"/>
  <c r="B32410" i="2"/>
  <c r="B20936" i="2"/>
  <c r="B6887" i="2"/>
  <c r="B5565" i="2"/>
  <c r="B25914" i="2"/>
  <c r="B24526" i="2"/>
  <c r="B22235" i="2"/>
  <c r="B22140" i="2"/>
  <c r="B7683" i="2"/>
  <c r="B6918" i="2"/>
  <c r="B15655" i="2"/>
  <c r="B14394" i="2"/>
  <c r="B4460" i="2"/>
  <c r="B24826" i="2"/>
  <c r="B3208" i="2"/>
  <c r="B8378" i="2"/>
  <c r="B9779" i="2"/>
  <c r="B19212" i="2"/>
  <c r="B6658" i="2"/>
  <c r="B23307" i="2"/>
  <c r="B31881" i="2"/>
  <c r="B31947" i="2"/>
  <c r="B8904" i="2"/>
  <c r="B35509" i="2"/>
  <c r="B24631" i="2"/>
  <c r="B22855" i="2"/>
  <c r="B3798" i="2"/>
  <c r="B8634" i="2"/>
  <c r="B22381" i="2"/>
  <c r="B24266" i="2"/>
  <c r="B31385" i="2"/>
  <c r="B36012" i="2"/>
  <c r="B21322" i="2"/>
  <c r="B19462" i="2"/>
  <c r="B17522" i="2"/>
  <c r="B25318" i="2"/>
  <c r="B33953" i="2"/>
  <c r="B17643" i="2"/>
  <c r="B4954" i="2"/>
  <c r="B9901" i="2"/>
  <c r="B13694" i="2"/>
  <c r="B1250" i="2"/>
  <c r="B20133" i="2"/>
  <c r="B11900" i="2"/>
  <c r="B36281" i="2"/>
  <c r="B9343" i="2"/>
  <c r="B21968" i="2"/>
  <c r="B2772" i="2"/>
  <c r="B36083" i="2"/>
  <c r="B836" i="2"/>
  <c r="B28405" i="2"/>
  <c r="B12174" i="2"/>
  <c r="B23396" i="2"/>
  <c r="B15258" i="2"/>
  <c r="B23327" i="2"/>
  <c r="B19068" i="2"/>
  <c r="B3436" i="2"/>
  <c r="B13217" i="2"/>
  <c r="B6773" i="2"/>
  <c r="B33284" i="2"/>
  <c r="B36341" i="2"/>
  <c r="B9687" i="2"/>
  <c r="B31917" i="2"/>
  <c r="B31556" i="2"/>
  <c r="B15474" i="2"/>
  <c r="B31679" i="2"/>
  <c r="B31819" i="2"/>
  <c r="B23918" i="2"/>
  <c r="B22626" i="2"/>
  <c r="B31639" i="2"/>
  <c r="B5750" i="2"/>
  <c r="B21783" i="2"/>
  <c r="B14547" i="2"/>
  <c r="B31201" i="2"/>
  <c r="B4714" i="2"/>
  <c r="B31955" i="2"/>
  <c r="B31159" i="2"/>
  <c r="B33327" i="2"/>
  <c r="B30535" i="2"/>
  <c r="B3573" i="2"/>
  <c r="B3937" i="2"/>
  <c r="B12269" i="2"/>
  <c r="B12874" i="2"/>
  <c r="B21647" i="2"/>
  <c r="B20447" i="2"/>
  <c r="B12877" i="2"/>
  <c r="B19945" i="2"/>
  <c r="B29643" i="2"/>
  <c r="B23662" i="2"/>
  <c r="B29182" i="2"/>
  <c r="B15767" i="2"/>
  <c r="B15118" i="2"/>
  <c r="B21202" i="2"/>
  <c r="B24527" i="2"/>
  <c r="B25695" i="2"/>
  <c r="B24364" i="2"/>
  <c r="B6937" i="2"/>
  <c r="B23896" i="2"/>
  <c r="B25624" i="2"/>
  <c r="B25848" i="2"/>
  <c r="B19246" i="2"/>
  <c r="B18907" i="2"/>
  <c r="B23135" i="2"/>
  <c r="B32916" i="2"/>
  <c r="B23074" i="2"/>
  <c r="B15589" i="2"/>
  <c r="B8928" i="2"/>
  <c r="B4662" i="2"/>
  <c r="B6587" i="2"/>
  <c r="B9054" i="2"/>
  <c r="B14832" i="2"/>
  <c r="B5311" i="2"/>
  <c r="B12698" i="2"/>
  <c r="B12917" i="2"/>
  <c r="B31871" i="2"/>
  <c r="B26358" i="2"/>
  <c r="B17566" i="2"/>
  <c r="B24574" i="2"/>
  <c r="B3871" i="2"/>
  <c r="B25417" i="2"/>
  <c r="B5494" i="2"/>
  <c r="B23660" i="2"/>
  <c r="B31514" i="2"/>
  <c r="B29822" i="2"/>
  <c r="B1802" i="2"/>
  <c r="B14137" i="2"/>
  <c r="B23283" i="2"/>
  <c r="B17642" i="2"/>
  <c r="B26707" i="2"/>
  <c r="B12434" i="2"/>
  <c r="B36022" i="2"/>
  <c r="B29808" i="2"/>
  <c r="B26034" i="2"/>
  <c r="B14110" i="2"/>
  <c r="B5143" i="2"/>
  <c r="B17627" i="2"/>
  <c r="B1273" i="2"/>
  <c r="B7379" i="2"/>
  <c r="B27011" i="2"/>
  <c r="B22753" i="2"/>
  <c r="B2709" i="2"/>
  <c r="B7406" i="2"/>
  <c r="B6685" i="2"/>
  <c r="B26893" i="2"/>
  <c r="B15343" i="2"/>
  <c r="B1410" i="2"/>
  <c r="B5343" i="2"/>
  <c r="B5064" i="2"/>
  <c r="B23997" i="2"/>
  <c r="B32733" i="2"/>
  <c r="B9556" i="2"/>
  <c r="B9003" i="2"/>
  <c r="B30541" i="2"/>
  <c r="B32914" i="2"/>
  <c r="B8337" i="2"/>
  <c r="B35835" i="2"/>
  <c r="B8463" i="2"/>
  <c r="B31792" i="2"/>
  <c r="B7776" i="2"/>
  <c r="B34002" i="2"/>
  <c r="B3574" i="2"/>
  <c r="B31855" i="2"/>
  <c r="B27780" i="2"/>
  <c r="B23414" i="2"/>
  <c r="B26789" i="2"/>
  <c r="B5286" i="2"/>
  <c r="B31919" i="2"/>
  <c r="B8167" i="2"/>
  <c r="B31527" i="2"/>
  <c r="B31667" i="2"/>
  <c r="B33225" i="2"/>
  <c r="B1124" i="2"/>
  <c r="B35895" i="2"/>
  <c r="B2912" i="2"/>
  <c r="B15868" i="2"/>
  <c r="B9093" i="2"/>
  <c r="B16359" i="2"/>
  <c r="B14519" i="2"/>
  <c r="B16701" i="2"/>
  <c r="B6353" i="2"/>
  <c r="B20769" i="2"/>
  <c r="B1119" i="2"/>
  <c r="B11590" i="2"/>
  <c r="B36346" i="2"/>
  <c r="B7074" i="2"/>
  <c r="B13407" i="2"/>
  <c r="B2448" i="2"/>
  <c r="B19364" i="2"/>
  <c r="B30794" i="2"/>
  <c r="B29541" i="2"/>
  <c r="B24513" i="2"/>
  <c r="B33776" i="2"/>
  <c r="B34339" i="2"/>
  <c r="B27297" i="2"/>
  <c r="B19393" i="2"/>
  <c r="B29431" i="2"/>
  <c r="B20414" i="2"/>
  <c r="B6946" i="2"/>
  <c r="B27381" i="2"/>
  <c r="B18144" i="2"/>
  <c r="B5771" i="2"/>
  <c r="B9604" i="2"/>
  <c r="B5515" i="2"/>
  <c r="B19044" i="2"/>
  <c r="B10991" i="2"/>
  <c r="B9490" i="2"/>
  <c r="B8067" i="2"/>
  <c r="B11673" i="2"/>
  <c r="B14727" i="2"/>
  <c r="B3074" i="2"/>
  <c r="B31686" i="2"/>
  <c r="B21767" i="2"/>
  <c r="B16063" i="2"/>
  <c r="B22254" i="2"/>
  <c r="B6648" i="2"/>
  <c r="B34578" i="2"/>
  <c r="B17800" i="2"/>
  <c r="B32846" i="2"/>
  <c r="B26245" i="2"/>
  <c r="B901" i="2"/>
  <c r="B26322" i="2"/>
  <c r="B21360" i="2"/>
  <c r="B4798" i="2"/>
  <c r="B22357" i="2"/>
  <c r="B26769" i="2"/>
  <c r="B16010" i="2"/>
  <c r="B10993" i="2"/>
  <c r="B12081" i="2"/>
  <c r="B30515" i="2"/>
  <c r="B34616" i="2"/>
  <c r="B18374" i="2"/>
  <c r="B3249" i="2"/>
  <c r="B25348" i="2"/>
  <c r="B11394" i="2"/>
  <c r="B16942" i="2"/>
  <c r="B15223" i="2"/>
  <c r="B26745" i="2"/>
  <c r="B28418" i="2"/>
  <c r="B17632" i="2"/>
  <c r="B10706" i="2"/>
  <c r="B35976" i="2"/>
  <c r="B13131" i="2"/>
  <c r="B5984" i="2"/>
  <c r="B6656" i="2"/>
  <c r="B5765" i="2"/>
  <c r="B34029" i="2"/>
  <c r="B16684" i="2"/>
  <c r="B33081" i="2"/>
  <c r="B22569" i="2"/>
  <c r="B13120" i="2"/>
  <c r="B19103" i="2"/>
  <c r="B28322" i="2"/>
  <c r="B5048" i="2"/>
  <c r="B19219" i="2"/>
  <c r="B12170" i="2"/>
  <c r="B15390" i="2"/>
  <c r="B6358" i="2"/>
  <c r="B35932" i="2"/>
  <c r="B22831" i="2"/>
  <c r="B22132" i="2"/>
  <c r="B6394" i="2"/>
  <c r="B2875" i="2"/>
  <c r="B33609" i="2"/>
  <c r="B3198" i="2"/>
  <c r="B6120" i="2"/>
  <c r="B25650" i="2"/>
  <c r="B2718" i="2"/>
  <c r="B115" i="2"/>
  <c r="B2223" i="2"/>
  <c r="B21153" i="2"/>
  <c r="B31560" i="2"/>
  <c r="B31814" i="2"/>
  <c r="B14717" i="2"/>
  <c r="B4669" i="2"/>
  <c r="B32828" i="2"/>
  <c r="B31886" i="2"/>
  <c r="B24068" i="2"/>
  <c r="B17999" i="2"/>
  <c r="B13189" i="2"/>
  <c r="B5297" i="2"/>
  <c r="B16938" i="2"/>
  <c r="B22471" i="2"/>
  <c r="B32362" i="2"/>
  <c r="B9594" i="2"/>
  <c r="B9494" i="2"/>
  <c r="B13989" i="2"/>
  <c r="B36130" i="2"/>
  <c r="B19562" i="2"/>
  <c r="B9657" i="2"/>
  <c r="B17608" i="2"/>
  <c r="B22168" i="2"/>
  <c r="B25622" i="2"/>
  <c r="B27711" i="2"/>
  <c r="B1229" i="2"/>
  <c r="B24794" i="2"/>
  <c r="B3077" i="2"/>
  <c r="B24041" i="2"/>
  <c r="B22926" i="2"/>
  <c r="B26385" i="2"/>
  <c r="B7598" i="2"/>
  <c r="B2355" i="2"/>
  <c r="B8032" i="2"/>
  <c r="B25077" i="2"/>
  <c r="B33470" i="2"/>
  <c r="B9854" i="2"/>
  <c r="B34091" i="2"/>
  <c r="B24771" i="2"/>
  <c r="B31087" i="2"/>
  <c r="B33193" i="2"/>
  <c r="B5856" i="2"/>
  <c r="B22180" i="2"/>
  <c r="B6923" i="2"/>
  <c r="B25652" i="2"/>
  <c r="B7634" i="2"/>
  <c r="B7232" i="2"/>
  <c r="B5721" i="2"/>
  <c r="B5974" i="2"/>
  <c r="B22821" i="2"/>
  <c r="B8973" i="2"/>
  <c r="B6372" i="2"/>
  <c r="B7376" i="2"/>
  <c r="B6081" i="2"/>
  <c r="B205" i="2"/>
  <c r="B6533" i="2"/>
  <c r="B7733" i="2"/>
  <c r="B218" i="2"/>
  <c r="B5182" i="2"/>
  <c r="B17589" i="2"/>
  <c r="B2779" i="2"/>
  <c r="B15246" i="2"/>
  <c r="B23919" i="2"/>
  <c r="B21358" i="2"/>
  <c r="B27784" i="2"/>
  <c r="B26134" i="2"/>
  <c r="B15846" i="2"/>
  <c r="B18057" i="2"/>
  <c r="B5385" i="2"/>
  <c r="B33330" i="2"/>
  <c r="B10699" i="2"/>
  <c r="B31338" i="2"/>
  <c r="B15481" i="2"/>
  <c r="B13183" i="2"/>
  <c r="B36187" i="2"/>
  <c r="B4621" i="2"/>
  <c r="B28464" i="2"/>
  <c r="B18286" i="2"/>
  <c r="B4735" i="2"/>
  <c r="B30588" i="2"/>
  <c r="B20636" i="2"/>
  <c r="B26710" i="2"/>
  <c r="B22380" i="2"/>
  <c r="B22403" i="2"/>
  <c r="B33084" i="2"/>
  <c r="B4327" i="2"/>
  <c r="B20269" i="2"/>
  <c r="B168" i="2"/>
  <c r="B36113" i="2"/>
  <c r="B20270" i="2"/>
  <c r="B2845" i="2"/>
  <c r="B3731" i="2"/>
  <c r="B2976" i="2"/>
  <c r="B5419" i="2"/>
  <c r="B2698" i="2"/>
  <c r="B20255" i="2"/>
  <c r="B32816" i="2"/>
  <c r="B1020" i="2"/>
  <c r="B6143" i="2"/>
  <c r="B31428" i="2"/>
  <c r="B22230" i="2"/>
  <c r="B15844" i="2"/>
  <c r="B20810" i="2"/>
  <c r="B7961" i="2"/>
  <c r="B33139" i="2"/>
  <c r="B33350" i="2"/>
  <c r="B26971" i="2"/>
  <c r="B26471" i="2"/>
  <c r="B20107" i="2"/>
  <c r="B24468" i="2"/>
  <c r="B20973" i="2"/>
  <c r="B8565" i="2"/>
  <c r="B32779" i="2"/>
  <c r="B46" i="2"/>
  <c r="B408" i="2"/>
  <c r="B31764" i="2"/>
  <c r="B4140" i="2"/>
  <c r="B32684" i="2"/>
  <c r="B15271" i="2"/>
  <c r="B9719" i="2"/>
  <c r="B4086" i="2"/>
  <c r="B32375" i="2"/>
  <c r="B14138" i="2"/>
  <c r="B20134" i="2"/>
  <c r="B2904" i="2"/>
  <c r="B2852" i="2"/>
  <c r="B32327" i="2"/>
  <c r="B6289" i="2"/>
  <c r="B3358" i="2"/>
  <c r="B36088" i="2"/>
  <c r="B2828" i="2"/>
  <c r="B31602" i="2"/>
  <c r="B890" i="2"/>
  <c r="B30514" i="2"/>
  <c r="B10686" i="2"/>
  <c r="B22311" i="2"/>
  <c r="B5178" i="2"/>
  <c r="B215" i="2"/>
  <c r="B27389" i="2"/>
  <c r="B36019" i="2"/>
  <c r="B12046" i="2"/>
  <c r="B8081" i="2"/>
  <c r="B5683" i="2"/>
  <c r="B33246" i="2"/>
  <c r="B2632" i="2"/>
  <c r="B21628" i="2"/>
  <c r="B5625" i="2"/>
  <c r="B7742" i="2"/>
  <c r="B2540" i="2"/>
  <c r="B17717" i="2"/>
  <c r="B12831" i="2"/>
  <c r="B19744" i="2"/>
  <c r="B14862" i="2"/>
  <c r="B24087" i="2"/>
  <c r="B21773" i="2"/>
  <c r="B24598" i="2"/>
  <c r="B5756" i="2"/>
  <c r="B32882" i="2"/>
  <c r="B20694" i="2"/>
  <c r="B4048" i="2"/>
  <c r="B30700" i="2"/>
  <c r="B12504" i="2"/>
  <c r="B9940" i="2"/>
  <c r="B20547" i="2"/>
  <c r="B26999" i="2"/>
  <c r="B18548" i="2"/>
  <c r="B17961" i="2"/>
  <c r="B31745" i="2"/>
  <c r="B7306" i="2"/>
  <c r="B318" i="2"/>
  <c r="B4736" i="2"/>
  <c r="B22430" i="2"/>
  <c r="B23653" i="2"/>
  <c r="B34409" i="2"/>
  <c r="B8589" i="2"/>
  <c r="B15870" i="2"/>
  <c r="B9876" i="2"/>
  <c r="B28246" i="2"/>
  <c r="B3523" i="2"/>
  <c r="B20171" i="2"/>
  <c r="B9229" i="2"/>
  <c r="B35195" i="2"/>
  <c r="B20435" i="2"/>
  <c r="B7546" i="2"/>
  <c r="B1367" i="2"/>
  <c r="B6028" i="2"/>
  <c r="B2909" i="2"/>
  <c r="B22024" i="2"/>
  <c r="B27032" i="2"/>
  <c r="B15428" i="2"/>
  <c r="B1446" i="2"/>
  <c r="B34296" i="2"/>
  <c r="B30220" i="2"/>
  <c r="B7585" i="2"/>
  <c r="B29443" i="2"/>
  <c r="B7167" i="2"/>
  <c r="B18085" i="2"/>
  <c r="B36327" i="2"/>
  <c r="B8530" i="2"/>
  <c r="B26305" i="2"/>
  <c r="B23246" i="2"/>
  <c r="B1596" i="2"/>
  <c r="B33583" i="2"/>
  <c r="B28796" i="2"/>
  <c r="B29750" i="2"/>
  <c r="B6404" i="2"/>
  <c r="B30047" i="2"/>
  <c r="B15019" i="2"/>
  <c r="B4689" i="2"/>
  <c r="B4003" i="2"/>
  <c r="B1480" i="2"/>
  <c r="B35560" i="2"/>
  <c r="B31617" i="2"/>
  <c r="B36059" i="2"/>
  <c r="B23452" i="2"/>
  <c r="B32058" i="2"/>
  <c r="B20007" i="2"/>
  <c r="B33049" i="2"/>
  <c r="B27047" i="2"/>
  <c r="B15629" i="2"/>
  <c r="B32594" i="2"/>
  <c r="B21585" i="2"/>
  <c r="B5622" i="2"/>
  <c r="B29442" i="2"/>
  <c r="B32568" i="2"/>
  <c r="B1966" i="2"/>
  <c r="B35448" i="2"/>
  <c r="B35352" i="2"/>
  <c r="B30200" i="2"/>
  <c r="B34016" i="2"/>
  <c r="B28142" i="2"/>
  <c r="B21631" i="2"/>
  <c r="B13874" i="2"/>
  <c r="B21284" i="2"/>
  <c r="B2456" i="2"/>
  <c r="B5775" i="2"/>
  <c r="B3811" i="2"/>
  <c r="B15252" i="2"/>
  <c r="B9153" i="2"/>
  <c r="B10373" i="2"/>
  <c r="B33822" i="2"/>
  <c r="B32178" i="2"/>
  <c r="B15756" i="2"/>
  <c r="B28046" i="2"/>
  <c r="B5166" i="2"/>
  <c r="B10663" i="2"/>
  <c r="B32831" i="2"/>
  <c r="B28596" i="2"/>
  <c r="B219" i="2"/>
  <c r="B20468" i="2"/>
  <c r="B10954" i="2"/>
  <c r="B29604" i="2"/>
  <c r="B23153" i="2"/>
  <c r="B21448" i="2"/>
  <c r="B2101" i="2"/>
  <c r="B32854" i="2"/>
  <c r="B19058" i="2"/>
  <c r="B29253" i="2"/>
  <c r="B18194" i="2"/>
  <c r="B23093" i="2"/>
  <c r="B2581" i="2"/>
  <c r="B7424" i="2"/>
  <c r="B6411" i="2"/>
  <c r="B15453" i="2"/>
  <c r="B15745" i="2"/>
  <c r="B19819" i="2"/>
  <c r="B3586" i="2"/>
  <c r="B12513" i="2"/>
  <c r="B1597" i="2"/>
  <c r="B21112" i="2"/>
  <c r="B5959" i="2"/>
  <c r="B32989" i="2"/>
  <c r="B2653" i="2"/>
  <c r="B19524" i="2"/>
  <c r="B26200" i="2"/>
  <c r="B26030" i="2"/>
  <c r="B16689" i="2"/>
  <c r="B22565" i="2"/>
  <c r="B33379" i="2"/>
  <c r="B17337" i="2"/>
  <c r="B31733" i="2"/>
  <c r="B29358" i="2"/>
  <c r="B4122" i="2"/>
  <c r="B4136" i="2"/>
  <c r="B4513" i="2"/>
  <c r="B3352" i="2"/>
  <c r="B10069" i="2"/>
  <c r="B21082" i="2"/>
  <c r="B21163" i="2"/>
  <c r="B33590" i="2"/>
  <c r="B25664" i="2"/>
  <c r="B36050" i="2"/>
  <c r="B5422" i="2"/>
  <c r="B9037" i="2"/>
  <c r="B30181" i="2"/>
  <c r="B31755" i="2"/>
  <c r="B2794" i="2"/>
  <c r="B6426" i="2"/>
  <c r="B21823" i="2"/>
  <c r="B14462" i="2"/>
  <c r="B30183" i="2"/>
  <c r="B4378" i="2"/>
  <c r="B13638" i="2"/>
  <c r="B5658" i="2"/>
  <c r="B1733" i="2"/>
  <c r="B35876" i="2"/>
  <c r="B11888" i="2"/>
  <c r="B1175" i="2"/>
  <c r="B31800" i="2"/>
  <c r="B17743" i="2"/>
  <c r="B6790" i="2"/>
  <c r="B11380" i="2"/>
  <c r="B2797" i="2"/>
  <c r="B30758" i="2"/>
  <c r="B5919" i="2"/>
  <c r="B17655" i="2"/>
  <c r="B29621" i="2"/>
  <c r="B32026" i="2"/>
  <c r="B36276" i="2"/>
  <c r="B30381" i="2"/>
  <c r="B34979" i="2"/>
  <c r="B14102" i="2"/>
  <c r="B3297" i="2"/>
  <c r="B20641" i="2"/>
  <c r="B26713" i="2"/>
  <c r="B28736" i="2"/>
  <c r="B1541" i="2"/>
  <c r="B13993" i="2"/>
  <c r="B27816" i="2"/>
  <c r="B31701" i="2"/>
  <c r="B15759" i="2"/>
  <c r="B29450" i="2"/>
  <c r="B22110" i="2"/>
  <c r="B28813" i="2"/>
  <c r="B31169" i="2"/>
  <c r="B32250" i="2"/>
  <c r="B12864" i="2"/>
  <c r="B28331" i="2"/>
  <c r="B16897" i="2"/>
  <c r="B17868" i="2"/>
  <c r="B28029" i="2"/>
  <c r="B10667" i="2"/>
  <c r="B29674" i="2"/>
  <c r="B27401" i="2"/>
  <c r="B28578" i="2"/>
  <c r="B33746" i="2"/>
  <c r="B13001" i="2"/>
  <c r="B20975" i="2"/>
  <c r="B5263" i="2"/>
  <c r="B30867" i="2"/>
  <c r="B24762" i="2"/>
  <c r="B11544" i="2"/>
  <c r="B13752" i="2"/>
  <c r="B27917" i="2"/>
  <c r="B31940" i="2"/>
  <c r="B1255" i="2"/>
  <c r="B18117" i="2"/>
  <c r="B3431" i="2"/>
  <c r="B30460" i="2"/>
  <c r="B21507" i="2"/>
  <c r="B33162" i="2"/>
  <c r="B6103" i="2"/>
  <c r="B8498" i="2"/>
  <c r="B5075" i="2"/>
  <c r="B7115" i="2"/>
  <c r="B7429" i="2"/>
  <c r="B18231" i="2"/>
  <c r="B5526" i="2"/>
  <c r="B26572" i="2"/>
  <c r="B7758" i="2"/>
  <c r="B17017" i="2"/>
  <c r="B7341" i="2"/>
  <c r="B34342" i="2"/>
  <c r="B20610" i="2"/>
  <c r="B4217" i="2"/>
  <c r="B16436" i="2"/>
  <c r="B8296" i="2"/>
  <c r="B6203" i="2"/>
  <c r="B7920" i="2"/>
  <c r="B5735" i="2"/>
  <c r="B2424" i="2"/>
  <c r="B16775" i="2"/>
  <c r="B13450" i="2"/>
  <c r="B27009" i="2"/>
  <c r="B1243" i="2"/>
  <c r="B34574" i="2"/>
  <c r="B31197" i="2"/>
  <c r="B30270" i="2"/>
  <c r="B32212" i="2"/>
  <c r="B34636" i="2"/>
  <c r="B4552" i="2"/>
  <c r="B23880" i="2"/>
  <c r="B23387" i="2"/>
  <c r="B7558" i="2"/>
  <c r="B33840" i="2"/>
  <c r="B2723" i="2"/>
  <c r="B5602" i="2"/>
  <c r="B6438" i="2"/>
  <c r="B36157" i="2"/>
  <c r="B34600" i="2"/>
  <c r="B2701" i="2"/>
  <c r="B6540" i="2"/>
  <c r="B36268" i="2"/>
  <c r="B31179" i="2"/>
  <c r="B1502" i="2"/>
  <c r="B9917" i="2"/>
  <c r="B7260" i="2"/>
  <c r="B13309" i="2"/>
  <c r="B30613" i="2"/>
  <c r="B3043" i="2"/>
  <c r="B8216" i="2"/>
  <c r="B17265" i="2"/>
  <c r="B6933" i="2"/>
  <c r="B9318" i="2"/>
  <c r="B6535" i="2"/>
  <c r="B9449" i="2"/>
  <c r="B17195" i="2"/>
  <c r="B34382" i="2"/>
  <c r="B35475" i="2"/>
  <c r="B11608" i="2"/>
  <c r="B31051" i="2"/>
  <c r="B10404" i="2"/>
  <c r="B16850" i="2"/>
  <c r="B14634" i="2"/>
  <c r="B32866" i="2"/>
  <c r="B1844" i="2"/>
  <c r="B18979" i="2"/>
  <c r="B30166" i="2"/>
  <c r="B1943" i="2"/>
  <c r="B28336" i="2"/>
  <c r="B33625" i="2"/>
  <c r="B12713" i="2"/>
  <c r="B22440" i="2"/>
  <c r="B25251" i="2"/>
  <c r="B23989" i="2"/>
  <c r="B10269" i="2"/>
  <c r="B29295" i="2"/>
  <c r="B9625" i="2"/>
  <c r="B30140" i="2"/>
  <c r="B29775" i="2"/>
  <c r="B3390" i="2"/>
  <c r="B30150" i="2"/>
  <c r="B2329" i="2"/>
  <c r="B15055" i="2"/>
  <c r="B7660" i="2"/>
  <c r="B8548" i="2"/>
  <c r="B13098" i="2"/>
  <c r="B4997" i="2"/>
  <c r="B18041" i="2"/>
  <c r="B18960" i="2"/>
  <c r="B17319" i="2"/>
  <c r="B10593" i="2"/>
  <c r="B3409" i="2"/>
  <c r="B14680" i="2"/>
  <c r="B12776" i="2"/>
  <c r="B13753" i="2"/>
  <c r="B34220" i="2"/>
  <c r="B28838" i="2"/>
  <c r="B7193" i="2"/>
  <c r="B2800" i="2"/>
  <c r="B7871" i="2"/>
  <c r="B7617" i="2"/>
  <c r="B4369" i="2"/>
  <c r="B7995" i="2"/>
  <c r="B11498" i="2"/>
  <c r="B32906" i="2"/>
  <c r="B20463" i="2"/>
  <c r="B6909" i="2"/>
  <c r="B7412" i="2"/>
  <c r="B17262" i="2"/>
  <c r="B6527" i="2"/>
  <c r="B5313" i="2"/>
  <c r="B5882" i="2"/>
  <c r="B3839" i="2"/>
  <c r="B23991" i="2"/>
  <c r="B4814" i="2"/>
  <c r="B17360" i="2"/>
  <c r="B5716" i="2"/>
  <c r="B20061" i="2"/>
  <c r="B3161" i="2"/>
  <c r="B33702" i="2"/>
  <c r="B24274" i="2"/>
  <c r="B25063" i="2"/>
  <c r="B21203" i="2"/>
  <c r="B23581" i="2"/>
  <c r="B33148" i="2"/>
  <c r="B14707" i="2"/>
  <c r="B21020" i="2"/>
  <c r="B11398" i="2"/>
  <c r="B12515" i="2"/>
  <c r="B22552" i="2"/>
  <c r="B36060" i="2"/>
  <c r="B29729" i="2"/>
  <c r="B6377" i="2"/>
  <c r="B9063" i="2"/>
  <c r="B7863" i="2"/>
  <c r="B25494" i="2"/>
  <c r="B10618" i="2"/>
  <c r="B19830" i="2"/>
  <c r="B32879" i="2"/>
  <c r="B12762" i="2"/>
  <c r="B5104" i="2"/>
  <c r="B19852" i="2"/>
  <c r="B6512" i="2"/>
  <c r="B7198" i="2"/>
  <c r="B35258" i="2"/>
  <c r="B34591" i="2"/>
  <c r="B28340" i="2"/>
  <c r="B22782" i="2"/>
  <c r="B6034" i="2"/>
  <c r="B8275" i="2"/>
  <c r="B27196" i="2"/>
  <c r="B12498" i="2"/>
  <c r="B23332" i="2"/>
  <c r="B20664" i="2"/>
  <c r="B23947" i="2"/>
  <c r="B16954" i="2"/>
  <c r="B8519" i="2"/>
  <c r="B1879" i="2"/>
  <c r="B21532" i="2"/>
  <c r="B22419" i="2"/>
  <c r="B31063" i="2"/>
  <c r="B1946" i="2"/>
  <c r="B34773" i="2"/>
  <c r="B10190" i="2"/>
  <c r="B4094" i="2"/>
  <c r="B34788" i="2"/>
  <c r="B14844" i="2"/>
  <c r="B28992" i="2"/>
  <c r="B31382" i="2"/>
  <c r="B29231" i="2"/>
  <c r="B4449" i="2"/>
  <c r="B10573" i="2"/>
  <c r="B317" i="2"/>
  <c r="B16273" i="2"/>
  <c r="B14765" i="2"/>
  <c r="B32431" i="2"/>
  <c r="B19256" i="2"/>
  <c r="B16278" i="2"/>
  <c r="B29901" i="2"/>
  <c r="B29795" i="2"/>
  <c r="B33228" i="2"/>
  <c r="B17308" i="2"/>
  <c r="B4634" i="2"/>
  <c r="B25304" i="2"/>
  <c r="B1911" i="2"/>
  <c r="B313" i="2"/>
  <c r="B31215" i="2"/>
  <c r="B2371" i="2"/>
  <c r="B8515" i="2"/>
  <c r="B18327" i="2"/>
  <c r="B5561" i="2"/>
  <c r="B33059" i="2"/>
  <c r="B8227" i="2"/>
  <c r="B7962" i="2"/>
  <c r="B9090" i="2"/>
  <c r="B5190" i="2"/>
  <c r="B7752" i="2"/>
  <c r="B7505" i="2"/>
  <c r="B5512" i="2"/>
  <c r="B13741" i="2"/>
  <c r="B24621" i="2"/>
  <c r="B27290" i="2"/>
  <c r="B36302" i="2"/>
  <c r="B1604" i="2"/>
  <c r="B32995" i="2"/>
  <c r="B5519" i="2"/>
  <c r="B27051" i="2"/>
  <c r="B6478" i="2"/>
  <c r="B15080" i="2"/>
  <c r="B32307" i="2"/>
  <c r="B10183" i="2"/>
  <c r="B3598" i="2"/>
  <c r="B36291" i="2"/>
  <c r="B9948" i="2"/>
  <c r="B706" i="2"/>
  <c r="B19375" i="2"/>
  <c r="B30182" i="2"/>
  <c r="B17256" i="2"/>
  <c r="B36061" i="2"/>
  <c r="B6118" i="2"/>
  <c r="B35997" i="2"/>
  <c r="B20786" i="2"/>
  <c r="B33376" i="2"/>
  <c r="B33854" i="2"/>
  <c r="B14214" i="2"/>
  <c r="B5714" i="2"/>
  <c r="B7539" i="2"/>
  <c r="B7501" i="2"/>
  <c r="B21672" i="2"/>
  <c r="B1616" i="2"/>
  <c r="B34126" i="2"/>
  <c r="B1715" i="2"/>
  <c r="B7588" i="2"/>
  <c r="B36172" i="2"/>
  <c r="B27107" i="2"/>
  <c r="B11846" i="2"/>
  <c r="B31150" i="2"/>
  <c r="B22732" i="2"/>
  <c r="B32152" i="2"/>
  <c r="B10416" i="2"/>
  <c r="B7276" i="2"/>
  <c r="B7455" i="2"/>
  <c r="B11370" i="2"/>
  <c r="B14046" i="2"/>
  <c r="B2201" i="2"/>
  <c r="B3861" i="2"/>
  <c r="B34367" i="2"/>
  <c r="B32273" i="2"/>
  <c r="B29125" i="2"/>
  <c r="B2373" i="2"/>
  <c r="B30910" i="2"/>
  <c r="B29958" i="2"/>
  <c r="B30666" i="2"/>
  <c r="B3185" i="2"/>
  <c r="B1272" i="2"/>
  <c r="B23006" i="2"/>
  <c r="B9525" i="2"/>
  <c r="B2198" i="2"/>
  <c r="B10380" i="2"/>
  <c r="B12340" i="2"/>
  <c r="B28840" i="2"/>
  <c r="B3444" i="2"/>
  <c r="B33446" i="2"/>
  <c r="B28641" i="2"/>
  <c r="B5493" i="2"/>
  <c r="B30846" i="2"/>
  <c r="B18481" i="2"/>
  <c r="B11767" i="2"/>
  <c r="B4870" i="2"/>
  <c r="B16407" i="2"/>
  <c r="B19611" i="2"/>
  <c r="B16578" i="2"/>
  <c r="B29190" i="2"/>
  <c r="B10905" i="2"/>
  <c r="B24959" i="2"/>
  <c r="B9185" i="2"/>
  <c r="B5076" i="2"/>
  <c r="B28038" i="2"/>
  <c r="B6489" i="2"/>
  <c r="B33344" i="2"/>
  <c r="B5108" i="2"/>
  <c r="B21234" i="2"/>
  <c r="B776" i="2"/>
  <c r="B7044" i="2"/>
  <c r="B12096" i="2"/>
  <c r="B9225" i="2"/>
  <c r="B6190" i="2"/>
  <c r="B31523" i="2"/>
  <c r="B27436" i="2"/>
  <c r="B6016" i="2"/>
  <c r="B8805" i="2"/>
  <c r="B33204" i="2"/>
  <c r="B33153" i="2"/>
  <c r="B18278" i="2"/>
  <c r="B13530" i="2"/>
  <c r="B29566" i="2"/>
  <c r="B28793" i="2"/>
  <c r="B29469" i="2"/>
  <c r="B5955" i="2"/>
  <c r="B1799" i="2"/>
  <c r="B27771" i="2"/>
  <c r="B6264" i="2"/>
  <c r="B33689" i="2"/>
  <c r="B33381" i="2"/>
  <c r="B454" i="2"/>
  <c r="B5962" i="2"/>
  <c r="B4660" i="2"/>
  <c r="B12580" i="2"/>
  <c r="B4052" i="2"/>
  <c r="B2750" i="2"/>
  <c r="B9066" i="2"/>
  <c r="B555" i="2"/>
  <c r="B27883" i="2"/>
  <c r="B14809" i="2"/>
  <c r="B22702" i="2"/>
  <c r="B5319" i="2"/>
  <c r="B24335" i="2"/>
  <c r="B9695" i="2"/>
  <c r="B18191" i="2"/>
  <c r="B33206" i="2"/>
  <c r="B1322" i="2"/>
  <c r="B6472" i="2"/>
  <c r="B2799" i="2"/>
  <c r="B25210" i="2"/>
  <c r="B29697" i="2"/>
  <c r="B26682" i="2"/>
  <c r="B3329" i="2"/>
  <c r="B29721" i="2"/>
  <c r="B13395" i="2"/>
  <c r="B21874" i="2"/>
  <c r="B5131" i="2"/>
  <c r="B33031" i="2"/>
  <c r="B28101" i="2"/>
  <c r="B12163" i="2"/>
  <c r="B21564" i="2"/>
  <c r="B27663" i="2"/>
  <c r="B19192" i="2"/>
  <c r="B23144" i="2"/>
  <c r="B18666" i="2"/>
  <c r="B6338" i="2"/>
  <c r="B26184" i="2"/>
  <c r="B27936" i="2"/>
  <c r="B814" i="2"/>
  <c r="B24340" i="2"/>
  <c r="B20979" i="2"/>
  <c r="B5207" i="2"/>
  <c r="B18889" i="2"/>
  <c r="B30574" i="2"/>
  <c r="B32316" i="2"/>
  <c r="B19295" i="2"/>
  <c r="B20202" i="2"/>
  <c r="B18424" i="2"/>
  <c r="B17562" i="2"/>
  <c r="B18241" i="2"/>
  <c r="B34495" i="2"/>
  <c r="B8148" i="2"/>
  <c r="B13384" i="2"/>
  <c r="B10852" i="2"/>
  <c r="B12700" i="2"/>
  <c r="B1921" i="2"/>
  <c r="B25864" i="2"/>
  <c r="B28461" i="2"/>
  <c r="B26633" i="2"/>
  <c r="B9313" i="2"/>
  <c r="B30727" i="2"/>
  <c r="B7806" i="2"/>
  <c r="B35924" i="2"/>
  <c r="B12681" i="2"/>
  <c r="B33160" i="2"/>
  <c r="B24029" i="2"/>
  <c r="B1687" i="2"/>
  <c r="B33208" i="2"/>
  <c r="B4604" i="2"/>
  <c r="B33095" i="2"/>
  <c r="B5516" i="2"/>
  <c r="B36192" i="2"/>
  <c r="B2901" i="2"/>
  <c r="B26989" i="2"/>
  <c r="B6999" i="2"/>
  <c r="B24380" i="2"/>
  <c r="B25002" i="2"/>
  <c r="B14357" i="2"/>
  <c r="B8947" i="2"/>
  <c r="B32615" i="2"/>
  <c r="B17715" i="2"/>
  <c r="B23807" i="2"/>
  <c r="B18115" i="2"/>
  <c r="B32878" i="2"/>
  <c r="B25676" i="2"/>
  <c r="B33303" i="2"/>
  <c r="B33039" i="2"/>
  <c r="B12187" i="2"/>
  <c r="B33266" i="2"/>
  <c r="B954" i="2"/>
  <c r="B32249" i="2"/>
  <c r="B10295" i="2"/>
  <c r="B8363" i="2"/>
  <c r="B33346" i="2"/>
  <c r="B23430" i="2"/>
  <c r="B33760" i="2"/>
  <c r="B5803" i="2"/>
  <c r="B6534" i="2"/>
  <c r="B6653" i="2"/>
  <c r="B6591" i="2"/>
  <c r="B7478" i="2"/>
  <c r="B14367" i="2"/>
  <c r="B2011" i="2"/>
  <c r="B20836" i="2"/>
  <c r="B7831" i="2"/>
  <c r="B12316" i="2"/>
  <c r="B18648" i="2"/>
  <c r="B30838" i="2"/>
  <c r="B2937" i="2"/>
  <c r="B3245" i="2"/>
  <c r="B33083" i="2"/>
  <c r="B5302" i="2"/>
  <c r="B28468" i="2"/>
  <c r="B35701" i="2"/>
  <c r="B23361" i="2"/>
  <c r="B26573" i="2"/>
  <c r="B16901" i="2"/>
  <c r="B34568" i="2"/>
  <c r="B16180" i="2"/>
  <c r="B16397" i="2"/>
  <c r="B20239" i="2"/>
  <c r="B15494" i="2"/>
  <c r="B28060" i="2"/>
  <c r="B20285" i="2"/>
  <c r="B34704" i="2"/>
  <c r="B13539" i="2"/>
  <c r="B20480" i="2"/>
  <c r="B28056" i="2"/>
  <c r="B23259" i="2"/>
  <c r="B501" i="2"/>
  <c r="B35351" i="2"/>
  <c r="B34707" i="2"/>
  <c r="B12347" i="2"/>
  <c r="B9766" i="2"/>
  <c r="B10901" i="2"/>
  <c r="B29609" i="2"/>
  <c r="B29177" i="2"/>
  <c r="B18903" i="2"/>
  <c r="B30909" i="2"/>
  <c r="B10490" i="2"/>
  <c r="B28557" i="2"/>
  <c r="B16591" i="2"/>
  <c r="B22041" i="2"/>
  <c r="B3735" i="2"/>
  <c r="B23930" i="2"/>
  <c r="B11733" i="2"/>
  <c r="B11873" i="2"/>
  <c r="B33309" i="2"/>
  <c r="B7868" i="2"/>
  <c r="B33356" i="2"/>
  <c r="B5274" i="2"/>
  <c r="B12348" i="2"/>
  <c r="B3544" i="2"/>
  <c r="B25040" i="2"/>
  <c r="B33076" i="2"/>
  <c r="B31165" i="2"/>
  <c r="B33361" i="2"/>
  <c r="B4503" i="2"/>
  <c r="B18590" i="2"/>
  <c r="B18823" i="2"/>
  <c r="B16107" i="2"/>
  <c r="B21584" i="2"/>
  <c r="B2434" i="2"/>
  <c r="B29886" i="2"/>
  <c r="B4933" i="2"/>
  <c r="B22676" i="2"/>
  <c r="B16075" i="2"/>
  <c r="B22871" i="2"/>
  <c r="B5204" i="2"/>
  <c r="B6788" i="2"/>
  <c r="B3942" i="2"/>
  <c r="B6082" i="2"/>
  <c r="B28215" i="2"/>
  <c r="B6911" i="2"/>
  <c r="B28972" i="2"/>
  <c r="B5447" i="2"/>
  <c r="B35939" i="2"/>
  <c r="B5133" i="2"/>
  <c r="B28014" i="2"/>
  <c r="B10367" i="2"/>
  <c r="B5695" i="2"/>
  <c r="B13816" i="2"/>
  <c r="B14920" i="2"/>
  <c r="B14914" i="2"/>
  <c r="B5548" i="2"/>
  <c r="B11642" i="2"/>
  <c r="B26936" i="2"/>
  <c r="B25155" i="2"/>
  <c r="B16410" i="2"/>
  <c r="B33481" i="2"/>
  <c r="B3349" i="2"/>
  <c r="B12438" i="2"/>
  <c r="B36220" i="2"/>
  <c r="B6499" i="2"/>
  <c r="B28764" i="2"/>
  <c r="B35827" i="2"/>
  <c r="B10732" i="2"/>
  <c r="B27811" i="2"/>
  <c r="B37" i="2"/>
  <c r="B4021" i="2"/>
  <c r="B28505" i="2"/>
  <c r="B29016" i="2"/>
  <c r="B1209" i="2"/>
  <c r="B10885" i="2"/>
  <c r="B2487" i="2"/>
  <c r="B7130" i="2"/>
  <c r="B28526" i="2"/>
  <c r="B1035" i="2"/>
  <c r="B29513" i="2"/>
  <c r="B34468" i="2"/>
  <c r="B1514" i="2"/>
  <c r="B3499" i="2"/>
  <c r="B75" i="2"/>
  <c r="B11280" i="2"/>
  <c r="B33827" i="2"/>
  <c r="B582" i="2"/>
  <c r="B34753" i="2"/>
  <c r="B11162" i="2"/>
  <c r="B35224" i="2"/>
  <c r="B2098" i="2"/>
  <c r="B29578" i="2"/>
  <c r="B4523" i="2"/>
  <c r="B35968" i="2"/>
  <c r="B4953" i="2"/>
  <c r="B85" i="2"/>
  <c r="B28398" i="2"/>
  <c r="B31037" i="2"/>
  <c r="B5014" i="2"/>
  <c r="B2047" i="2"/>
  <c r="B10834" i="2"/>
  <c r="B23717" i="2"/>
  <c r="B28157" i="2"/>
  <c r="B19037" i="2"/>
  <c r="B1743" i="2"/>
  <c r="B22681" i="2"/>
  <c r="B5739" i="2"/>
  <c r="B36217" i="2"/>
  <c r="B23928" i="2"/>
  <c r="B4686" i="2"/>
  <c r="B29880" i="2"/>
  <c r="B16975" i="2"/>
  <c r="B3690" i="2"/>
  <c r="B14149" i="2"/>
  <c r="B18205" i="2"/>
  <c r="B8332" i="2"/>
  <c r="B22258" i="2"/>
  <c r="B18578" i="2"/>
  <c r="B23252" i="2"/>
  <c r="B30146" i="2"/>
  <c r="B20063" i="2"/>
  <c r="B6333" i="2"/>
  <c r="B7880" i="2"/>
  <c r="B9430" i="2"/>
  <c r="B24569" i="2"/>
  <c r="B17601" i="2"/>
  <c r="B24247" i="2"/>
  <c r="B24517" i="2"/>
  <c r="B25493" i="2"/>
  <c r="B29076" i="2"/>
  <c r="B2713" i="2"/>
  <c r="B16447" i="2"/>
  <c r="B18340" i="2"/>
  <c r="B9886" i="2"/>
  <c r="B27424" i="2"/>
  <c r="B15687" i="2"/>
  <c r="B3518" i="2"/>
  <c r="B15" i="2"/>
  <c r="B16168" i="2"/>
  <c r="B5605" i="2"/>
  <c r="B5980" i="2"/>
  <c r="B18441" i="2"/>
  <c r="B34644" i="2"/>
  <c r="B985" i="2"/>
  <c r="B33560" i="2"/>
  <c r="B29306" i="2"/>
  <c r="B35418" i="2"/>
  <c r="B4903" i="2"/>
  <c r="B13790" i="2"/>
  <c r="B35993" i="2"/>
  <c r="B19118" i="2"/>
  <c r="B32789" i="2"/>
  <c r="B10035" i="2"/>
  <c r="B3047" i="2"/>
  <c r="B15328" i="2"/>
  <c r="B4886" i="2"/>
  <c r="B30453" i="2"/>
  <c r="B7506" i="2"/>
  <c r="B34309" i="2"/>
  <c r="B24204" i="2"/>
  <c r="B2865" i="2"/>
  <c r="B21489" i="2"/>
  <c r="B27759" i="2"/>
  <c r="B3452" i="2"/>
  <c r="B2433" i="2"/>
  <c r="B28751" i="2"/>
  <c r="B28449" i="2"/>
  <c r="B29501" i="2"/>
  <c r="B11514" i="2"/>
  <c r="B34337" i="2"/>
  <c r="B22406" i="2"/>
  <c r="B3231" i="2"/>
  <c r="B3730" i="2"/>
  <c r="B12942" i="2"/>
  <c r="B2515" i="2"/>
  <c r="B23658" i="2"/>
  <c r="B21630" i="2"/>
  <c r="B14053" i="2"/>
  <c r="B14917" i="2"/>
  <c r="B19718" i="2"/>
  <c r="B34582" i="2"/>
  <c r="B18862" i="2"/>
  <c r="B15903" i="2"/>
  <c r="B20306" i="2"/>
  <c r="B17273" i="2"/>
  <c r="B5761" i="2"/>
  <c r="B6545" i="2"/>
  <c r="B28787" i="2"/>
  <c r="B7648" i="2"/>
  <c r="B26762" i="2"/>
  <c r="B5810" i="2"/>
  <c r="B34804" i="2"/>
  <c r="B25087" i="2"/>
  <c r="B36066" i="2"/>
  <c r="B5486" i="2"/>
  <c r="B14376" i="2"/>
  <c r="B6175" i="2"/>
  <c r="B33009" i="2"/>
  <c r="B8055" i="2"/>
  <c r="B32628" i="2"/>
  <c r="B8269" i="2"/>
  <c r="B23488" i="2"/>
  <c r="B14897" i="2"/>
  <c r="B28962" i="2"/>
  <c r="B31490" i="2"/>
  <c r="B25429" i="2"/>
  <c r="B98" i="2"/>
  <c r="B6934" i="2"/>
  <c r="B30323" i="2"/>
  <c r="B22776" i="2"/>
  <c r="B1360" i="2"/>
  <c r="B27273" i="2"/>
  <c r="B24145" i="2"/>
  <c r="B6271" i="2"/>
  <c r="B16249" i="2"/>
  <c r="B8320" i="2"/>
  <c r="B9435" i="2"/>
  <c r="B13795" i="2"/>
  <c r="B5412" i="2"/>
  <c r="B7477" i="2"/>
  <c r="B14852" i="2"/>
  <c r="B17484" i="2"/>
  <c r="B23741" i="2"/>
  <c r="B35778" i="2"/>
  <c r="B4596" i="2"/>
  <c r="B34373" i="2"/>
  <c r="B35548" i="2"/>
  <c r="B5233" i="2"/>
  <c r="B7653" i="2"/>
  <c r="B31436" i="2"/>
  <c r="B5536" i="2"/>
  <c r="B8873" i="2"/>
  <c r="B7176" i="2"/>
  <c r="B2617" i="2"/>
  <c r="B34848" i="2"/>
  <c r="B1200" i="2"/>
  <c r="B15885" i="2"/>
  <c r="B6273" i="2"/>
  <c r="B26114" i="2"/>
  <c r="B14206" i="2"/>
  <c r="B34515" i="2"/>
  <c r="B35761" i="2"/>
  <c r="B28899" i="2"/>
  <c r="B30878" i="2"/>
  <c r="B25478" i="2"/>
  <c r="B2367" i="2"/>
  <c r="B25037" i="2"/>
  <c r="B12863" i="2"/>
  <c r="B2067" i="2"/>
  <c r="B30544" i="2"/>
  <c r="B35694" i="2"/>
  <c r="B15609" i="2"/>
  <c r="B30017" i="2"/>
  <c r="B18030" i="2"/>
  <c r="B1586" i="2"/>
  <c r="B34839" i="2"/>
  <c r="B35545" i="2"/>
  <c r="B3965" i="2"/>
  <c r="B35089" i="2"/>
  <c r="B20075" i="2"/>
  <c r="B28453" i="2"/>
  <c r="B27741" i="2"/>
  <c r="B29536" i="2"/>
  <c r="B18874" i="2"/>
  <c r="B22032" i="2"/>
  <c r="B11747" i="2"/>
  <c r="B23434" i="2"/>
  <c r="B3796" i="2"/>
  <c r="B6913" i="2"/>
  <c r="B32015" i="2"/>
  <c r="B22201" i="2"/>
  <c r="B32695" i="2"/>
  <c r="B12362" i="2"/>
  <c r="B24909" i="2"/>
  <c r="B6303" i="2"/>
  <c r="B23785" i="2"/>
  <c r="B2286" i="2"/>
  <c r="B20305" i="2"/>
  <c r="B32194" i="2"/>
  <c r="B10994" i="2"/>
  <c r="B5140" i="2"/>
  <c r="B16418" i="2"/>
  <c r="B2081" i="2"/>
  <c r="B5202" i="2"/>
  <c r="B7896" i="2"/>
  <c r="B8469" i="2"/>
  <c r="B7566" i="2"/>
  <c r="B8705" i="2"/>
  <c r="B33145" i="2"/>
  <c r="B22162" i="2"/>
  <c r="B33295" i="2"/>
  <c r="B21077" i="2"/>
  <c r="B417" i="2"/>
  <c r="B16123" i="2"/>
  <c r="B16029" i="2"/>
  <c r="B25301" i="2"/>
  <c r="B7475" i="2"/>
  <c r="B25170" i="2"/>
  <c r="B8510" i="2"/>
  <c r="B5711" i="2"/>
  <c r="B16211" i="2"/>
  <c r="B22692" i="2"/>
  <c r="B28892" i="2"/>
  <c r="B23891" i="2"/>
  <c r="B5508" i="2"/>
  <c r="B7254" i="2"/>
  <c r="B14868" i="2"/>
  <c r="B8992" i="2"/>
  <c r="B8087" i="2"/>
  <c r="B5831" i="2"/>
  <c r="B32247" i="2"/>
  <c r="B7745" i="2"/>
  <c r="B1304" i="2"/>
  <c r="B7149" i="2"/>
  <c r="B29917" i="2"/>
  <c r="B6061" i="2"/>
  <c r="B36337" i="2"/>
  <c r="B6386" i="2"/>
  <c r="B5855" i="2"/>
  <c r="B17501" i="2"/>
  <c r="B29964" i="2"/>
  <c r="B13322" i="2"/>
  <c r="B21391" i="2"/>
  <c r="B26055" i="2"/>
  <c r="B32617" i="2"/>
  <c r="B30883" i="2"/>
  <c r="B26570" i="2"/>
  <c r="B23727" i="2"/>
  <c r="B17249" i="2"/>
  <c r="B12773" i="2"/>
  <c r="B28588" i="2"/>
  <c r="B32335" i="2"/>
  <c r="B12030" i="2"/>
  <c r="B30568" i="2"/>
  <c r="B29287" i="2"/>
  <c r="B13884" i="2"/>
  <c r="B32875" i="2"/>
  <c r="B34518" i="2"/>
  <c r="B8226" i="2"/>
  <c r="B4110" i="2"/>
  <c r="B10084" i="2"/>
  <c r="B2346" i="2"/>
  <c r="B17856" i="2"/>
  <c r="B12410" i="2"/>
  <c r="B31183" i="2"/>
  <c r="B32040" i="2"/>
  <c r="B1305" i="2"/>
  <c r="B2037" i="2"/>
  <c r="B15037" i="2"/>
  <c r="B27657" i="2"/>
  <c r="B2224" i="2"/>
  <c r="B17822" i="2"/>
  <c r="B28408" i="2"/>
  <c r="B29924" i="2"/>
  <c r="B25741" i="2"/>
  <c r="B18429" i="2"/>
  <c r="B23136" i="2"/>
  <c r="B5072" i="2"/>
  <c r="B1646" i="2"/>
  <c r="B7783" i="2"/>
  <c r="B23025" i="2"/>
  <c r="B2622" i="2"/>
  <c r="B7536" i="2"/>
  <c r="B36227" i="2"/>
  <c r="B9335" i="2"/>
  <c r="B6122" i="2"/>
  <c r="B5367" i="2"/>
  <c r="B5696" i="2"/>
  <c r="B23568" i="2"/>
  <c r="B8284" i="2"/>
  <c r="B2934" i="2"/>
  <c r="B8604" i="2"/>
  <c r="B5501" i="2"/>
  <c r="B20581" i="2"/>
  <c r="B23563" i="2"/>
  <c r="B18512" i="2"/>
  <c r="B7646" i="2"/>
  <c r="B33504" i="2"/>
  <c r="B19869" i="2"/>
  <c r="B5928" i="2"/>
  <c r="B5880" i="2"/>
  <c r="B31549" i="2"/>
  <c r="B12276" i="2"/>
  <c r="B2700" i="2"/>
  <c r="B5327" i="2"/>
  <c r="B22727" i="2"/>
  <c r="B135" i="2"/>
  <c r="B5408" i="2"/>
  <c r="B7329" i="2"/>
  <c r="B4560" i="2"/>
  <c r="B25840" i="2"/>
  <c r="B20022" i="2"/>
  <c r="B8662" i="2"/>
  <c r="B24300" i="2"/>
  <c r="B5441" i="2"/>
  <c r="B25867" i="2"/>
  <c r="B25027" i="2"/>
  <c r="B27670" i="2"/>
  <c r="B15491" i="2"/>
  <c r="B22301" i="2"/>
  <c r="B25010" i="2"/>
  <c r="B34651" i="2"/>
  <c r="B13738" i="2"/>
  <c r="B9275" i="2"/>
  <c r="B7046" i="2"/>
  <c r="B32145" i="2"/>
  <c r="B17296" i="2"/>
  <c r="B7674" i="2"/>
  <c r="B11753" i="2"/>
  <c r="B34186" i="2"/>
  <c r="B35767" i="2"/>
  <c r="B18139" i="2"/>
  <c r="B1388" i="2"/>
  <c r="B20329" i="2"/>
  <c r="B32851" i="2"/>
  <c r="B22819" i="2"/>
  <c r="B32419" i="2"/>
  <c r="B28173" i="2"/>
  <c r="B10800" i="2"/>
  <c r="B4904" i="2"/>
  <c r="B28545" i="2"/>
  <c r="B11205" i="2"/>
  <c r="B27301" i="2"/>
  <c r="B29877" i="2"/>
  <c r="B16474" i="2"/>
  <c r="B16374" i="2"/>
  <c r="B36223" i="2"/>
  <c r="B25145" i="2"/>
  <c r="B32147" i="2"/>
  <c r="B32649" i="2"/>
  <c r="B26226" i="2"/>
  <c r="B21704" i="2"/>
  <c r="B35633" i="2"/>
  <c r="B12962" i="2"/>
  <c r="B276" i="2"/>
  <c r="B4934" i="2"/>
  <c r="B18149" i="2"/>
  <c r="B28069" i="2"/>
  <c r="B1402" i="2"/>
  <c r="B34522" i="2"/>
  <c r="B4331" i="2"/>
  <c r="B14902" i="2"/>
  <c r="B29068" i="2"/>
  <c r="B28726" i="2"/>
  <c r="B1440" i="2"/>
  <c r="B7591" i="2"/>
  <c r="B5718" i="2"/>
  <c r="B19474" i="2"/>
  <c r="B17246" i="2"/>
  <c r="B2564" i="2"/>
  <c r="B5972" i="2"/>
  <c r="B283" i="2"/>
  <c r="B13881" i="2"/>
  <c r="B24210" i="2"/>
  <c r="B13018" i="2"/>
  <c r="B32580" i="2"/>
  <c r="B5476" i="2"/>
  <c r="B24185" i="2"/>
  <c r="B33114" i="2"/>
  <c r="B31970" i="2"/>
  <c r="B21421" i="2"/>
  <c r="B14701" i="2"/>
  <c r="B5822" i="2"/>
  <c r="B5497" i="2"/>
  <c r="B6035" i="2"/>
  <c r="B17258" i="2"/>
  <c r="B7796" i="2"/>
  <c r="B19840" i="2"/>
  <c r="B4244" i="2"/>
  <c r="B26106" i="2"/>
  <c r="B21418" i="2"/>
  <c r="B28590" i="2"/>
  <c r="B7108" i="2"/>
  <c r="B15968" i="2"/>
  <c r="B6843" i="2"/>
  <c r="B9339" i="2"/>
  <c r="B26143" i="2"/>
  <c r="B9422" i="2"/>
  <c r="B32517" i="2"/>
  <c r="B34556" i="2"/>
  <c r="B2559" i="2"/>
  <c r="B6042" i="2"/>
  <c r="B6899" i="2"/>
  <c r="B35302" i="2"/>
  <c r="B13879" i="2"/>
  <c r="B35080" i="2"/>
  <c r="B19097" i="2"/>
  <c r="B6352" i="2"/>
  <c r="B7976" i="2"/>
  <c r="B5801" i="2"/>
  <c r="B32376" i="2"/>
  <c r="B33466" i="2"/>
  <c r="B31443" i="2"/>
  <c r="B1618" i="2"/>
  <c r="B15985" i="2"/>
  <c r="B30480" i="2"/>
  <c r="B28222" i="2"/>
  <c r="B30624" i="2"/>
  <c r="B19339" i="2"/>
  <c r="B34318" i="2"/>
  <c r="B32746" i="2"/>
  <c r="B16837" i="2"/>
  <c r="B18990" i="2"/>
  <c r="B16818" i="2"/>
  <c r="B17701" i="2"/>
  <c r="B31211" i="2"/>
  <c r="B5728" i="2"/>
  <c r="B28697" i="2"/>
  <c r="B29952" i="2"/>
  <c r="B31991" i="2"/>
  <c r="B29326" i="2"/>
  <c r="B22725" i="2"/>
  <c r="B5275" i="2"/>
  <c r="B16049" i="2"/>
  <c r="B124" i="2"/>
  <c r="B29119" i="2"/>
  <c r="B23946" i="2"/>
  <c r="B28511" i="2"/>
  <c r="B2917" i="2"/>
  <c r="B28316" i="2"/>
  <c r="B18669" i="2"/>
  <c r="B30655" i="2"/>
  <c r="B10103" i="2"/>
  <c r="B783" i="2"/>
  <c r="B8168" i="2"/>
  <c r="B19775" i="2"/>
  <c r="B35941" i="2"/>
  <c r="B518" i="2"/>
  <c r="B24408" i="2"/>
  <c r="B17877" i="2"/>
  <c r="B33036" i="2"/>
  <c r="B33132" i="2"/>
  <c r="B36008" i="2"/>
  <c r="B33432" i="2"/>
  <c r="B25713" i="2"/>
  <c r="B8560" i="2"/>
  <c r="B2630" i="2"/>
  <c r="B17732" i="2"/>
  <c r="B30430" i="2"/>
  <c r="B9036" i="2"/>
  <c r="B25589" i="2"/>
  <c r="B6803" i="2"/>
  <c r="B6300" i="2"/>
  <c r="B8361" i="2"/>
  <c r="B24816" i="2"/>
  <c r="B9268" i="2"/>
  <c r="B32969" i="2"/>
  <c r="B3447" i="2"/>
  <c r="B12755" i="2"/>
  <c r="B23914" i="2"/>
  <c r="B8077" i="2"/>
  <c r="B33902" i="2"/>
  <c r="B32060" i="2"/>
  <c r="B19843" i="2"/>
  <c r="B31908" i="2"/>
  <c r="B28713" i="2"/>
  <c r="B27181" i="2"/>
  <c r="B1556" i="2"/>
  <c r="B23163" i="2"/>
  <c r="B15457" i="2"/>
  <c r="B6912" i="2"/>
  <c r="B12345" i="2"/>
  <c r="B7252" i="2"/>
  <c r="B36048" i="2"/>
  <c r="B13538" i="2"/>
  <c r="B18167" i="2"/>
  <c r="B28244" i="2"/>
  <c r="B1034" i="2"/>
  <c r="B14892" i="2"/>
  <c r="B23409" i="2"/>
  <c r="B34640" i="2"/>
  <c r="B31476" i="2"/>
  <c r="B7746" i="2"/>
  <c r="B3933" i="2"/>
  <c r="B17443" i="2"/>
  <c r="B6617" i="2"/>
  <c r="B12085" i="2"/>
  <c r="B11388" i="2"/>
  <c r="B24832" i="2"/>
  <c r="B7518" i="2"/>
  <c r="B8102" i="2"/>
  <c r="B732" i="2"/>
  <c r="B10617" i="2"/>
  <c r="B16714" i="2"/>
  <c r="B15837" i="2"/>
  <c r="B3800" i="2"/>
  <c r="B29421" i="2"/>
  <c r="B12954" i="2"/>
  <c r="B366" i="2"/>
  <c r="B29021" i="2"/>
  <c r="B32259" i="2"/>
  <c r="B9818" i="2"/>
  <c r="B33681" i="2"/>
  <c r="B30203" i="2"/>
  <c r="B4677" i="2"/>
  <c r="B4657" i="2"/>
  <c r="B11558" i="2"/>
  <c r="B30822" i="2"/>
  <c r="B4479" i="2"/>
  <c r="B19319" i="2"/>
  <c r="B5296" i="2"/>
  <c r="B33586" i="2"/>
  <c r="B16089" i="2"/>
  <c r="B3671" i="2"/>
  <c r="B13994" i="2"/>
  <c r="B15335" i="2"/>
  <c r="B28191" i="2"/>
  <c r="B30653" i="2"/>
  <c r="B29453" i="2"/>
  <c r="B17451" i="2"/>
  <c r="B4531" i="2"/>
  <c r="B32791" i="2"/>
  <c r="B17804" i="2"/>
  <c r="B27655" i="2"/>
  <c r="B14444" i="2"/>
  <c r="B35998" i="2"/>
  <c r="B23143" i="2"/>
  <c r="B18066" i="2"/>
  <c r="B4742" i="2"/>
  <c r="B31488" i="2"/>
  <c r="B8681" i="2"/>
  <c r="B31839" i="2"/>
  <c r="B4316" i="2"/>
  <c r="B21790" i="2"/>
  <c r="B9097" i="2"/>
  <c r="B23615" i="2"/>
  <c r="B6000" i="2"/>
  <c r="B11666" i="2"/>
  <c r="B18173" i="2"/>
  <c r="B2958" i="2"/>
  <c r="B30151" i="2"/>
  <c r="B10134" i="2"/>
  <c r="B31180" i="2"/>
  <c r="B18100" i="2"/>
  <c r="B5631" i="2"/>
  <c r="B10043" i="2"/>
  <c r="B5899" i="2"/>
  <c r="B6593" i="2"/>
  <c r="B30252" i="2"/>
  <c r="B134" i="2"/>
  <c r="B10646" i="2"/>
  <c r="B4275" i="2"/>
  <c r="B27380" i="2"/>
  <c r="B11522" i="2"/>
  <c r="B2689" i="2"/>
  <c r="B24398" i="2"/>
  <c r="B35465" i="2"/>
  <c r="B3316" i="2"/>
  <c r="B27678" i="2"/>
  <c r="B35758" i="2"/>
  <c r="B25987" i="2"/>
  <c r="B21241" i="2"/>
  <c r="B15639" i="2"/>
  <c r="B26704" i="2"/>
  <c r="B34225" i="2"/>
  <c r="B28192" i="2"/>
  <c r="B691" i="2"/>
  <c r="B36173" i="2"/>
  <c r="B3197" i="2"/>
  <c r="B16970" i="2"/>
  <c r="B32513" i="2"/>
  <c r="B199" i="2"/>
  <c r="B27818" i="2"/>
  <c r="B35399" i="2"/>
  <c r="B18500" i="2"/>
  <c r="B2455" i="2"/>
  <c r="B1068" i="2"/>
  <c r="B467" i="2"/>
  <c r="B8643" i="2"/>
  <c r="B6541" i="2"/>
  <c r="B25356" i="2"/>
  <c r="B31104" i="2"/>
  <c r="B33079" i="2"/>
  <c r="B16634" i="2"/>
  <c r="B29041" i="2"/>
  <c r="B10170" i="2"/>
  <c r="B20773" i="2"/>
  <c r="B15678" i="2"/>
  <c r="B657" i="2"/>
  <c r="B11015" i="2"/>
  <c r="B5949" i="2"/>
  <c r="B6389" i="2"/>
  <c r="B30154" i="2"/>
  <c r="B5427" i="2"/>
  <c r="B10443" i="2"/>
  <c r="B1062" i="2"/>
  <c r="B35295" i="2"/>
  <c r="B10337" i="2"/>
  <c r="B17280" i="2"/>
  <c r="B27752" i="2"/>
  <c r="B27833" i="2"/>
  <c r="B2141" i="2"/>
  <c r="B31127" i="2"/>
  <c r="B14628" i="2"/>
  <c r="B21750" i="2"/>
  <c r="B29812" i="2"/>
  <c r="B12461" i="2"/>
  <c r="B23515" i="2"/>
  <c r="B4339" i="2"/>
  <c r="B20072" i="2"/>
  <c r="B30893" i="2"/>
  <c r="B32299" i="2"/>
  <c r="B18659" i="2"/>
  <c r="B4277" i="2"/>
  <c r="B11487" i="2"/>
  <c r="B16184" i="2"/>
  <c r="B30511" i="2"/>
  <c r="B34705" i="2"/>
  <c r="B30536" i="2"/>
  <c r="B31349" i="2"/>
  <c r="B3443" i="2"/>
  <c r="B34826" i="2"/>
  <c r="B19228" i="2"/>
  <c r="B16716" i="2"/>
  <c r="B9255" i="2"/>
  <c r="B21637" i="2"/>
  <c r="B174" i="2"/>
  <c r="B7415" i="2"/>
  <c r="B7503" i="2"/>
  <c r="B19837" i="2"/>
  <c r="B3260" i="2"/>
  <c r="B21181" i="2"/>
  <c r="B26092" i="2"/>
  <c r="B8101" i="2"/>
  <c r="B5845" i="2"/>
  <c r="B7069" i="2"/>
  <c r="B25973" i="2"/>
  <c r="B7179" i="2"/>
  <c r="B6907" i="2"/>
  <c r="B33175" i="2"/>
  <c r="B1670" i="2"/>
  <c r="B33325" i="2"/>
  <c r="B11739" i="2"/>
  <c r="B6865" i="2"/>
  <c r="B33321" i="2"/>
  <c r="B25778" i="2"/>
  <c r="B24286" i="2"/>
  <c r="B30025" i="2"/>
  <c r="B9246" i="2"/>
  <c r="B19360" i="2"/>
  <c r="B30703" i="2"/>
  <c r="B8778" i="2"/>
  <c r="B33415" i="2"/>
  <c r="B23132" i="2"/>
  <c r="B13145" i="2"/>
  <c r="B6707" i="2"/>
  <c r="B303" i="2"/>
  <c r="B29074" i="2"/>
  <c r="B8734" i="2"/>
  <c r="B9548" i="2"/>
  <c r="B17008" i="2"/>
  <c r="B33513" i="2"/>
  <c r="B4341" i="2"/>
  <c r="B10814" i="2"/>
  <c r="B9521" i="2"/>
  <c r="B22766" i="2"/>
  <c r="B26911" i="2"/>
  <c r="B28095" i="2"/>
  <c r="B27769" i="2"/>
  <c r="B10020" i="2"/>
  <c r="B30882" i="2"/>
  <c r="B9670" i="2"/>
  <c r="B11127" i="2"/>
  <c r="B31990" i="2"/>
  <c r="B33156" i="2"/>
  <c r="B6280" i="2"/>
  <c r="B33189" i="2"/>
  <c r="B7458" i="2"/>
  <c r="B13696" i="2"/>
  <c r="B5083" i="2"/>
  <c r="B28573" i="2"/>
  <c r="B25757" i="2"/>
  <c r="B5369" i="2"/>
  <c r="B24492" i="2"/>
  <c r="B7491" i="2"/>
  <c r="B30963" i="2"/>
  <c r="B4769" i="2"/>
  <c r="B33597" i="2"/>
  <c r="B35206" i="2"/>
  <c r="B12119" i="2"/>
  <c r="B2031" i="2"/>
  <c r="B11121" i="2"/>
  <c r="B35593" i="2"/>
  <c r="B33591" i="2"/>
  <c r="B556" i="2"/>
  <c r="B1261" i="2"/>
  <c r="B28670" i="2"/>
  <c r="B28365" i="2"/>
  <c r="B10697" i="2"/>
  <c r="B28280" i="2"/>
  <c r="B34993" i="2"/>
  <c r="B5195" i="2"/>
  <c r="B9677" i="2"/>
  <c r="B12353" i="2"/>
  <c r="B368" i="2"/>
  <c r="B14202" i="2"/>
  <c r="B28932" i="2"/>
  <c r="B23800" i="2"/>
  <c r="B14781" i="2"/>
  <c r="B28327" i="2"/>
  <c r="B17656" i="2"/>
  <c r="B14230" i="2"/>
  <c r="B16065" i="2"/>
  <c r="B11964" i="2"/>
  <c r="B22759" i="2"/>
  <c r="B12964" i="2"/>
  <c r="B21684" i="2"/>
  <c r="B29664" i="2"/>
  <c r="B32201" i="2"/>
  <c r="B18059" i="2"/>
  <c r="B36328" i="2"/>
  <c r="B31809" i="2"/>
  <c r="B12960" i="2"/>
  <c r="B27888" i="2"/>
  <c r="B3927" i="2"/>
  <c r="B19771" i="2"/>
  <c r="B17197" i="2"/>
  <c r="B10283" i="2"/>
  <c r="B12008" i="2"/>
  <c r="B13085" i="2"/>
  <c r="B31931" i="2"/>
  <c r="B9041" i="2"/>
  <c r="B14161" i="2"/>
  <c r="B23445" i="2"/>
  <c r="B8917" i="2"/>
  <c r="B6142" i="2"/>
  <c r="B17698" i="2"/>
  <c r="B8855" i="2"/>
  <c r="B5348" i="2"/>
  <c r="B8169" i="2"/>
  <c r="B4684" i="2"/>
  <c r="B23911" i="2"/>
  <c r="B6679" i="2"/>
  <c r="B1933" i="2"/>
  <c r="B33541" i="2"/>
  <c r="B6513" i="2"/>
  <c r="B8096" i="2"/>
  <c r="B5172" i="2"/>
  <c r="B2376" i="2"/>
  <c r="B3212" i="2"/>
  <c r="B3892" i="2"/>
  <c r="B5763" i="2"/>
  <c r="B5234" i="2"/>
  <c r="B10102" i="2"/>
  <c r="B211" i="2"/>
  <c r="B35551" i="2"/>
  <c r="B10195" i="2"/>
  <c r="B36238" i="2"/>
  <c r="B28059" i="2"/>
  <c r="B10113" i="2"/>
  <c r="B34834" i="2"/>
  <c r="B15651" i="2"/>
  <c r="B9428" i="2"/>
  <c r="B14989" i="2"/>
  <c r="B20088" i="2"/>
  <c r="B30776" i="2"/>
  <c r="B1465" i="2"/>
  <c r="B32423" i="2"/>
  <c r="B34663" i="2"/>
</calcChain>
</file>

<file path=xl/sharedStrings.xml><?xml version="1.0" encoding="utf-8"?>
<sst xmlns="http://schemas.openxmlformats.org/spreadsheetml/2006/main" count="4" uniqueCount="4">
  <si>
    <t>Α/Α</t>
  </si>
  <si>
    <t>ΜΟΝΑΔΙΚΟΣ ΚΩΔΙΚΟΣ</t>
  </si>
  <si>
    <t>ΑΣΕΠ
Β΄ΔΙΕΥΘΥΝΣΗ ΕΠΙΛΟΓΗΣ ΠΡΟΣΩΠΙΚΟΥ</t>
  </si>
  <si>
    <t>ΠΡΟΚΗΡΥΞΗ
8Κ/2024 (ΦΕΚ 62/τ. Α.Σ.Ε.Π./31.12.2024 &amp; 
ΦΕΚ 1/τ. Α.Σ.Ε.Π./14.1.2025)
ΚΑΤΗΓΟΡΙΑ ΔΕΥΤΕΡΟΒΑΘΜΙΑΣ ΕΚΠΑΙΔΕΥΣΗΣ 
ΠΡΟΣΚΛΗΣΗ ΥΠΟΨΗΦΙΩΝ
ΓΙΑ ΗΛΕΚΤΡΟΝΙΚΗ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</si>
</sst>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375"/>
  <sheetViews>
    <sheetView tabSelected="1" workbookViewId="0">
      <selection sqref="A1:B1"/>
    </sheetView>
  </sheetViews>
  <sheetFormatPr defaultRowHeight="15" x14ac:dyDescent="0.25"/>
  <cols>
    <col min="2" max="2" width="43" customWidth="1"/>
  </cols>
  <sheetData>
    <row r="1" spans="1:2" ht="42.75" customHeight="1" x14ac:dyDescent="0.25">
      <c r="A1" s="4" t="s">
        <v>2</v>
      </c>
      <c r="B1" s="5"/>
    </row>
    <row r="2" spans="1:2" x14ac:dyDescent="0.25">
      <c r="A2" s="6"/>
      <c r="B2" s="7"/>
    </row>
    <row r="3" spans="1:2" ht="106.5" customHeight="1" x14ac:dyDescent="0.25">
      <c r="A3" s="8" t="s">
        <v>3</v>
      </c>
      <c r="B3" s="9"/>
    </row>
    <row r="4" spans="1:2" ht="15" customHeight="1" thickBot="1" x14ac:dyDescent="0.3">
      <c r="A4" s="10"/>
      <c r="B4" s="11"/>
    </row>
    <row r="5" spans="1:2" ht="15" customHeight="1" x14ac:dyDescent="0.25">
      <c r="A5" s="1" t="s">
        <v>0</v>
      </c>
      <c r="B5" s="1" t="s">
        <v>1</v>
      </c>
    </row>
    <row r="6" spans="1:2" ht="15" customHeight="1" x14ac:dyDescent="0.25">
      <c r="A6" s="2">
        <v>1</v>
      </c>
      <c r="B6" s="3" t="str">
        <f>"00001011"</f>
        <v>00001011</v>
      </c>
    </row>
    <row r="7" spans="1:2" ht="15" customHeight="1" x14ac:dyDescent="0.25">
      <c r="A7" s="2">
        <v>2</v>
      </c>
      <c r="B7" s="3" t="str">
        <f>"00001114"</f>
        <v>00001114</v>
      </c>
    </row>
    <row r="8" spans="1:2" ht="15" customHeight="1" x14ac:dyDescent="0.25">
      <c r="A8" s="2">
        <v>3</v>
      </c>
      <c r="B8" s="3" t="str">
        <f>"00001251"</f>
        <v>00001251</v>
      </c>
    </row>
    <row r="9" spans="1:2" ht="15" customHeight="1" x14ac:dyDescent="0.25">
      <c r="A9" s="2">
        <v>4</v>
      </c>
      <c r="B9" s="3" t="str">
        <f>"00001256"</f>
        <v>00001256</v>
      </c>
    </row>
    <row r="10" spans="1:2" ht="15" customHeight="1" x14ac:dyDescent="0.25">
      <c r="A10" s="2">
        <v>5</v>
      </c>
      <c r="B10" s="3" t="str">
        <f>"00001338"</f>
        <v>00001338</v>
      </c>
    </row>
    <row r="11" spans="1:2" ht="15" customHeight="1" x14ac:dyDescent="0.25">
      <c r="A11" s="2">
        <v>6</v>
      </c>
      <c r="B11" s="3" t="str">
        <f>"00001358"</f>
        <v>00001358</v>
      </c>
    </row>
    <row r="12" spans="1:2" x14ac:dyDescent="0.25">
      <c r="A12" s="2">
        <v>7</v>
      </c>
      <c r="B12" s="3" t="str">
        <f>"00001376"</f>
        <v>00001376</v>
      </c>
    </row>
    <row r="13" spans="1:2" x14ac:dyDescent="0.25">
      <c r="A13" s="2">
        <v>8</v>
      </c>
      <c r="B13" s="3" t="str">
        <f>"00001415"</f>
        <v>00001415</v>
      </c>
    </row>
    <row r="14" spans="1:2" x14ac:dyDescent="0.25">
      <c r="A14" s="2">
        <v>9</v>
      </c>
      <c r="B14" s="3" t="str">
        <f>"00001491"</f>
        <v>00001491</v>
      </c>
    </row>
    <row r="15" spans="1:2" x14ac:dyDescent="0.25">
      <c r="A15" s="2">
        <v>10</v>
      </c>
      <c r="B15" s="3" t="str">
        <f>"00001589"</f>
        <v>00001589</v>
      </c>
    </row>
    <row r="16" spans="1:2" x14ac:dyDescent="0.25">
      <c r="A16" s="2">
        <v>11</v>
      </c>
      <c r="B16" s="3" t="str">
        <f>"00001638"</f>
        <v>00001638</v>
      </c>
    </row>
    <row r="17" spans="1:2" x14ac:dyDescent="0.25">
      <c r="A17" s="2">
        <v>12</v>
      </c>
      <c r="B17" s="3" t="str">
        <f>"00001681"</f>
        <v>00001681</v>
      </c>
    </row>
    <row r="18" spans="1:2" x14ac:dyDescent="0.25">
      <c r="A18" s="2">
        <v>13</v>
      </c>
      <c r="B18" s="3" t="str">
        <f>"00001685"</f>
        <v>00001685</v>
      </c>
    </row>
    <row r="19" spans="1:2" x14ac:dyDescent="0.25">
      <c r="A19" s="2">
        <v>14</v>
      </c>
      <c r="B19" s="3" t="str">
        <f>"00001687"</f>
        <v>00001687</v>
      </c>
    </row>
    <row r="20" spans="1:2" x14ac:dyDescent="0.25">
      <c r="A20" s="2">
        <v>15</v>
      </c>
      <c r="B20" s="3" t="str">
        <f>"00001714"</f>
        <v>00001714</v>
      </c>
    </row>
    <row r="21" spans="1:2" x14ac:dyDescent="0.25">
      <c r="A21" s="2">
        <v>16</v>
      </c>
      <c r="B21" s="3" t="str">
        <f>"00001720"</f>
        <v>00001720</v>
      </c>
    </row>
    <row r="22" spans="1:2" x14ac:dyDescent="0.25">
      <c r="A22" s="2">
        <v>17</v>
      </c>
      <c r="B22" s="3" t="str">
        <f>"00001750"</f>
        <v>00001750</v>
      </c>
    </row>
    <row r="23" spans="1:2" x14ac:dyDescent="0.25">
      <c r="A23" s="2">
        <v>18</v>
      </c>
      <c r="B23" s="3" t="str">
        <f>"00001799"</f>
        <v>00001799</v>
      </c>
    </row>
    <row r="24" spans="1:2" x14ac:dyDescent="0.25">
      <c r="A24" s="2">
        <v>19</v>
      </c>
      <c r="B24" s="3" t="str">
        <f>"00001883"</f>
        <v>00001883</v>
      </c>
    </row>
    <row r="25" spans="1:2" x14ac:dyDescent="0.25">
      <c r="A25" s="2">
        <v>20</v>
      </c>
      <c r="B25" s="3" t="str">
        <f>"00001884"</f>
        <v>00001884</v>
      </c>
    </row>
    <row r="26" spans="1:2" x14ac:dyDescent="0.25">
      <c r="A26" s="2">
        <v>21</v>
      </c>
      <c r="B26" s="3" t="str">
        <f>"00001964"</f>
        <v>00001964</v>
      </c>
    </row>
    <row r="27" spans="1:2" x14ac:dyDescent="0.25">
      <c r="A27" s="2">
        <v>22</v>
      </c>
      <c r="B27" s="3" t="str">
        <f>"00001973"</f>
        <v>00001973</v>
      </c>
    </row>
    <row r="28" spans="1:2" x14ac:dyDescent="0.25">
      <c r="A28" s="2">
        <v>23</v>
      </c>
      <c r="B28" s="3" t="str">
        <f>"00001974"</f>
        <v>00001974</v>
      </c>
    </row>
    <row r="29" spans="1:2" x14ac:dyDescent="0.25">
      <c r="A29" s="2">
        <v>24</v>
      </c>
      <c r="B29" s="3" t="str">
        <f>"00002015"</f>
        <v>00002015</v>
      </c>
    </row>
    <row r="30" spans="1:2" x14ac:dyDescent="0.25">
      <c r="A30" s="2">
        <v>25</v>
      </c>
      <c r="B30" s="3" t="str">
        <f>"00002039"</f>
        <v>00002039</v>
      </c>
    </row>
    <row r="31" spans="1:2" x14ac:dyDescent="0.25">
      <c r="A31" s="2">
        <v>26</v>
      </c>
      <c r="B31" s="3" t="str">
        <f>"00002110"</f>
        <v>00002110</v>
      </c>
    </row>
    <row r="32" spans="1:2" x14ac:dyDescent="0.25">
      <c r="A32" s="2">
        <v>27</v>
      </c>
      <c r="B32" s="3" t="str">
        <f>"00002132"</f>
        <v>00002132</v>
      </c>
    </row>
    <row r="33" spans="1:2" x14ac:dyDescent="0.25">
      <c r="A33" s="2">
        <v>28</v>
      </c>
      <c r="B33" s="3" t="str">
        <f>"00002145"</f>
        <v>00002145</v>
      </c>
    </row>
    <row r="34" spans="1:2" x14ac:dyDescent="0.25">
      <c r="A34" s="2">
        <v>29</v>
      </c>
      <c r="B34" s="3" t="str">
        <f>"00002169"</f>
        <v>00002169</v>
      </c>
    </row>
    <row r="35" spans="1:2" x14ac:dyDescent="0.25">
      <c r="A35" s="2">
        <v>30</v>
      </c>
      <c r="B35" s="3" t="str">
        <f>"00002290"</f>
        <v>00002290</v>
      </c>
    </row>
    <row r="36" spans="1:2" x14ac:dyDescent="0.25">
      <c r="A36" s="2">
        <v>31</v>
      </c>
      <c r="B36" s="3" t="str">
        <f>"00002305"</f>
        <v>00002305</v>
      </c>
    </row>
    <row r="37" spans="1:2" x14ac:dyDescent="0.25">
      <c r="A37" s="2">
        <v>32</v>
      </c>
      <c r="B37" s="3" t="str">
        <f>"00002306"</f>
        <v>00002306</v>
      </c>
    </row>
    <row r="38" spans="1:2" x14ac:dyDescent="0.25">
      <c r="A38" s="2">
        <v>33</v>
      </c>
      <c r="B38" s="3" t="str">
        <f>"00002360"</f>
        <v>00002360</v>
      </c>
    </row>
    <row r="39" spans="1:2" x14ac:dyDescent="0.25">
      <c r="A39" s="2">
        <v>34</v>
      </c>
      <c r="B39" s="3" t="str">
        <f>"00002469"</f>
        <v>00002469</v>
      </c>
    </row>
    <row r="40" spans="1:2" x14ac:dyDescent="0.25">
      <c r="A40" s="2">
        <v>35</v>
      </c>
      <c r="B40" s="3" t="str">
        <f>"00002519"</f>
        <v>00002519</v>
      </c>
    </row>
    <row r="41" spans="1:2" x14ac:dyDescent="0.25">
      <c r="A41" s="2">
        <v>36</v>
      </c>
      <c r="B41" s="3" t="str">
        <f>"00002521"</f>
        <v>00002521</v>
      </c>
    </row>
    <row r="42" spans="1:2" x14ac:dyDescent="0.25">
      <c r="A42" s="2">
        <v>37</v>
      </c>
      <c r="B42" s="3" t="str">
        <f>"00002673"</f>
        <v>00002673</v>
      </c>
    </row>
    <row r="43" spans="1:2" x14ac:dyDescent="0.25">
      <c r="A43" s="2">
        <v>38</v>
      </c>
      <c r="B43" s="3" t="str">
        <f>"00002675"</f>
        <v>00002675</v>
      </c>
    </row>
    <row r="44" spans="1:2" x14ac:dyDescent="0.25">
      <c r="A44" s="2">
        <v>39</v>
      </c>
      <c r="B44" s="3" t="str">
        <f>"00002744"</f>
        <v>00002744</v>
      </c>
    </row>
    <row r="45" spans="1:2" x14ac:dyDescent="0.25">
      <c r="A45" s="2">
        <v>40</v>
      </c>
      <c r="B45" s="3" t="str">
        <f>"00002755"</f>
        <v>00002755</v>
      </c>
    </row>
    <row r="46" spans="1:2" x14ac:dyDescent="0.25">
      <c r="A46" s="2">
        <v>41</v>
      </c>
      <c r="B46" s="3" t="str">
        <f>"00002763"</f>
        <v>00002763</v>
      </c>
    </row>
    <row r="47" spans="1:2" x14ac:dyDescent="0.25">
      <c r="A47" s="2">
        <v>42</v>
      </c>
      <c r="B47" s="3" t="str">
        <f>"00002872"</f>
        <v>00002872</v>
      </c>
    </row>
    <row r="48" spans="1:2" x14ac:dyDescent="0.25">
      <c r="A48" s="2">
        <v>43</v>
      </c>
      <c r="B48" s="3" t="str">
        <f>"00002944"</f>
        <v>00002944</v>
      </c>
    </row>
    <row r="49" spans="1:2" x14ac:dyDescent="0.25">
      <c r="A49" s="2">
        <v>44</v>
      </c>
      <c r="B49" s="3" t="str">
        <f>"00003026"</f>
        <v>00003026</v>
      </c>
    </row>
    <row r="50" spans="1:2" x14ac:dyDescent="0.25">
      <c r="A50" s="2">
        <v>45</v>
      </c>
      <c r="B50" s="3" t="str">
        <f>"00003067"</f>
        <v>00003067</v>
      </c>
    </row>
    <row r="51" spans="1:2" x14ac:dyDescent="0.25">
      <c r="A51" s="2">
        <v>46</v>
      </c>
      <c r="B51" s="3" t="str">
        <f>"00003110"</f>
        <v>00003110</v>
      </c>
    </row>
    <row r="52" spans="1:2" x14ac:dyDescent="0.25">
      <c r="A52" s="2">
        <v>47</v>
      </c>
      <c r="B52" s="3" t="str">
        <f>"00003144"</f>
        <v>00003144</v>
      </c>
    </row>
    <row r="53" spans="1:2" x14ac:dyDescent="0.25">
      <c r="A53" s="2">
        <v>48</v>
      </c>
      <c r="B53" s="3" t="str">
        <f>"00003263"</f>
        <v>00003263</v>
      </c>
    </row>
    <row r="54" spans="1:2" x14ac:dyDescent="0.25">
      <c r="A54" s="2">
        <v>49</v>
      </c>
      <c r="B54" s="3" t="str">
        <f>"00003334"</f>
        <v>00003334</v>
      </c>
    </row>
    <row r="55" spans="1:2" x14ac:dyDescent="0.25">
      <c r="A55" s="2">
        <v>50</v>
      </c>
      <c r="B55" s="3" t="str">
        <f>"00003413"</f>
        <v>00003413</v>
      </c>
    </row>
    <row r="56" spans="1:2" x14ac:dyDescent="0.25">
      <c r="A56" s="2">
        <v>51</v>
      </c>
      <c r="B56" s="3" t="str">
        <f>"00003426"</f>
        <v>00003426</v>
      </c>
    </row>
    <row r="57" spans="1:2" x14ac:dyDescent="0.25">
      <c r="A57" s="2">
        <v>52</v>
      </c>
      <c r="B57" s="3" t="str">
        <f>"00003483"</f>
        <v>00003483</v>
      </c>
    </row>
    <row r="58" spans="1:2" x14ac:dyDescent="0.25">
      <c r="A58" s="2">
        <v>53</v>
      </c>
      <c r="B58" s="3" t="str">
        <f>"00003495"</f>
        <v>00003495</v>
      </c>
    </row>
    <row r="59" spans="1:2" x14ac:dyDescent="0.25">
      <c r="A59" s="2">
        <v>54</v>
      </c>
      <c r="B59" s="3" t="str">
        <f>"00003529"</f>
        <v>00003529</v>
      </c>
    </row>
    <row r="60" spans="1:2" x14ac:dyDescent="0.25">
      <c r="A60" s="2">
        <v>55</v>
      </c>
      <c r="B60" s="3" t="str">
        <f>"00003680"</f>
        <v>00003680</v>
      </c>
    </row>
    <row r="61" spans="1:2" x14ac:dyDescent="0.25">
      <c r="A61" s="2">
        <v>56</v>
      </c>
      <c r="B61" s="3" t="str">
        <f>"00003742"</f>
        <v>00003742</v>
      </c>
    </row>
    <row r="62" spans="1:2" x14ac:dyDescent="0.25">
      <c r="A62" s="2">
        <v>57</v>
      </c>
      <c r="B62" s="3" t="str">
        <f>"00003757"</f>
        <v>00003757</v>
      </c>
    </row>
    <row r="63" spans="1:2" x14ac:dyDescent="0.25">
      <c r="A63" s="2">
        <v>58</v>
      </c>
      <c r="B63" s="3" t="str">
        <f>"00003854"</f>
        <v>00003854</v>
      </c>
    </row>
    <row r="64" spans="1:2" x14ac:dyDescent="0.25">
      <c r="A64" s="2">
        <v>59</v>
      </c>
      <c r="B64" s="3" t="str">
        <f>"00003856"</f>
        <v>00003856</v>
      </c>
    </row>
    <row r="65" spans="1:2" x14ac:dyDescent="0.25">
      <c r="A65" s="2">
        <v>60</v>
      </c>
      <c r="B65" s="3" t="str">
        <f>"00004029"</f>
        <v>00004029</v>
      </c>
    </row>
    <row r="66" spans="1:2" x14ac:dyDescent="0.25">
      <c r="A66" s="2">
        <v>61</v>
      </c>
      <c r="B66" s="3" t="str">
        <f>"00004040"</f>
        <v>00004040</v>
      </c>
    </row>
    <row r="67" spans="1:2" x14ac:dyDescent="0.25">
      <c r="A67" s="2">
        <v>62</v>
      </c>
      <c r="B67" s="3" t="str">
        <f>"00004051"</f>
        <v>00004051</v>
      </c>
    </row>
    <row r="68" spans="1:2" x14ac:dyDescent="0.25">
      <c r="A68" s="2">
        <v>63</v>
      </c>
      <c r="B68" s="3" t="str">
        <f>"00004174"</f>
        <v>00004174</v>
      </c>
    </row>
    <row r="69" spans="1:2" x14ac:dyDescent="0.25">
      <c r="A69" s="2">
        <v>64</v>
      </c>
      <c r="B69" s="3" t="str">
        <f>"00004192"</f>
        <v>00004192</v>
      </c>
    </row>
    <row r="70" spans="1:2" x14ac:dyDescent="0.25">
      <c r="A70" s="2">
        <v>65</v>
      </c>
      <c r="B70" s="3" t="str">
        <f>"00004194"</f>
        <v>00004194</v>
      </c>
    </row>
    <row r="71" spans="1:2" x14ac:dyDescent="0.25">
      <c r="A71" s="2">
        <v>66</v>
      </c>
      <c r="B71" s="3" t="str">
        <f>"00004200"</f>
        <v>00004200</v>
      </c>
    </row>
    <row r="72" spans="1:2" x14ac:dyDescent="0.25">
      <c r="A72" s="2">
        <v>67</v>
      </c>
      <c r="B72" s="3" t="str">
        <f>"00004218"</f>
        <v>00004218</v>
      </c>
    </row>
    <row r="73" spans="1:2" x14ac:dyDescent="0.25">
      <c r="A73" s="2">
        <v>68</v>
      </c>
      <c r="B73" s="3" t="str">
        <f>"00004290"</f>
        <v>00004290</v>
      </c>
    </row>
    <row r="74" spans="1:2" x14ac:dyDescent="0.25">
      <c r="A74" s="2">
        <v>69</v>
      </c>
      <c r="B74" s="3" t="str">
        <f>"00004309"</f>
        <v>00004309</v>
      </c>
    </row>
    <row r="75" spans="1:2" x14ac:dyDescent="0.25">
      <c r="A75" s="2">
        <v>70</v>
      </c>
      <c r="B75" s="3" t="str">
        <f>"00004316"</f>
        <v>00004316</v>
      </c>
    </row>
    <row r="76" spans="1:2" x14ac:dyDescent="0.25">
      <c r="A76" s="2">
        <v>71</v>
      </c>
      <c r="B76" s="3" t="str">
        <f>"00004367"</f>
        <v>00004367</v>
      </c>
    </row>
    <row r="77" spans="1:2" x14ac:dyDescent="0.25">
      <c r="A77" s="2">
        <v>72</v>
      </c>
      <c r="B77" s="3" t="str">
        <f>"00004444"</f>
        <v>00004444</v>
      </c>
    </row>
    <row r="78" spans="1:2" x14ac:dyDescent="0.25">
      <c r="A78" s="2">
        <v>73</v>
      </c>
      <c r="B78" s="3" t="str">
        <f>"00004479"</f>
        <v>00004479</v>
      </c>
    </row>
    <row r="79" spans="1:2" x14ac:dyDescent="0.25">
      <c r="A79" s="2">
        <v>74</v>
      </c>
      <c r="B79" s="3" t="str">
        <f>"00004577"</f>
        <v>00004577</v>
      </c>
    </row>
    <row r="80" spans="1:2" x14ac:dyDescent="0.25">
      <c r="A80" s="2">
        <v>75</v>
      </c>
      <c r="B80" s="3" t="str">
        <f>"00004651"</f>
        <v>00004651</v>
      </c>
    </row>
    <row r="81" spans="1:2" x14ac:dyDescent="0.25">
      <c r="A81" s="2">
        <v>76</v>
      </c>
      <c r="B81" s="3" t="str">
        <f>"00004675"</f>
        <v>00004675</v>
      </c>
    </row>
    <row r="82" spans="1:2" x14ac:dyDescent="0.25">
      <c r="A82" s="2">
        <v>77</v>
      </c>
      <c r="B82" s="3" t="str">
        <f>"00004866"</f>
        <v>00004866</v>
      </c>
    </row>
    <row r="83" spans="1:2" x14ac:dyDescent="0.25">
      <c r="A83" s="2">
        <v>78</v>
      </c>
      <c r="B83" s="3" t="str">
        <f>"00004877"</f>
        <v>00004877</v>
      </c>
    </row>
    <row r="84" spans="1:2" x14ac:dyDescent="0.25">
      <c r="A84" s="2">
        <v>79</v>
      </c>
      <c r="B84" s="3" t="str">
        <f>"00004893"</f>
        <v>00004893</v>
      </c>
    </row>
    <row r="85" spans="1:2" x14ac:dyDescent="0.25">
      <c r="A85" s="2">
        <v>80</v>
      </c>
      <c r="B85" s="3" t="str">
        <f>"00004913"</f>
        <v>00004913</v>
      </c>
    </row>
    <row r="86" spans="1:2" x14ac:dyDescent="0.25">
      <c r="A86" s="2">
        <v>81</v>
      </c>
      <c r="B86" s="3" t="str">
        <f>"00004919"</f>
        <v>00004919</v>
      </c>
    </row>
    <row r="87" spans="1:2" x14ac:dyDescent="0.25">
      <c r="A87" s="2">
        <v>82</v>
      </c>
      <c r="B87" s="3" t="str">
        <f>"00005048"</f>
        <v>00005048</v>
      </c>
    </row>
    <row r="88" spans="1:2" x14ac:dyDescent="0.25">
      <c r="A88" s="2">
        <v>83</v>
      </c>
      <c r="B88" s="3" t="str">
        <f>"00005055"</f>
        <v>00005055</v>
      </c>
    </row>
    <row r="89" spans="1:2" x14ac:dyDescent="0.25">
      <c r="A89" s="2">
        <v>84</v>
      </c>
      <c r="B89" s="3" t="str">
        <f>"00005075"</f>
        <v>00005075</v>
      </c>
    </row>
    <row r="90" spans="1:2" x14ac:dyDescent="0.25">
      <c r="A90" s="2">
        <v>85</v>
      </c>
      <c r="B90" s="3" t="str">
        <f>"00005209"</f>
        <v>00005209</v>
      </c>
    </row>
    <row r="91" spans="1:2" x14ac:dyDescent="0.25">
      <c r="A91" s="2">
        <v>86</v>
      </c>
      <c r="B91" s="3" t="str">
        <f>"00005214"</f>
        <v>00005214</v>
      </c>
    </row>
    <row r="92" spans="1:2" x14ac:dyDescent="0.25">
      <c r="A92" s="2">
        <v>87</v>
      </c>
      <c r="B92" s="3" t="str">
        <f>"00005280"</f>
        <v>00005280</v>
      </c>
    </row>
    <row r="93" spans="1:2" x14ac:dyDescent="0.25">
      <c r="A93" s="2">
        <v>88</v>
      </c>
      <c r="B93" s="3" t="str">
        <f>"00005291"</f>
        <v>00005291</v>
      </c>
    </row>
    <row r="94" spans="1:2" x14ac:dyDescent="0.25">
      <c r="A94" s="2">
        <v>89</v>
      </c>
      <c r="B94" s="3" t="str">
        <f>"00005314"</f>
        <v>00005314</v>
      </c>
    </row>
    <row r="95" spans="1:2" x14ac:dyDescent="0.25">
      <c r="A95" s="2">
        <v>90</v>
      </c>
      <c r="B95" s="3" t="str">
        <f>"00005328"</f>
        <v>00005328</v>
      </c>
    </row>
    <row r="96" spans="1:2" x14ac:dyDescent="0.25">
      <c r="A96" s="2">
        <v>91</v>
      </c>
      <c r="B96" s="3" t="str">
        <f>"00005350"</f>
        <v>00005350</v>
      </c>
    </row>
    <row r="97" spans="1:2" x14ac:dyDescent="0.25">
      <c r="A97" s="2">
        <v>92</v>
      </c>
      <c r="B97" s="3" t="str">
        <f>"00005389"</f>
        <v>00005389</v>
      </c>
    </row>
    <row r="98" spans="1:2" x14ac:dyDescent="0.25">
      <c r="A98" s="2">
        <v>93</v>
      </c>
      <c r="B98" s="3" t="str">
        <f>"00005401"</f>
        <v>00005401</v>
      </c>
    </row>
    <row r="99" spans="1:2" x14ac:dyDescent="0.25">
      <c r="A99" s="2">
        <v>94</v>
      </c>
      <c r="B99" s="3" t="str">
        <f>"00005446"</f>
        <v>00005446</v>
      </c>
    </row>
    <row r="100" spans="1:2" x14ac:dyDescent="0.25">
      <c r="A100" s="2">
        <v>95</v>
      </c>
      <c r="B100" s="3" t="str">
        <f>"00005543"</f>
        <v>00005543</v>
      </c>
    </row>
    <row r="101" spans="1:2" x14ac:dyDescent="0.25">
      <c r="A101" s="2">
        <v>96</v>
      </c>
      <c r="B101" s="3" t="str">
        <f>"00005569"</f>
        <v>00005569</v>
      </c>
    </row>
    <row r="102" spans="1:2" x14ac:dyDescent="0.25">
      <c r="A102" s="2">
        <v>97</v>
      </c>
      <c r="B102" s="3" t="str">
        <f>"00005572"</f>
        <v>00005572</v>
      </c>
    </row>
    <row r="103" spans="1:2" x14ac:dyDescent="0.25">
      <c r="A103" s="2">
        <v>98</v>
      </c>
      <c r="B103" s="3" t="str">
        <f>"00005604"</f>
        <v>00005604</v>
      </c>
    </row>
    <row r="104" spans="1:2" x14ac:dyDescent="0.25">
      <c r="A104" s="2">
        <v>99</v>
      </c>
      <c r="B104" s="3" t="str">
        <f>"00005655"</f>
        <v>00005655</v>
      </c>
    </row>
    <row r="105" spans="1:2" x14ac:dyDescent="0.25">
      <c r="A105" s="2">
        <v>100</v>
      </c>
      <c r="B105" s="3" t="str">
        <f>"00005675"</f>
        <v>00005675</v>
      </c>
    </row>
    <row r="106" spans="1:2" x14ac:dyDescent="0.25">
      <c r="A106" s="2">
        <v>101</v>
      </c>
      <c r="B106" s="3" t="str">
        <f>"00005687"</f>
        <v>00005687</v>
      </c>
    </row>
    <row r="107" spans="1:2" x14ac:dyDescent="0.25">
      <c r="A107" s="2">
        <v>102</v>
      </c>
      <c r="B107" s="3" t="str">
        <f>"00005761"</f>
        <v>00005761</v>
      </c>
    </row>
    <row r="108" spans="1:2" x14ac:dyDescent="0.25">
      <c r="A108" s="2">
        <v>103</v>
      </c>
      <c r="B108" s="3" t="str">
        <f>"00005790"</f>
        <v>00005790</v>
      </c>
    </row>
    <row r="109" spans="1:2" x14ac:dyDescent="0.25">
      <c r="A109" s="2">
        <v>104</v>
      </c>
      <c r="B109" s="3" t="str">
        <f>"00005802"</f>
        <v>00005802</v>
      </c>
    </row>
    <row r="110" spans="1:2" x14ac:dyDescent="0.25">
      <c r="A110" s="2">
        <v>105</v>
      </c>
      <c r="B110" s="3" t="str">
        <f>"00005852"</f>
        <v>00005852</v>
      </c>
    </row>
    <row r="111" spans="1:2" x14ac:dyDescent="0.25">
      <c r="A111" s="2">
        <v>106</v>
      </c>
      <c r="B111" s="3" t="str">
        <f>"00005861"</f>
        <v>00005861</v>
      </c>
    </row>
    <row r="112" spans="1:2" x14ac:dyDescent="0.25">
      <c r="A112" s="2">
        <v>107</v>
      </c>
      <c r="B112" s="3" t="str">
        <f>"00005893"</f>
        <v>00005893</v>
      </c>
    </row>
    <row r="113" spans="1:2" x14ac:dyDescent="0.25">
      <c r="A113" s="2">
        <v>108</v>
      </c>
      <c r="B113" s="3" t="str">
        <f>"00005901"</f>
        <v>00005901</v>
      </c>
    </row>
    <row r="114" spans="1:2" x14ac:dyDescent="0.25">
      <c r="A114" s="2">
        <v>109</v>
      </c>
      <c r="B114" s="3" t="str">
        <f>"00005991"</f>
        <v>00005991</v>
      </c>
    </row>
    <row r="115" spans="1:2" x14ac:dyDescent="0.25">
      <c r="A115" s="2">
        <v>110</v>
      </c>
      <c r="B115" s="3" t="str">
        <f>"00006080"</f>
        <v>00006080</v>
      </c>
    </row>
    <row r="116" spans="1:2" x14ac:dyDescent="0.25">
      <c r="A116" s="2">
        <v>111</v>
      </c>
      <c r="B116" s="3" t="str">
        <f>"00006088"</f>
        <v>00006088</v>
      </c>
    </row>
    <row r="117" spans="1:2" x14ac:dyDescent="0.25">
      <c r="A117" s="2">
        <v>112</v>
      </c>
      <c r="B117" s="3" t="str">
        <f>"00006104"</f>
        <v>00006104</v>
      </c>
    </row>
    <row r="118" spans="1:2" x14ac:dyDescent="0.25">
      <c r="A118" s="2">
        <v>113</v>
      </c>
      <c r="B118" s="3" t="str">
        <f>"00006117"</f>
        <v>00006117</v>
      </c>
    </row>
    <row r="119" spans="1:2" x14ac:dyDescent="0.25">
      <c r="A119" s="2">
        <v>114</v>
      </c>
      <c r="B119" s="3" t="str">
        <f>"00006128"</f>
        <v>00006128</v>
      </c>
    </row>
    <row r="120" spans="1:2" x14ac:dyDescent="0.25">
      <c r="A120" s="2">
        <v>115</v>
      </c>
      <c r="B120" s="3" t="str">
        <f>"00006132"</f>
        <v>00006132</v>
      </c>
    </row>
    <row r="121" spans="1:2" x14ac:dyDescent="0.25">
      <c r="A121" s="2">
        <v>116</v>
      </c>
      <c r="B121" s="3" t="str">
        <f>"00006142"</f>
        <v>00006142</v>
      </c>
    </row>
    <row r="122" spans="1:2" x14ac:dyDescent="0.25">
      <c r="A122" s="2">
        <v>117</v>
      </c>
      <c r="B122" s="3" t="str">
        <f>"00006156"</f>
        <v>00006156</v>
      </c>
    </row>
    <row r="123" spans="1:2" x14ac:dyDescent="0.25">
      <c r="A123" s="2">
        <v>118</v>
      </c>
      <c r="B123" s="3" t="str">
        <f>"00006167"</f>
        <v>00006167</v>
      </c>
    </row>
    <row r="124" spans="1:2" x14ac:dyDescent="0.25">
      <c r="A124" s="2">
        <v>119</v>
      </c>
      <c r="B124" s="3" t="str">
        <f>"00006254"</f>
        <v>00006254</v>
      </c>
    </row>
    <row r="125" spans="1:2" x14ac:dyDescent="0.25">
      <c r="A125" s="2">
        <v>120</v>
      </c>
      <c r="B125" s="3" t="str">
        <f>"00006273"</f>
        <v>00006273</v>
      </c>
    </row>
    <row r="126" spans="1:2" x14ac:dyDescent="0.25">
      <c r="A126" s="2">
        <v>121</v>
      </c>
      <c r="B126" s="3" t="str">
        <f>"00006299"</f>
        <v>00006299</v>
      </c>
    </row>
    <row r="127" spans="1:2" x14ac:dyDescent="0.25">
      <c r="A127" s="2">
        <v>122</v>
      </c>
      <c r="B127" s="3" t="str">
        <f>"00006308"</f>
        <v>00006308</v>
      </c>
    </row>
    <row r="128" spans="1:2" x14ac:dyDescent="0.25">
      <c r="A128" s="2">
        <v>123</v>
      </c>
      <c r="B128" s="3" t="str">
        <f>"00006310"</f>
        <v>00006310</v>
      </c>
    </row>
    <row r="129" spans="1:2" x14ac:dyDescent="0.25">
      <c r="A129" s="2">
        <v>124</v>
      </c>
      <c r="B129" s="3" t="str">
        <f>"00006312"</f>
        <v>00006312</v>
      </c>
    </row>
    <row r="130" spans="1:2" x14ac:dyDescent="0.25">
      <c r="A130" s="2">
        <v>125</v>
      </c>
      <c r="B130" s="3" t="str">
        <f>"00006378"</f>
        <v>00006378</v>
      </c>
    </row>
    <row r="131" spans="1:2" x14ac:dyDescent="0.25">
      <c r="A131" s="2">
        <v>126</v>
      </c>
      <c r="B131" s="3" t="str">
        <f>"00006531"</f>
        <v>00006531</v>
      </c>
    </row>
    <row r="132" spans="1:2" x14ac:dyDescent="0.25">
      <c r="A132" s="2">
        <v>127</v>
      </c>
      <c r="B132" s="3" t="str">
        <f>"00006545"</f>
        <v>00006545</v>
      </c>
    </row>
    <row r="133" spans="1:2" x14ac:dyDescent="0.25">
      <c r="A133" s="2">
        <v>128</v>
      </c>
      <c r="B133" s="3" t="str">
        <f>"00006575"</f>
        <v>00006575</v>
      </c>
    </row>
    <row r="134" spans="1:2" x14ac:dyDescent="0.25">
      <c r="A134" s="2">
        <v>129</v>
      </c>
      <c r="B134" s="3" t="str">
        <f>"00006592"</f>
        <v>00006592</v>
      </c>
    </row>
    <row r="135" spans="1:2" x14ac:dyDescent="0.25">
      <c r="A135" s="2">
        <v>130</v>
      </c>
      <c r="B135" s="3" t="str">
        <f>"00006641"</f>
        <v>00006641</v>
      </c>
    </row>
    <row r="136" spans="1:2" x14ac:dyDescent="0.25">
      <c r="A136" s="2">
        <v>131</v>
      </c>
      <c r="B136" s="3" t="str">
        <f>"00007145"</f>
        <v>00007145</v>
      </c>
    </row>
    <row r="137" spans="1:2" x14ac:dyDescent="0.25">
      <c r="A137" s="2">
        <v>132</v>
      </c>
      <c r="B137" s="3" t="str">
        <f>"00007281"</f>
        <v>00007281</v>
      </c>
    </row>
    <row r="138" spans="1:2" x14ac:dyDescent="0.25">
      <c r="A138" s="2">
        <v>133</v>
      </c>
      <c r="B138" s="3" t="str">
        <f>"00007304"</f>
        <v>00007304</v>
      </c>
    </row>
    <row r="139" spans="1:2" x14ac:dyDescent="0.25">
      <c r="A139" s="2">
        <v>134</v>
      </c>
      <c r="B139" s="3" t="str">
        <f>"00007369"</f>
        <v>00007369</v>
      </c>
    </row>
    <row r="140" spans="1:2" x14ac:dyDescent="0.25">
      <c r="A140" s="2">
        <v>135</v>
      </c>
      <c r="B140" s="3" t="str">
        <f>"00007375"</f>
        <v>00007375</v>
      </c>
    </row>
    <row r="141" spans="1:2" x14ac:dyDescent="0.25">
      <c r="A141" s="2">
        <v>136</v>
      </c>
      <c r="B141" s="3" t="str">
        <f>"00007426"</f>
        <v>00007426</v>
      </c>
    </row>
    <row r="142" spans="1:2" x14ac:dyDescent="0.25">
      <c r="A142" s="2">
        <v>137</v>
      </c>
      <c r="B142" s="3" t="str">
        <f>"00007474"</f>
        <v>00007474</v>
      </c>
    </row>
    <row r="143" spans="1:2" x14ac:dyDescent="0.25">
      <c r="A143" s="2">
        <v>138</v>
      </c>
      <c r="B143" s="3" t="str">
        <f>"00007524"</f>
        <v>00007524</v>
      </c>
    </row>
    <row r="144" spans="1:2" x14ac:dyDescent="0.25">
      <c r="A144" s="2">
        <v>139</v>
      </c>
      <c r="B144" s="3" t="str">
        <f>"00007568"</f>
        <v>00007568</v>
      </c>
    </row>
    <row r="145" spans="1:2" x14ac:dyDescent="0.25">
      <c r="A145" s="2">
        <v>140</v>
      </c>
      <c r="B145" s="3" t="str">
        <f>"00007589"</f>
        <v>00007589</v>
      </c>
    </row>
    <row r="146" spans="1:2" x14ac:dyDescent="0.25">
      <c r="A146" s="2">
        <v>141</v>
      </c>
      <c r="B146" s="3" t="str">
        <f>"00007594"</f>
        <v>00007594</v>
      </c>
    </row>
    <row r="147" spans="1:2" x14ac:dyDescent="0.25">
      <c r="A147" s="2">
        <v>142</v>
      </c>
      <c r="B147" s="3" t="str">
        <f>"00007647"</f>
        <v>00007647</v>
      </c>
    </row>
    <row r="148" spans="1:2" x14ac:dyDescent="0.25">
      <c r="A148" s="2">
        <v>143</v>
      </c>
      <c r="B148" s="3" t="str">
        <f>"00007660"</f>
        <v>00007660</v>
      </c>
    </row>
    <row r="149" spans="1:2" x14ac:dyDescent="0.25">
      <c r="A149" s="2">
        <v>144</v>
      </c>
      <c r="B149" s="3" t="str">
        <f>"00007662"</f>
        <v>00007662</v>
      </c>
    </row>
    <row r="150" spans="1:2" x14ac:dyDescent="0.25">
      <c r="A150" s="2">
        <v>145</v>
      </c>
      <c r="B150" s="3" t="str">
        <f>"00007750"</f>
        <v>00007750</v>
      </c>
    </row>
    <row r="151" spans="1:2" x14ac:dyDescent="0.25">
      <c r="A151" s="2">
        <v>146</v>
      </c>
      <c r="B151" s="3" t="str">
        <f>"00007759"</f>
        <v>00007759</v>
      </c>
    </row>
    <row r="152" spans="1:2" x14ac:dyDescent="0.25">
      <c r="A152" s="2">
        <v>147</v>
      </c>
      <c r="B152" s="3" t="str">
        <f>"00007828"</f>
        <v>00007828</v>
      </c>
    </row>
    <row r="153" spans="1:2" x14ac:dyDescent="0.25">
      <c r="A153" s="2">
        <v>148</v>
      </c>
      <c r="B153" s="3" t="str">
        <f>"00007857"</f>
        <v>00007857</v>
      </c>
    </row>
    <row r="154" spans="1:2" x14ac:dyDescent="0.25">
      <c r="A154" s="2">
        <v>149</v>
      </c>
      <c r="B154" s="3" t="str">
        <f>"00008003"</f>
        <v>00008003</v>
      </c>
    </row>
    <row r="155" spans="1:2" x14ac:dyDescent="0.25">
      <c r="A155" s="2">
        <v>150</v>
      </c>
      <c r="B155" s="3" t="str">
        <f>"00008049"</f>
        <v>00008049</v>
      </c>
    </row>
    <row r="156" spans="1:2" x14ac:dyDescent="0.25">
      <c r="A156" s="2">
        <v>151</v>
      </c>
      <c r="B156" s="3" t="str">
        <f>"00008052"</f>
        <v>00008052</v>
      </c>
    </row>
    <row r="157" spans="1:2" x14ac:dyDescent="0.25">
      <c r="A157" s="2">
        <v>152</v>
      </c>
      <c r="B157" s="3" t="str">
        <f>"00008070"</f>
        <v>00008070</v>
      </c>
    </row>
    <row r="158" spans="1:2" x14ac:dyDescent="0.25">
      <c r="A158" s="2">
        <v>153</v>
      </c>
      <c r="B158" s="3" t="str">
        <f>"00008089"</f>
        <v>00008089</v>
      </c>
    </row>
    <row r="159" spans="1:2" x14ac:dyDescent="0.25">
      <c r="A159" s="2">
        <v>154</v>
      </c>
      <c r="B159" s="3" t="str">
        <f>"00008110"</f>
        <v>00008110</v>
      </c>
    </row>
    <row r="160" spans="1:2" x14ac:dyDescent="0.25">
      <c r="A160" s="2">
        <v>155</v>
      </c>
      <c r="B160" s="3" t="str">
        <f>"00008187"</f>
        <v>00008187</v>
      </c>
    </row>
    <row r="161" spans="1:2" x14ac:dyDescent="0.25">
      <c r="A161" s="2">
        <v>156</v>
      </c>
      <c r="B161" s="3" t="str">
        <f>"00008218"</f>
        <v>00008218</v>
      </c>
    </row>
    <row r="162" spans="1:2" x14ac:dyDescent="0.25">
      <c r="A162" s="2">
        <v>157</v>
      </c>
      <c r="B162" s="3" t="str">
        <f>"00008227"</f>
        <v>00008227</v>
      </c>
    </row>
    <row r="163" spans="1:2" x14ac:dyDescent="0.25">
      <c r="A163" s="2">
        <v>158</v>
      </c>
      <c r="B163" s="3" t="str">
        <f>"00008286"</f>
        <v>00008286</v>
      </c>
    </row>
    <row r="164" spans="1:2" x14ac:dyDescent="0.25">
      <c r="A164" s="2">
        <v>159</v>
      </c>
      <c r="B164" s="3" t="str">
        <f>"00008301"</f>
        <v>00008301</v>
      </c>
    </row>
    <row r="165" spans="1:2" x14ac:dyDescent="0.25">
      <c r="A165" s="2">
        <v>160</v>
      </c>
      <c r="B165" s="3" t="str">
        <f>"00008365"</f>
        <v>00008365</v>
      </c>
    </row>
    <row r="166" spans="1:2" x14ac:dyDescent="0.25">
      <c r="A166" s="2">
        <v>161</v>
      </c>
      <c r="B166" s="3" t="str">
        <f>"00008369"</f>
        <v>00008369</v>
      </c>
    </row>
    <row r="167" spans="1:2" x14ac:dyDescent="0.25">
      <c r="A167" s="2">
        <v>162</v>
      </c>
      <c r="B167" s="3" t="str">
        <f>"00008383"</f>
        <v>00008383</v>
      </c>
    </row>
    <row r="168" spans="1:2" x14ac:dyDescent="0.25">
      <c r="A168" s="2">
        <v>163</v>
      </c>
      <c r="B168" s="3" t="str">
        <f>"00008411"</f>
        <v>00008411</v>
      </c>
    </row>
    <row r="169" spans="1:2" x14ac:dyDescent="0.25">
      <c r="A169" s="2">
        <v>164</v>
      </c>
      <c r="B169" s="3" t="str">
        <f>"00008416"</f>
        <v>00008416</v>
      </c>
    </row>
    <row r="170" spans="1:2" x14ac:dyDescent="0.25">
      <c r="A170" s="2">
        <v>165</v>
      </c>
      <c r="B170" s="3" t="str">
        <f>"00008537"</f>
        <v>00008537</v>
      </c>
    </row>
    <row r="171" spans="1:2" x14ac:dyDescent="0.25">
      <c r="A171" s="2">
        <v>166</v>
      </c>
      <c r="B171" s="3" t="str">
        <f>"00008543"</f>
        <v>00008543</v>
      </c>
    </row>
    <row r="172" spans="1:2" x14ac:dyDescent="0.25">
      <c r="A172" s="2">
        <v>167</v>
      </c>
      <c r="B172" s="3" t="str">
        <f>"00008580"</f>
        <v>00008580</v>
      </c>
    </row>
    <row r="173" spans="1:2" x14ac:dyDescent="0.25">
      <c r="A173" s="2">
        <v>168</v>
      </c>
      <c r="B173" s="3" t="str">
        <f>"00008631"</f>
        <v>00008631</v>
      </c>
    </row>
    <row r="174" spans="1:2" x14ac:dyDescent="0.25">
      <c r="A174" s="2">
        <v>169</v>
      </c>
      <c r="B174" s="3" t="str">
        <f>"00008651"</f>
        <v>00008651</v>
      </c>
    </row>
    <row r="175" spans="1:2" x14ac:dyDescent="0.25">
      <c r="A175" s="2">
        <v>170</v>
      </c>
      <c r="B175" s="3" t="str">
        <f>"00008668"</f>
        <v>00008668</v>
      </c>
    </row>
    <row r="176" spans="1:2" x14ac:dyDescent="0.25">
      <c r="A176" s="2">
        <v>171</v>
      </c>
      <c r="B176" s="3" t="str">
        <f>"00008685"</f>
        <v>00008685</v>
      </c>
    </row>
    <row r="177" spans="1:2" x14ac:dyDescent="0.25">
      <c r="A177" s="2">
        <v>172</v>
      </c>
      <c r="B177" s="3" t="str">
        <f>"00008704"</f>
        <v>00008704</v>
      </c>
    </row>
    <row r="178" spans="1:2" x14ac:dyDescent="0.25">
      <c r="A178" s="2">
        <v>173</v>
      </c>
      <c r="B178" s="3" t="str">
        <f>"00008792"</f>
        <v>00008792</v>
      </c>
    </row>
    <row r="179" spans="1:2" x14ac:dyDescent="0.25">
      <c r="A179" s="2">
        <v>174</v>
      </c>
      <c r="B179" s="3" t="str">
        <f>"00008808"</f>
        <v>00008808</v>
      </c>
    </row>
    <row r="180" spans="1:2" x14ac:dyDescent="0.25">
      <c r="A180" s="2">
        <v>175</v>
      </c>
      <c r="B180" s="3" t="str">
        <f>"00008865"</f>
        <v>00008865</v>
      </c>
    </row>
    <row r="181" spans="1:2" x14ac:dyDescent="0.25">
      <c r="A181" s="2">
        <v>176</v>
      </c>
      <c r="B181" s="3" t="str">
        <f>"00008880"</f>
        <v>00008880</v>
      </c>
    </row>
    <row r="182" spans="1:2" x14ac:dyDescent="0.25">
      <c r="A182" s="2">
        <v>177</v>
      </c>
      <c r="B182" s="3" t="str">
        <f>"00008985"</f>
        <v>00008985</v>
      </c>
    </row>
    <row r="183" spans="1:2" x14ac:dyDescent="0.25">
      <c r="A183" s="2">
        <v>178</v>
      </c>
      <c r="B183" s="3" t="str">
        <f>"00009031"</f>
        <v>00009031</v>
      </c>
    </row>
    <row r="184" spans="1:2" x14ac:dyDescent="0.25">
      <c r="A184" s="2">
        <v>179</v>
      </c>
      <c r="B184" s="3" t="str">
        <f>"00009058"</f>
        <v>00009058</v>
      </c>
    </row>
    <row r="185" spans="1:2" x14ac:dyDescent="0.25">
      <c r="A185" s="2">
        <v>180</v>
      </c>
      <c r="B185" s="3" t="str">
        <f>"00009073"</f>
        <v>00009073</v>
      </c>
    </row>
    <row r="186" spans="1:2" x14ac:dyDescent="0.25">
      <c r="A186" s="2">
        <v>181</v>
      </c>
      <c r="B186" s="3" t="str">
        <f>"00009092"</f>
        <v>00009092</v>
      </c>
    </row>
    <row r="187" spans="1:2" x14ac:dyDescent="0.25">
      <c r="A187" s="2">
        <v>182</v>
      </c>
      <c r="B187" s="3" t="str">
        <f>"00009138"</f>
        <v>00009138</v>
      </c>
    </row>
    <row r="188" spans="1:2" x14ac:dyDescent="0.25">
      <c r="A188" s="2">
        <v>183</v>
      </c>
      <c r="B188" s="3" t="str">
        <f>"00009197"</f>
        <v>00009197</v>
      </c>
    </row>
    <row r="189" spans="1:2" x14ac:dyDescent="0.25">
      <c r="A189" s="2">
        <v>184</v>
      </c>
      <c r="B189" s="3" t="str">
        <f>"00009211"</f>
        <v>00009211</v>
      </c>
    </row>
    <row r="190" spans="1:2" x14ac:dyDescent="0.25">
      <c r="A190" s="2">
        <v>185</v>
      </c>
      <c r="B190" s="3" t="str">
        <f>"00009265"</f>
        <v>00009265</v>
      </c>
    </row>
    <row r="191" spans="1:2" x14ac:dyDescent="0.25">
      <c r="A191" s="2">
        <v>186</v>
      </c>
      <c r="B191" s="3" t="str">
        <f>"00009272"</f>
        <v>00009272</v>
      </c>
    </row>
    <row r="192" spans="1:2" x14ac:dyDescent="0.25">
      <c r="A192" s="2">
        <v>187</v>
      </c>
      <c r="B192" s="3" t="str">
        <f>"00009284"</f>
        <v>00009284</v>
      </c>
    </row>
    <row r="193" spans="1:2" x14ac:dyDescent="0.25">
      <c r="A193" s="2">
        <v>188</v>
      </c>
      <c r="B193" s="3" t="str">
        <f>"00009285"</f>
        <v>00009285</v>
      </c>
    </row>
    <row r="194" spans="1:2" x14ac:dyDescent="0.25">
      <c r="A194" s="2">
        <v>189</v>
      </c>
      <c r="B194" s="3" t="str">
        <f>"00009309"</f>
        <v>00009309</v>
      </c>
    </row>
    <row r="195" spans="1:2" x14ac:dyDescent="0.25">
      <c r="A195" s="2">
        <v>190</v>
      </c>
      <c r="B195" s="3" t="str">
        <f>"00009362"</f>
        <v>00009362</v>
      </c>
    </row>
    <row r="196" spans="1:2" x14ac:dyDescent="0.25">
      <c r="A196" s="2">
        <v>191</v>
      </c>
      <c r="B196" s="3" t="str">
        <f>"00009375"</f>
        <v>00009375</v>
      </c>
    </row>
    <row r="197" spans="1:2" x14ac:dyDescent="0.25">
      <c r="A197" s="2">
        <v>192</v>
      </c>
      <c r="B197" s="3" t="str">
        <f>"00009387"</f>
        <v>00009387</v>
      </c>
    </row>
    <row r="198" spans="1:2" x14ac:dyDescent="0.25">
      <c r="A198" s="2">
        <v>193</v>
      </c>
      <c r="B198" s="3" t="str">
        <f>"00009458"</f>
        <v>00009458</v>
      </c>
    </row>
    <row r="199" spans="1:2" x14ac:dyDescent="0.25">
      <c r="A199" s="2">
        <v>194</v>
      </c>
      <c r="B199" s="3" t="str">
        <f>"00009474"</f>
        <v>00009474</v>
      </c>
    </row>
    <row r="200" spans="1:2" x14ac:dyDescent="0.25">
      <c r="A200" s="2">
        <v>195</v>
      </c>
      <c r="B200" s="3" t="str">
        <f>"00009514"</f>
        <v>00009514</v>
      </c>
    </row>
    <row r="201" spans="1:2" x14ac:dyDescent="0.25">
      <c r="A201" s="2">
        <v>196</v>
      </c>
      <c r="B201" s="3" t="str">
        <f>"00009568"</f>
        <v>00009568</v>
      </c>
    </row>
    <row r="202" spans="1:2" x14ac:dyDescent="0.25">
      <c r="A202" s="2">
        <v>197</v>
      </c>
      <c r="B202" s="3" t="str">
        <f>"00009626"</f>
        <v>00009626</v>
      </c>
    </row>
    <row r="203" spans="1:2" x14ac:dyDescent="0.25">
      <c r="A203" s="2">
        <v>198</v>
      </c>
      <c r="B203" s="3" t="str">
        <f>"00009635"</f>
        <v>00009635</v>
      </c>
    </row>
    <row r="204" spans="1:2" x14ac:dyDescent="0.25">
      <c r="A204" s="2">
        <v>199</v>
      </c>
      <c r="B204" s="3" t="str">
        <f>"00009663"</f>
        <v>00009663</v>
      </c>
    </row>
    <row r="205" spans="1:2" x14ac:dyDescent="0.25">
      <c r="A205" s="2">
        <v>200</v>
      </c>
      <c r="B205" s="3" t="str">
        <f>"00009695"</f>
        <v>00009695</v>
      </c>
    </row>
    <row r="206" spans="1:2" x14ac:dyDescent="0.25">
      <c r="A206" s="2">
        <v>201</v>
      </c>
      <c r="B206" s="3" t="str">
        <f>"00009769"</f>
        <v>00009769</v>
      </c>
    </row>
    <row r="207" spans="1:2" x14ac:dyDescent="0.25">
      <c r="A207" s="2">
        <v>202</v>
      </c>
      <c r="B207" s="3" t="str">
        <f>"00009777"</f>
        <v>00009777</v>
      </c>
    </row>
    <row r="208" spans="1:2" x14ac:dyDescent="0.25">
      <c r="A208" s="2">
        <v>203</v>
      </c>
      <c r="B208" s="3" t="str">
        <f>"00009796"</f>
        <v>00009796</v>
      </c>
    </row>
    <row r="209" spans="1:2" x14ac:dyDescent="0.25">
      <c r="A209" s="2">
        <v>204</v>
      </c>
      <c r="B209" s="3" t="str">
        <f>"00009804"</f>
        <v>00009804</v>
      </c>
    </row>
    <row r="210" spans="1:2" x14ac:dyDescent="0.25">
      <c r="A210" s="2">
        <v>205</v>
      </c>
      <c r="B210" s="3" t="str">
        <f>"00009829"</f>
        <v>00009829</v>
      </c>
    </row>
    <row r="211" spans="1:2" x14ac:dyDescent="0.25">
      <c r="A211" s="2">
        <v>206</v>
      </c>
      <c r="B211" s="3" t="str">
        <f>"00009932"</f>
        <v>00009932</v>
      </c>
    </row>
    <row r="212" spans="1:2" x14ac:dyDescent="0.25">
      <c r="A212" s="2">
        <v>207</v>
      </c>
      <c r="B212" s="3" t="str">
        <f>"00009965"</f>
        <v>00009965</v>
      </c>
    </row>
    <row r="213" spans="1:2" x14ac:dyDescent="0.25">
      <c r="A213" s="2">
        <v>208</v>
      </c>
      <c r="B213" s="3" t="str">
        <f>"00010053"</f>
        <v>00010053</v>
      </c>
    </row>
    <row r="214" spans="1:2" x14ac:dyDescent="0.25">
      <c r="A214" s="2">
        <v>209</v>
      </c>
      <c r="B214" s="3" t="str">
        <f>"00010057"</f>
        <v>00010057</v>
      </c>
    </row>
    <row r="215" spans="1:2" x14ac:dyDescent="0.25">
      <c r="A215" s="2">
        <v>210</v>
      </c>
      <c r="B215" s="3" t="str">
        <f>"00010141"</f>
        <v>00010141</v>
      </c>
    </row>
    <row r="216" spans="1:2" x14ac:dyDescent="0.25">
      <c r="A216" s="2">
        <v>211</v>
      </c>
      <c r="B216" s="3" t="str">
        <f>"00010161"</f>
        <v>00010161</v>
      </c>
    </row>
    <row r="217" spans="1:2" x14ac:dyDescent="0.25">
      <c r="A217" s="2">
        <v>212</v>
      </c>
      <c r="B217" s="3" t="str">
        <f>"00010210"</f>
        <v>00010210</v>
      </c>
    </row>
    <row r="218" spans="1:2" x14ac:dyDescent="0.25">
      <c r="A218" s="2">
        <v>213</v>
      </c>
      <c r="B218" s="3" t="str">
        <f>"00010275"</f>
        <v>00010275</v>
      </c>
    </row>
    <row r="219" spans="1:2" x14ac:dyDescent="0.25">
      <c r="A219" s="2">
        <v>214</v>
      </c>
      <c r="B219" s="3" t="str">
        <f>"00010290"</f>
        <v>00010290</v>
      </c>
    </row>
    <row r="220" spans="1:2" x14ac:dyDescent="0.25">
      <c r="A220" s="2">
        <v>215</v>
      </c>
      <c r="B220" s="3" t="str">
        <f>"00010336"</f>
        <v>00010336</v>
      </c>
    </row>
    <row r="221" spans="1:2" x14ac:dyDescent="0.25">
      <c r="A221" s="2">
        <v>216</v>
      </c>
      <c r="B221" s="3" t="str">
        <f>"00010370"</f>
        <v>00010370</v>
      </c>
    </row>
    <row r="222" spans="1:2" x14ac:dyDescent="0.25">
      <c r="A222" s="2">
        <v>217</v>
      </c>
      <c r="B222" s="3" t="str">
        <f>"00010480"</f>
        <v>00010480</v>
      </c>
    </row>
    <row r="223" spans="1:2" x14ac:dyDescent="0.25">
      <c r="A223" s="2">
        <v>218</v>
      </c>
      <c r="B223" s="3" t="str">
        <f>"00010529"</f>
        <v>00010529</v>
      </c>
    </row>
    <row r="224" spans="1:2" x14ac:dyDescent="0.25">
      <c r="A224" s="2">
        <v>219</v>
      </c>
      <c r="B224" s="3" t="str">
        <f>"00010572"</f>
        <v>00010572</v>
      </c>
    </row>
    <row r="225" spans="1:2" x14ac:dyDescent="0.25">
      <c r="A225" s="2">
        <v>220</v>
      </c>
      <c r="B225" s="3" t="str">
        <f>"00010595"</f>
        <v>00010595</v>
      </c>
    </row>
    <row r="226" spans="1:2" x14ac:dyDescent="0.25">
      <c r="A226" s="2">
        <v>221</v>
      </c>
      <c r="B226" s="3" t="str">
        <f>"00010663"</f>
        <v>00010663</v>
      </c>
    </row>
    <row r="227" spans="1:2" x14ac:dyDescent="0.25">
      <c r="A227" s="2">
        <v>222</v>
      </c>
      <c r="B227" s="3" t="str">
        <f>"00010667"</f>
        <v>00010667</v>
      </c>
    </row>
    <row r="228" spans="1:2" x14ac:dyDescent="0.25">
      <c r="A228" s="2">
        <v>223</v>
      </c>
      <c r="B228" s="3" t="str">
        <f>"00010711"</f>
        <v>00010711</v>
      </c>
    </row>
    <row r="229" spans="1:2" x14ac:dyDescent="0.25">
      <c r="A229" s="2">
        <v>224</v>
      </c>
      <c r="B229" s="3" t="str">
        <f>"00010782"</f>
        <v>00010782</v>
      </c>
    </row>
    <row r="230" spans="1:2" x14ac:dyDescent="0.25">
      <c r="A230" s="2">
        <v>225</v>
      </c>
      <c r="B230" s="3" t="str">
        <f>"00010848"</f>
        <v>00010848</v>
      </c>
    </row>
    <row r="231" spans="1:2" x14ac:dyDescent="0.25">
      <c r="A231" s="2">
        <v>226</v>
      </c>
      <c r="B231" s="3" t="str">
        <f>"00010906"</f>
        <v>00010906</v>
      </c>
    </row>
    <row r="232" spans="1:2" x14ac:dyDescent="0.25">
      <c r="A232" s="2">
        <v>227</v>
      </c>
      <c r="B232" s="3" t="str">
        <f>"00010964"</f>
        <v>00010964</v>
      </c>
    </row>
    <row r="233" spans="1:2" x14ac:dyDescent="0.25">
      <c r="A233" s="2">
        <v>228</v>
      </c>
      <c r="B233" s="3" t="str">
        <f>"00010969"</f>
        <v>00010969</v>
      </c>
    </row>
    <row r="234" spans="1:2" x14ac:dyDescent="0.25">
      <c r="A234" s="2">
        <v>229</v>
      </c>
      <c r="B234" s="3" t="str">
        <f>"00011011"</f>
        <v>00011011</v>
      </c>
    </row>
    <row r="235" spans="1:2" x14ac:dyDescent="0.25">
      <c r="A235" s="2">
        <v>230</v>
      </c>
      <c r="B235" s="3" t="str">
        <f>"00011026"</f>
        <v>00011026</v>
      </c>
    </row>
    <row r="236" spans="1:2" x14ac:dyDescent="0.25">
      <c r="A236" s="2">
        <v>231</v>
      </c>
      <c r="B236" s="3" t="str">
        <f>"00011056"</f>
        <v>00011056</v>
      </c>
    </row>
    <row r="237" spans="1:2" x14ac:dyDescent="0.25">
      <c r="A237" s="2">
        <v>232</v>
      </c>
      <c r="B237" s="3" t="str">
        <f>"00011086"</f>
        <v>00011086</v>
      </c>
    </row>
    <row r="238" spans="1:2" x14ac:dyDescent="0.25">
      <c r="A238" s="2">
        <v>233</v>
      </c>
      <c r="B238" s="3" t="str">
        <f>"00011102"</f>
        <v>00011102</v>
      </c>
    </row>
    <row r="239" spans="1:2" x14ac:dyDescent="0.25">
      <c r="A239" s="2">
        <v>234</v>
      </c>
      <c r="B239" s="3" t="str">
        <f>"00011131"</f>
        <v>00011131</v>
      </c>
    </row>
    <row r="240" spans="1:2" x14ac:dyDescent="0.25">
      <c r="A240" s="2">
        <v>235</v>
      </c>
      <c r="B240" s="3" t="str">
        <f>"00011181"</f>
        <v>00011181</v>
      </c>
    </row>
    <row r="241" spans="1:2" x14ac:dyDescent="0.25">
      <c r="A241" s="2">
        <v>236</v>
      </c>
      <c r="B241" s="3" t="str">
        <f>"00011203"</f>
        <v>00011203</v>
      </c>
    </row>
    <row r="242" spans="1:2" x14ac:dyDescent="0.25">
      <c r="A242" s="2">
        <v>237</v>
      </c>
      <c r="B242" s="3" t="str">
        <f>"00011230"</f>
        <v>00011230</v>
      </c>
    </row>
    <row r="243" spans="1:2" x14ac:dyDescent="0.25">
      <c r="A243" s="2">
        <v>238</v>
      </c>
      <c r="B243" s="3" t="str">
        <f>"00011291"</f>
        <v>00011291</v>
      </c>
    </row>
    <row r="244" spans="1:2" x14ac:dyDescent="0.25">
      <c r="A244" s="2">
        <v>239</v>
      </c>
      <c r="B244" s="3" t="str">
        <f>"00011311"</f>
        <v>00011311</v>
      </c>
    </row>
    <row r="245" spans="1:2" x14ac:dyDescent="0.25">
      <c r="A245" s="2">
        <v>240</v>
      </c>
      <c r="B245" s="3" t="str">
        <f>"00011365"</f>
        <v>00011365</v>
      </c>
    </row>
    <row r="246" spans="1:2" x14ac:dyDescent="0.25">
      <c r="A246" s="2">
        <v>241</v>
      </c>
      <c r="B246" s="3" t="str">
        <f>"00011366"</f>
        <v>00011366</v>
      </c>
    </row>
    <row r="247" spans="1:2" x14ac:dyDescent="0.25">
      <c r="A247" s="2">
        <v>242</v>
      </c>
      <c r="B247" s="3" t="str">
        <f>"00011369"</f>
        <v>00011369</v>
      </c>
    </row>
    <row r="248" spans="1:2" x14ac:dyDescent="0.25">
      <c r="A248" s="2">
        <v>243</v>
      </c>
      <c r="B248" s="3" t="str">
        <f>"00011386"</f>
        <v>00011386</v>
      </c>
    </row>
    <row r="249" spans="1:2" x14ac:dyDescent="0.25">
      <c r="A249" s="2">
        <v>244</v>
      </c>
      <c r="B249" s="3" t="str">
        <f>"00011459"</f>
        <v>00011459</v>
      </c>
    </row>
    <row r="250" spans="1:2" x14ac:dyDescent="0.25">
      <c r="A250" s="2">
        <v>245</v>
      </c>
      <c r="B250" s="3" t="str">
        <f>"00011609"</f>
        <v>00011609</v>
      </c>
    </row>
    <row r="251" spans="1:2" x14ac:dyDescent="0.25">
      <c r="A251" s="2">
        <v>246</v>
      </c>
      <c r="B251" s="3" t="str">
        <f>"00011631"</f>
        <v>00011631</v>
      </c>
    </row>
    <row r="252" spans="1:2" x14ac:dyDescent="0.25">
      <c r="A252" s="2">
        <v>247</v>
      </c>
      <c r="B252" s="3" t="str">
        <f>"00011730"</f>
        <v>00011730</v>
      </c>
    </row>
    <row r="253" spans="1:2" x14ac:dyDescent="0.25">
      <c r="A253" s="2">
        <v>248</v>
      </c>
      <c r="B253" s="3" t="str">
        <f>"00011752"</f>
        <v>00011752</v>
      </c>
    </row>
    <row r="254" spans="1:2" x14ac:dyDescent="0.25">
      <c r="A254" s="2">
        <v>249</v>
      </c>
      <c r="B254" s="3" t="str">
        <f>"00011891"</f>
        <v>00011891</v>
      </c>
    </row>
    <row r="255" spans="1:2" x14ac:dyDescent="0.25">
      <c r="A255" s="2">
        <v>250</v>
      </c>
      <c r="B255" s="3" t="str">
        <f>"00011987"</f>
        <v>00011987</v>
      </c>
    </row>
    <row r="256" spans="1:2" x14ac:dyDescent="0.25">
      <c r="A256" s="2">
        <v>251</v>
      </c>
      <c r="B256" s="3" t="str">
        <f>"00012002"</f>
        <v>00012002</v>
      </c>
    </row>
    <row r="257" spans="1:2" x14ac:dyDescent="0.25">
      <c r="A257" s="2">
        <v>252</v>
      </c>
      <c r="B257" s="3" t="str">
        <f>"00012052"</f>
        <v>00012052</v>
      </c>
    </row>
    <row r="258" spans="1:2" x14ac:dyDescent="0.25">
      <c r="A258" s="2">
        <v>253</v>
      </c>
      <c r="B258" s="3" t="str">
        <f>"00012110"</f>
        <v>00012110</v>
      </c>
    </row>
    <row r="259" spans="1:2" x14ac:dyDescent="0.25">
      <c r="A259" s="2">
        <v>254</v>
      </c>
      <c r="B259" s="3" t="str">
        <f>"00012373"</f>
        <v>00012373</v>
      </c>
    </row>
    <row r="260" spans="1:2" x14ac:dyDescent="0.25">
      <c r="A260" s="2">
        <v>255</v>
      </c>
      <c r="B260" s="3" t="str">
        <f>"00012382"</f>
        <v>00012382</v>
      </c>
    </row>
    <row r="261" spans="1:2" x14ac:dyDescent="0.25">
      <c r="A261" s="2">
        <v>256</v>
      </c>
      <c r="B261" s="3" t="str">
        <f>"00012466"</f>
        <v>00012466</v>
      </c>
    </row>
    <row r="262" spans="1:2" x14ac:dyDescent="0.25">
      <c r="A262" s="2">
        <v>257</v>
      </c>
      <c r="B262" s="3" t="str">
        <f>"00012513"</f>
        <v>00012513</v>
      </c>
    </row>
    <row r="263" spans="1:2" x14ac:dyDescent="0.25">
      <c r="A263" s="2">
        <v>258</v>
      </c>
      <c r="B263" s="3" t="str">
        <f>"00012525"</f>
        <v>00012525</v>
      </c>
    </row>
    <row r="264" spans="1:2" x14ac:dyDescent="0.25">
      <c r="A264" s="2">
        <v>259</v>
      </c>
      <c r="B264" s="3" t="str">
        <f>"00012545"</f>
        <v>00012545</v>
      </c>
    </row>
    <row r="265" spans="1:2" x14ac:dyDescent="0.25">
      <c r="A265" s="2">
        <v>260</v>
      </c>
      <c r="B265" s="3" t="str">
        <f>"00012566"</f>
        <v>00012566</v>
      </c>
    </row>
    <row r="266" spans="1:2" x14ac:dyDescent="0.25">
      <c r="A266" s="2">
        <v>261</v>
      </c>
      <c r="B266" s="3" t="str">
        <f>"00012703"</f>
        <v>00012703</v>
      </c>
    </row>
    <row r="267" spans="1:2" x14ac:dyDescent="0.25">
      <c r="A267" s="2">
        <v>262</v>
      </c>
      <c r="B267" s="3" t="str">
        <f>"00012709"</f>
        <v>00012709</v>
      </c>
    </row>
    <row r="268" spans="1:2" x14ac:dyDescent="0.25">
      <c r="A268" s="2">
        <v>263</v>
      </c>
      <c r="B268" s="3" t="str">
        <f>"00012756"</f>
        <v>00012756</v>
      </c>
    </row>
    <row r="269" spans="1:2" x14ac:dyDescent="0.25">
      <c r="A269" s="2">
        <v>264</v>
      </c>
      <c r="B269" s="3" t="str">
        <f>"00012797"</f>
        <v>00012797</v>
      </c>
    </row>
    <row r="270" spans="1:2" x14ac:dyDescent="0.25">
      <c r="A270" s="2">
        <v>265</v>
      </c>
      <c r="B270" s="3" t="str">
        <f>"00012807"</f>
        <v>00012807</v>
      </c>
    </row>
    <row r="271" spans="1:2" x14ac:dyDescent="0.25">
      <c r="A271" s="2">
        <v>266</v>
      </c>
      <c r="B271" s="3" t="str">
        <f>"00012825"</f>
        <v>00012825</v>
      </c>
    </row>
    <row r="272" spans="1:2" x14ac:dyDescent="0.25">
      <c r="A272" s="2">
        <v>267</v>
      </c>
      <c r="B272" s="3" t="str">
        <f>"00012850"</f>
        <v>00012850</v>
      </c>
    </row>
    <row r="273" spans="1:2" x14ac:dyDescent="0.25">
      <c r="A273" s="2">
        <v>268</v>
      </c>
      <c r="B273" s="3" t="str">
        <f>"00012874"</f>
        <v>00012874</v>
      </c>
    </row>
    <row r="274" spans="1:2" x14ac:dyDescent="0.25">
      <c r="A274" s="2">
        <v>269</v>
      </c>
      <c r="B274" s="3" t="str">
        <f>"00012913"</f>
        <v>00012913</v>
      </c>
    </row>
    <row r="275" spans="1:2" x14ac:dyDescent="0.25">
      <c r="A275" s="2">
        <v>270</v>
      </c>
      <c r="B275" s="3" t="str">
        <f>"00012921"</f>
        <v>00012921</v>
      </c>
    </row>
    <row r="276" spans="1:2" x14ac:dyDescent="0.25">
      <c r="A276" s="2">
        <v>271</v>
      </c>
      <c r="B276" s="3" t="str">
        <f>"00013013"</f>
        <v>00013013</v>
      </c>
    </row>
    <row r="277" spans="1:2" x14ac:dyDescent="0.25">
      <c r="A277" s="2">
        <v>272</v>
      </c>
      <c r="B277" s="3" t="str">
        <f>"00013041"</f>
        <v>00013041</v>
      </c>
    </row>
    <row r="278" spans="1:2" x14ac:dyDescent="0.25">
      <c r="A278" s="2">
        <v>273</v>
      </c>
      <c r="B278" s="3" t="str">
        <f>"00013109"</f>
        <v>00013109</v>
      </c>
    </row>
    <row r="279" spans="1:2" x14ac:dyDescent="0.25">
      <c r="A279" s="2">
        <v>274</v>
      </c>
      <c r="B279" s="3" t="str">
        <f>"00013114"</f>
        <v>00013114</v>
      </c>
    </row>
    <row r="280" spans="1:2" x14ac:dyDescent="0.25">
      <c r="A280" s="2">
        <v>275</v>
      </c>
      <c r="B280" s="3" t="str">
        <f>"00013221"</f>
        <v>00013221</v>
      </c>
    </row>
    <row r="281" spans="1:2" x14ac:dyDescent="0.25">
      <c r="A281" s="2">
        <v>276</v>
      </c>
      <c r="B281" s="3" t="str">
        <f>"00013237"</f>
        <v>00013237</v>
      </c>
    </row>
    <row r="282" spans="1:2" x14ac:dyDescent="0.25">
      <c r="A282" s="2">
        <v>277</v>
      </c>
      <c r="B282" s="3" t="str">
        <f>"00013240"</f>
        <v>00013240</v>
      </c>
    </row>
    <row r="283" spans="1:2" x14ac:dyDescent="0.25">
      <c r="A283" s="2">
        <v>278</v>
      </c>
      <c r="B283" s="3" t="str">
        <f>"00013255"</f>
        <v>00013255</v>
      </c>
    </row>
    <row r="284" spans="1:2" x14ac:dyDescent="0.25">
      <c r="A284" s="2">
        <v>279</v>
      </c>
      <c r="B284" s="3" t="str">
        <f>"00013270"</f>
        <v>00013270</v>
      </c>
    </row>
    <row r="285" spans="1:2" x14ac:dyDescent="0.25">
      <c r="A285" s="2">
        <v>280</v>
      </c>
      <c r="B285" s="3" t="str">
        <f>"00013273"</f>
        <v>00013273</v>
      </c>
    </row>
    <row r="286" spans="1:2" x14ac:dyDescent="0.25">
      <c r="A286" s="2">
        <v>281</v>
      </c>
      <c r="B286" s="3" t="str">
        <f>"00013310"</f>
        <v>00013310</v>
      </c>
    </row>
    <row r="287" spans="1:2" x14ac:dyDescent="0.25">
      <c r="A287" s="2">
        <v>282</v>
      </c>
      <c r="B287" s="3" t="str">
        <f>"00013383"</f>
        <v>00013383</v>
      </c>
    </row>
    <row r="288" spans="1:2" x14ac:dyDescent="0.25">
      <c r="A288" s="2">
        <v>283</v>
      </c>
      <c r="B288" s="3" t="str">
        <f>"00013391"</f>
        <v>00013391</v>
      </c>
    </row>
    <row r="289" spans="1:2" x14ac:dyDescent="0.25">
      <c r="A289" s="2">
        <v>284</v>
      </c>
      <c r="B289" s="3" t="str">
        <f>"00013477"</f>
        <v>00013477</v>
      </c>
    </row>
    <row r="290" spans="1:2" x14ac:dyDescent="0.25">
      <c r="A290" s="2">
        <v>285</v>
      </c>
      <c r="B290" s="3" t="str">
        <f>"00013673"</f>
        <v>00013673</v>
      </c>
    </row>
    <row r="291" spans="1:2" x14ac:dyDescent="0.25">
      <c r="A291" s="2">
        <v>286</v>
      </c>
      <c r="B291" s="3" t="str">
        <f>"00013777"</f>
        <v>00013777</v>
      </c>
    </row>
    <row r="292" spans="1:2" x14ac:dyDescent="0.25">
      <c r="A292" s="2">
        <v>287</v>
      </c>
      <c r="B292" s="3" t="str">
        <f>"00013871"</f>
        <v>00013871</v>
      </c>
    </row>
    <row r="293" spans="1:2" x14ac:dyDescent="0.25">
      <c r="A293" s="2">
        <v>288</v>
      </c>
      <c r="B293" s="3" t="str">
        <f>"00013936"</f>
        <v>00013936</v>
      </c>
    </row>
    <row r="294" spans="1:2" x14ac:dyDescent="0.25">
      <c r="A294" s="2">
        <v>289</v>
      </c>
      <c r="B294" s="3" t="str">
        <f>"00013977"</f>
        <v>00013977</v>
      </c>
    </row>
    <row r="295" spans="1:2" x14ac:dyDescent="0.25">
      <c r="A295" s="2">
        <v>290</v>
      </c>
      <c r="B295" s="3" t="str">
        <f>"00014011"</f>
        <v>00014011</v>
      </c>
    </row>
    <row r="296" spans="1:2" x14ac:dyDescent="0.25">
      <c r="A296" s="2">
        <v>291</v>
      </c>
      <c r="B296" s="3" t="str">
        <f>"00014029"</f>
        <v>00014029</v>
      </c>
    </row>
    <row r="297" spans="1:2" x14ac:dyDescent="0.25">
      <c r="A297" s="2">
        <v>292</v>
      </c>
      <c r="B297" s="3" t="str">
        <f>"00014112"</f>
        <v>00014112</v>
      </c>
    </row>
    <row r="298" spans="1:2" x14ac:dyDescent="0.25">
      <c r="A298" s="2">
        <v>293</v>
      </c>
      <c r="B298" s="3" t="str">
        <f>"00014121"</f>
        <v>00014121</v>
      </c>
    </row>
    <row r="299" spans="1:2" x14ac:dyDescent="0.25">
      <c r="A299" s="2">
        <v>294</v>
      </c>
      <c r="B299" s="3" t="str">
        <f>"00014132"</f>
        <v>00014132</v>
      </c>
    </row>
    <row r="300" spans="1:2" x14ac:dyDescent="0.25">
      <c r="A300" s="2">
        <v>295</v>
      </c>
      <c r="B300" s="3" t="str">
        <f>"00014134"</f>
        <v>00014134</v>
      </c>
    </row>
    <row r="301" spans="1:2" x14ac:dyDescent="0.25">
      <c r="A301" s="2">
        <v>296</v>
      </c>
      <c r="B301" s="3" t="str">
        <f>"00014223"</f>
        <v>00014223</v>
      </c>
    </row>
    <row r="302" spans="1:2" x14ac:dyDescent="0.25">
      <c r="A302" s="2">
        <v>297</v>
      </c>
      <c r="B302" s="3" t="str">
        <f>"00014235"</f>
        <v>00014235</v>
      </c>
    </row>
    <row r="303" spans="1:2" x14ac:dyDescent="0.25">
      <c r="A303" s="2">
        <v>298</v>
      </c>
      <c r="B303" s="3" t="str">
        <f>"00014261"</f>
        <v>00014261</v>
      </c>
    </row>
    <row r="304" spans="1:2" x14ac:dyDescent="0.25">
      <c r="A304" s="2">
        <v>299</v>
      </c>
      <c r="B304" s="3" t="str">
        <f>"00014277"</f>
        <v>00014277</v>
      </c>
    </row>
    <row r="305" spans="1:2" x14ac:dyDescent="0.25">
      <c r="A305" s="2">
        <v>300</v>
      </c>
      <c r="B305" s="3" t="str">
        <f>"00014343"</f>
        <v>00014343</v>
      </c>
    </row>
    <row r="306" spans="1:2" x14ac:dyDescent="0.25">
      <c r="A306" s="2">
        <v>301</v>
      </c>
      <c r="B306" s="3" t="str">
        <f>"00014354"</f>
        <v>00014354</v>
      </c>
    </row>
    <row r="307" spans="1:2" x14ac:dyDescent="0.25">
      <c r="A307" s="2">
        <v>302</v>
      </c>
      <c r="B307" s="3" t="str">
        <f>"00014399"</f>
        <v>00014399</v>
      </c>
    </row>
    <row r="308" spans="1:2" x14ac:dyDescent="0.25">
      <c r="A308" s="2">
        <v>303</v>
      </c>
      <c r="B308" s="3" t="str">
        <f>"00014427"</f>
        <v>00014427</v>
      </c>
    </row>
    <row r="309" spans="1:2" x14ac:dyDescent="0.25">
      <c r="A309" s="2">
        <v>304</v>
      </c>
      <c r="B309" s="3" t="str">
        <f>"00014436"</f>
        <v>00014436</v>
      </c>
    </row>
    <row r="310" spans="1:2" x14ac:dyDescent="0.25">
      <c r="A310" s="2">
        <v>305</v>
      </c>
      <c r="B310" s="3" t="str">
        <f>"00014443"</f>
        <v>00014443</v>
      </c>
    </row>
    <row r="311" spans="1:2" x14ac:dyDescent="0.25">
      <c r="A311" s="2">
        <v>306</v>
      </c>
      <c r="B311" s="3" t="str">
        <f>"00014468"</f>
        <v>00014468</v>
      </c>
    </row>
    <row r="312" spans="1:2" x14ac:dyDescent="0.25">
      <c r="A312" s="2">
        <v>307</v>
      </c>
      <c r="B312" s="3" t="str">
        <f>"00014470"</f>
        <v>00014470</v>
      </c>
    </row>
    <row r="313" spans="1:2" x14ac:dyDescent="0.25">
      <c r="A313" s="2">
        <v>308</v>
      </c>
      <c r="B313" s="3" t="str">
        <f>"00014497"</f>
        <v>00014497</v>
      </c>
    </row>
    <row r="314" spans="1:2" x14ac:dyDescent="0.25">
      <c r="A314" s="2">
        <v>309</v>
      </c>
      <c r="B314" s="3" t="str">
        <f>"00014552"</f>
        <v>00014552</v>
      </c>
    </row>
    <row r="315" spans="1:2" x14ac:dyDescent="0.25">
      <c r="A315" s="2">
        <v>310</v>
      </c>
      <c r="B315" s="3" t="str">
        <f>"00014565"</f>
        <v>00014565</v>
      </c>
    </row>
    <row r="316" spans="1:2" x14ac:dyDescent="0.25">
      <c r="A316" s="2">
        <v>311</v>
      </c>
      <c r="B316" s="3" t="str">
        <f>"00014645"</f>
        <v>00014645</v>
      </c>
    </row>
    <row r="317" spans="1:2" x14ac:dyDescent="0.25">
      <c r="A317" s="2">
        <v>312</v>
      </c>
      <c r="B317" s="3" t="str">
        <f>"00014793"</f>
        <v>00014793</v>
      </c>
    </row>
    <row r="318" spans="1:2" x14ac:dyDescent="0.25">
      <c r="A318" s="2">
        <v>313</v>
      </c>
      <c r="B318" s="3" t="str">
        <f>"00014881"</f>
        <v>00014881</v>
      </c>
    </row>
    <row r="319" spans="1:2" x14ac:dyDescent="0.25">
      <c r="A319" s="2">
        <v>314</v>
      </c>
      <c r="B319" s="3" t="str">
        <f>"00014892"</f>
        <v>00014892</v>
      </c>
    </row>
    <row r="320" spans="1:2" x14ac:dyDescent="0.25">
      <c r="A320" s="2">
        <v>315</v>
      </c>
      <c r="B320" s="3" t="str">
        <f>"00015047"</f>
        <v>00015047</v>
      </c>
    </row>
    <row r="321" spans="1:2" x14ac:dyDescent="0.25">
      <c r="A321" s="2">
        <v>316</v>
      </c>
      <c r="B321" s="3" t="str">
        <f>"00015048"</f>
        <v>00015048</v>
      </c>
    </row>
    <row r="322" spans="1:2" x14ac:dyDescent="0.25">
      <c r="A322" s="2">
        <v>317</v>
      </c>
      <c r="B322" s="3" t="str">
        <f>"00015170"</f>
        <v>00015170</v>
      </c>
    </row>
    <row r="323" spans="1:2" x14ac:dyDescent="0.25">
      <c r="A323" s="2">
        <v>318</v>
      </c>
      <c r="B323" s="3" t="str">
        <f>"00015185"</f>
        <v>00015185</v>
      </c>
    </row>
    <row r="324" spans="1:2" x14ac:dyDescent="0.25">
      <c r="A324" s="2">
        <v>319</v>
      </c>
      <c r="B324" s="3" t="str">
        <f>"00015187"</f>
        <v>00015187</v>
      </c>
    </row>
    <row r="325" spans="1:2" x14ac:dyDescent="0.25">
      <c r="A325" s="2">
        <v>320</v>
      </c>
      <c r="B325" s="3" t="str">
        <f>"00015203"</f>
        <v>00015203</v>
      </c>
    </row>
    <row r="326" spans="1:2" x14ac:dyDescent="0.25">
      <c r="A326" s="2">
        <v>321</v>
      </c>
      <c r="B326" s="3" t="str">
        <f>"00015219"</f>
        <v>00015219</v>
      </c>
    </row>
    <row r="327" spans="1:2" x14ac:dyDescent="0.25">
      <c r="A327" s="2">
        <v>322</v>
      </c>
      <c r="B327" s="3" t="str">
        <f>"00015262"</f>
        <v>00015262</v>
      </c>
    </row>
    <row r="328" spans="1:2" x14ac:dyDescent="0.25">
      <c r="A328" s="2">
        <v>323</v>
      </c>
      <c r="B328" s="3" t="str">
        <f>"00015321"</f>
        <v>00015321</v>
      </c>
    </row>
    <row r="329" spans="1:2" x14ac:dyDescent="0.25">
      <c r="A329" s="2">
        <v>324</v>
      </c>
      <c r="B329" s="3" t="str">
        <f>"00015393"</f>
        <v>00015393</v>
      </c>
    </row>
    <row r="330" spans="1:2" x14ac:dyDescent="0.25">
      <c r="A330" s="2">
        <v>325</v>
      </c>
      <c r="B330" s="3" t="str">
        <f>"00015403"</f>
        <v>00015403</v>
      </c>
    </row>
    <row r="331" spans="1:2" x14ac:dyDescent="0.25">
      <c r="A331" s="2">
        <v>326</v>
      </c>
      <c r="B331" s="3" t="str">
        <f>"00015405"</f>
        <v>00015405</v>
      </c>
    </row>
    <row r="332" spans="1:2" x14ac:dyDescent="0.25">
      <c r="A332" s="2">
        <v>327</v>
      </c>
      <c r="B332" s="3" t="str">
        <f>"00015414"</f>
        <v>00015414</v>
      </c>
    </row>
    <row r="333" spans="1:2" x14ac:dyDescent="0.25">
      <c r="A333" s="2">
        <v>328</v>
      </c>
      <c r="B333" s="3" t="str">
        <f>"00015430"</f>
        <v>00015430</v>
      </c>
    </row>
    <row r="334" spans="1:2" x14ac:dyDescent="0.25">
      <c r="A334" s="2">
        <v>329</v>
      </c>
      <c r="B334" s="3" t="str">
        <f>"00015512"</f>
        <v>00015512</v>
      </c>
    </row>
    <row r="335" spans="1:2" x14ac:dyDescent="0.25">
      <c r="A335" s="2">
        <v>330</v>
      </c>
      <c r="B335" s="3" t="str">
        <f>"00015539"</f>
        <v>00015539</v>
      </c>
    </row>
    <row r="336" spans="1:2" x14ac:dyDescent="0.25">
      <c r="A336" s="2">
        <v>331</v>
      </c>
      <c r="B336" s="3" t="str">
        <f>"00015543"</f>
        <v>00015543</v>
      </c>
    </row>
    <row r="337" spans="1:2" x14ac:dyDescent="0.25">
      <c r="A337" s="2">
        <v>332</v>
      </c>
      <c r="B337" s="3" t="str">
        <f>"00015557"</f>
        <v>00015557</v>
      </c>
    </row>
    <row r="338" spans="1:2" x14ac:dyDescent="0.25">
      <c r="A338" s="2">
        <v>333</v>
      </c>
      <c r="B338" s="3" t="str">
        <f>"00015569"</f>
        <v>00015569</v>
      </c>
    </row>
    <row r="339" spans="1:2" x14ac:dyDescent="0.25">
      <c r="A339" s="2">
        <v>334</v>
      </c>
      <c r="B339" s="3" t="str">
        <f>"00015686"</f>
        <v>00015686</v>
      </c>
    </row>
    <row r="340" spans="1:2" x14ac:dyDescent="0.25">
      <c r="A340" s="2">
        <v>335</v>
      </c>
      <c r="B340" s="3" t="str">
        <f>"00015726"</f>
        <v>00015726</v>
      </c>
    </row>
    <row r="341" spans="1:2" x14ac:dyDescent="0.25">
      <c r="A341" s="2">
        <v>336</v>
      </c>
      <c r="B341" s="3" t="str">
        <f>"00015744"</f>
        <v>00015744</v>
      </c>
    </row>
    <row r="342" spans="1:2" x14ac:dyDescent="0.25">
      <c r="A342" s="2">
        <v>337</v>
      </c>
      <c r="B342" s="3" t="str">
        <f>"00015758"</f>
        <v>00015758</v>
      </c>
    </row>
    <row r="343" spans="1:2" x14ac:dyDescent="0.25">
      <c r="A343" s="2">
        <v>338</v>
      </c>
      <c r="B343" s="3" t="str">
        <f>"00015802"</f>
        <v>00015802</v>
      </c>
    </row>
    <row r="344" spans="1:2" x14ac:dyDescent="0.25">
      <c r="A344" s="2">
        <v>339</v>
      </c>
      <c r="B344" s="3" t="str">
        <f>"00015813"</f>
        <v>00015813</v>
      </c>
    </row>
    <row r="345" spans="1:2" x14ac:dyDescent="0.25">
      <c r="A345" s="2">
        <v>340</v>
      </c>
      <c r="B345" s="3" t="str">
        <f>"00015920"</f>
        <v>00015920</v>
      </c>
    </row>
    <row r="346" spans="1:2" x14ac:dyDescent="0.25">
      <c r="A346" s="2">
        <v>341</v>
      </c>
      <c r="B346" s="3" t="str">
        <f>"00015988"</f>
        <v>00015988</v>
      </c>
    </row>
    <row r="347" spans="1:2" x14ac:dyDescent="0.25">
      <c r="A347" s="2">
        <v>342</v>
      </c>
      <c r="B347" s="3" t="str">
        <f>"00016003"</f>
        <v>00016003</v>
      </c>
    </row>
    <row r="348" spans="1:2" x14ac:dyDescent="0.25">
      <c r="A348" s="2">
        <v>343</v>
      </c>
      <c r="B348" s="3" t="str">
        <f>"00016011"</f>
        <v>00016011</v>
      </c>
    </row>
    <row r="349" spans="1:2" x14ac:dyDescent="0.25">
      <c r="A349" s="2">
        <v>344</v>
      </c>
      <c r="B349" s="3" t="str">
        <f>"00016013"</f>
        <v>00016013</v>
      </c>
    </row>
    <row r="350" spans="1:2" x14ac:dyDescent="0.25">
      <c r="A350" s="2">
        <v>345</v>
      </c>
      <c r="B350" s="3" t="str">
        <f>"00016096"</f>
        <v>00016096</v>
      </c>
    </row>
    <row r="351" spans="1:2" x14ac:dyDescent="0.25">
      <c r="A351" s="2">
        <v>346</v>
      </c>
      <c r="B351" s="3" t="str">
        <f>"00016108"</f>
        <v>00016108</v>
      </c>
    </row>
    <row r="352" spans="1:2" x14ac:dyDescent="0.25">
      <c r="A352" s="2">
        <v>347</v>
      </c>
      <c r="B352" s="3" t="str">
        <f>"00016177"</f>
        <v>00016177</v>
      </c>
    </row>
    <row r="353" spans="1:2" x14ac:dyDescent="0.25">
      <c r="A353" s="2">
        <v>348</v>
      </c>
      <c r="B353" s="3" t="str">
        <f>"00016180"</f>
        <v>00016180</v>
      </c>
    </row>
    <row r="354" spans="1:2" x14ac:dyDescent="0.25">
      <c r="A354" s="2">
        <v>349</v>
      </c>
      <c r="B354" s="3" t="str">
        <f>"00016190"</f>
        <v>00016190</v>
      </c>
    </row>
    <row r="355" spans="1:2" x14ac:dyDescent="0.25">
      <c r="A355" s="2">
        <v>350</v>
      </c>
      <c r="B355" s="3" t="str">
        <f>"00016204"</f>
        <v>00016204</v>
      </c>
    </row>
    <row r="356" spans="1:2" x14ac:dyDescent="0.25">
      <c r="A356" s="2">
        <v>351</v>
      </c>
      <c r="B356" s="3" t="str">
        <f>"00016246"</f>
        <v>00016246</v>
      </c>
    </row>
    <row r="357" spans="1:2" x14ac:dyDescent="0.25">
      <c r="A357" s="2">
        <v>352</v>
      </c>
      <c r="B357" s="3" t="str">
        <f>"00016343"</f>
        <v>00016343</v>
      </c>
    </row>
    <row r="358" spans="1:2" x14ac:dyDescent="0.25">
      <c r="A358" s="2">
        <v>353</v>
      </c>
      <c r="B358" s="3" t="str">
        <f>"00016354"</f>
        <v>00016354</v>
      </c>
    </row>
    <row r="359" spans="1:2" x14ac:dyDescent="0.25">
      <c r="A359" s="2">
        <v>354</v>
      </c>
      <c r="B359" s="3" t="str">
        <f>"00016358"</f>
        <v>00016358</v>
      </c>
    </row>
    <row r="360" spans="1:2" x14ac:dyDescent="0.25">
      <c r="A360" s="2">
        <v>355</v>
      </c>
      <c r="B360" s="3" t="str">
        <f>"00016362"</f>
        <v>00016362</v>
      </c>
    </row>
    <row r="361" spans="1:2" x14ac:dyDescent="0.25">
      <c r="A361" s="2">
        <v>356</v>
      </c>
      <c r="B361" s="3" t="str">
        <f>"00016395"</f>
        <v>00016395</v>
      </c>
    </row>
    <row r="362" spans="1:2" x14ac:dyDescent="0.25">
      <c r="A362" s="2">
        <v>357</v>
      </c>
      <c r="B362" s="3" t="str">
        <f>"00016396"</f>
        <v>00016396</v>
      </c>
    </row>
    <row r="363" spans="1:2" x14ac:dyDescent="0.25">
      <c r="A363" s="2">
        <v>358</v>
      </c>
      <c r="B363" s="3" t="str">
        <f>"00016408"</f>
        <v>00016408</v>
      </c>
    </row>
    <row r="364" spans="1:2" x14ac:dyDescent="0.25">
      <c r="A364" s="2">
        <v>359</v>
      </c>
      <c r="B364" s="3" t="str">
        <f>"00016521"</f>
        <v>00016521</v>
      </c>
    </row>
    <row r="365" spans="1:2" x14ac:dyDescent="0.25">
      <c r="A365" s="2">
        <v>360</v>
      </c>
      <c r="B365" s="3" t="str">
        <f>"00016526"</f>
        <v>00016526</v>
      </c>
    </row>
    <row r="366" spans="1:2" x14ac:dyDescent="0.25">
      <c r="A366" s="2">
        <v>361</v>
      </c>
      <c r="B366" s="3" t="str">
        <f>"00016528"</f>
        <v>00016528</v>
      </c>
    </row>
    <row r="367" spans="1:2" x14ac:dyDescent="0.25">
      <c r="A367" s="2">
        <v>362</v>
      </c>
      <c r="B367" s="3" t="str">
        <f>"00016548"</f>
        <v>00016548</v>
      </c>
    </row>
    <row r="368" spans="1:2" x14ac:dyDescent="0.25">
      <c r="A368" s="2">
        <v>363</v>
      </c>
      <c r="B368" s="3" t="str">
        <f>"00016565"</f>
        <v>00016565</v>
      </c>
    </row>
    <row r="369" spans="1:2" x14ac:dyDescent="0.25">
      <c r="A369" s="2">
        <v>364</v>
      </c>
      <c r="B369" s="3" t="str">
        <f>"00016585"</f>
        <v>00016585</v>
      </c>
    </row>
    <row r="370" spans="1:2" x14ac:dyDescent="0.25">
      <c r="A370" s="2">
        <v>365</v>
      </c>
      <c r="B370" s="3" t="str">
        <f>"00016618"</f>
        <v>00016618</v>
      </c>
    </row>
    <row r="371" spans="1:2" x14ac:dyDescent="0.25">
      <c r="A371" s="2">
        <v>366</v>
      </c>
      <c r="B371" s="3" t="str">
        <f>"00016644"</f>
        <v>00016644</v>
      </c>
    </row>
    <row r="372" spans="1:2" x14ac:dyDescent="0.25">
      <c r="A372" s="2">
        <v>367</v>
      </c>
      <c r="B372" s="3" t="str">
        <f>"00016668"</f>
        <v>00016668</v>
      </c>
    </row>
    <row r="373" spans="1:2" x14ac:dyDescent="0.25">
      <c r="A373" s="2">
        <v>368</v>
      </c>
      <c r="B373" s="3" t="str">
        <f>"00016674"</f>
        <v>00016674</v>
      </c>
    </row>
    <row r="374" spans="1:2" x14ac:dyDescent="0.25">
      <c r="A374" s="2">
        <v>369</v>
      </c>
      <c r="B374" s="3" t="str">
        <f>"00016694"</f>
        <v>00016694</v>
      </c>
    </row>
    <row r="375" spans="1:2" x14ac:dyDescent="0.25">
      <c r="A375" s="2">
        <v>370</v>
      </c>
      <c r="B375" s="3" t="str">
        <f>"00016713"</f>
        <v>00016713</v>
      </c>
    </row>
    <row r="376" spans="1:2" x14ac:dyDescent="0.25">
      <c r="A376" s="2">
        <v>371</v>
      </c>
      <c r="B376" s="3" t="str">
        <f>"00016742"</f>
        <v>00016742</v>
      </c>
    </row>
    <row r="377" spans="1:2" x14ac:dyDescent="0.25">
      <c r="A377" s="2">
        <v>372</v>
      </c>
      <c r="B377" s="3" t="str">
        <f>"00016771"</f>
        <v>00016771</v>
      </c>
    </row>
    <row r="378" spans="1:2" x14ac:dyDescent="0.25">
      <c r="A378" s="2">
        <v>373</v>
      </c>
      <c r="B378" s="3" t="str">
        <f>"00016785"</f>
        <v>00016785</v>
      </c>
    </row>
    <row r="379" spans="1:2" x14ac:dyDescent="0.25">
      <c r="A379" s="2">
        <v>374</v>
      </c>
      <c r="B379" s="3" t="str">
        <f>"00016803"</f>
        <v>00016803</v>
      </c>
    </row>
    <row r="380" spans="1:2" x14ac:dyDescent="0.25">
      <c r="A380" s="2">
        <v>375</v>
      </c>
      <c r="B380" s="3" t="str">
        <f>"00016824"</f>
        <v>00016824</v>
      </c>
    </row>
    <row r="381" spans="1:2" x14ac:dyDescent="0.25">
      <c r="A381" s="2">
        <v>376</v>
      </c>
      <c r="B381" s="3" t="str">
        <f>"00016922"</f>
        <v>00016922</v>
      </c>
    </row>
    <row r="382" spans="1:2" x14ac:dyDescent="0.25">
      <c r="A382" s="2">
        <v>377</v>
      </c>
      <c r="B382" s="3" t="str">
        <f>"00016928"</f>
        <v>00016928</v>
      </c>
    </row>
    <row r="383" spans="1:2" x14ac:dyDescent="0.25">
      <c r="A383" s="2">
        <v>378</v>
      </c>
      <c r="B383" s="3" t="str">
        <f>"00016957"</f>
        <v>00016957</v>
      </c>
    </row>
    <row r="384" spans="1:2" x14ac:dyDescent="0.25">
      <c r="A384" s="2">
        <v>379</v>
      </c>
      <c r="B384" s="3" t="str">
        <f>"00016985"</f>
        <v>00016985</v>
      </c>
    </row>
    <row r="385" spans="1:2" x14ac:dyDescent="0.25">
      <c r="A385" s="2">
        <v>380</v>
      </c>
      <c r="B385" s="3" t="str">
        <f>"00017130"</f>
        <v>00017130</v>
      </c>
    </row>
    <row r="386" spans="1:2" x14ac:dyDescent="0.25">
      <c r="A386" s="2">
        <v>381</v>
      </c>
      <c r="B386" s="3" t="str">
        <f>"00017157"</f>
        <v>00017157</v>
      </c>
    </row>
    <row r="387" spans="1:2" x14ac:dyDescent="0.25">
      <c r="A387" s="2">
        <v>382</v>
      </c>
      <c r="B387" s="3" t="str">
        <f>"00017218"</f>
        <v>00017218</v>
      </c>
    </row>
    <row r="388" spans="1:2" x14ac:dyDescent="0.25">
      <c r="A388" s="2">
        <v>383</v>
      </c>
      <c r="B388" s="3" t="str">
        <f>"00017228"</f>
        <v>00017228</v>
      </c>
    </row>
    <row r="389" spans="1:2" x14ac:dyDescent="0.25">
      <c r="A389" s="2">
        <v>384</v>
      </c>
      <c r="B389" s="3" t="str">
        <f>"00017234"</f>
        <v>00017234</v>
      </c>
    </row>
    <row r="390" spans="1:2" x14ac:dyDescent="0.25">
      <c r="A390" s="2">
        <v>385</v>
      </c>
      <c r="B390" s="3" t="str">
        <f>"00017292"</f>
        <v>00017292</v>
      </c>
    </row>
    <row r="391" spans="1:2" x14ac:dyDescent="0.25">
      <c r="A391" s="2">
        <v>386</v>
      </c>
      <c r="B391" s="3" t="str">
        <f>"00017310"</f>
        <v>00017310</v>
      </c>
    </row>
    <row r="392" spans="1:2" x14ac:dyDescent="0.25">
      <c r="A392" s="2">
        <v>387</v>
      </c>
      <c r="B392" s="3" t="str">
        <f>"00017332"</f>
        <v>00017332</v>
      </c>
    </row>
    <row r="393" spans="1:2" x14ac:dyDescent="0.25">
      <c r="A393" s="2">
        <v>388</v>
      </c>
      <c r="B393" s="3" t="str">
        <f>"00017444"</f>
        <v>00017444</v>
      </c>
    </row>
    <row r="394" spans="1:2" x14ac:dyDescent="0.25">
      <c r="A394" s="2">
        <v>389</v>
      </c>
      <c r="B394" s="3" t="str">
        <f>"00017458"</f>
        <v>00017458</v>
      </c>
    </row>
    <row r="395" spans="1:2" x14ac:dyDescent="0.25">
      <c r="A395" s="2">
        <v>390</v>
      </c>
      <c r="B395" s="3" t="str">
        <f>"00017472"</f>
        <v>00017472</v>
      </c>
    </row>
    <row r="396" spans="1:2" x14ac:dyDescent="0.25">
      <c r="A396" s="2">
        <v>391</v>
      </c>
      <c r="B396" s="3" t="str">
        <f>"00017525"</f>
        <v>00017525</v>
      </c>
    </row>
    <row r="397" spans="1:2" x14ac:dyDescent="0.25">
      <c r="A397" s="2">
        <v>392</v>
      </c>
      <c r="B397" s="3" t="str">
        <f>"00017537"</f>
        <v>00017537</v>
      </c>
    </row>
    <row r="398" spans="1:2" x14ac:dyDescent="0.25">
      <c r="A398" s="2">
        <v>393</v>
      </c>
      <c r="B398" s="3" t="str">
        <f>"00017540"</f>
        <v>00017540</v>
      </c>
    </row>
    <row r="399" spans="1:2" x14ac:dyDescent="0.25">
      <c r="A399" s="2">
        <v>394</v>
      </c>
      <c r="B399" s="3" t="str">
        <f>"00017600"</f>
        <v>00017600</v>
      </c>
    </row>
    <row r="400" spans="1:2" x14ac:dyDescent="0.25">
      <c r="A400" s="2">
        <v>395</v>
      </c>
      <c r="B400" s="3" t="str">
        <f>"00017629"</f>
        <v>00017629</v>
      </c>
    </row>
    <row r="401" spans="1:2" x14ac:dyDescent="0.25">
      <c r="A401" s="2">
        <v>396</v>
      </c>
      <c r="B401" s="3" t="str">
        <f>"00017640"</f>
        <v>00017640</v>
      </c>
    </row>
    <row r="402" spans="1:2" x14ac:dyDescent="0.25">
      <c r="A402" s="2">
        <v>397</v>
      </c>
      <c r="B402" s="3" t="str">
        <f>"00017657"</f>
        <v>00017657</v>
      </c>
    </row>
    <row r="403" spans="1:2" x14ac:dyDescent="0.25">
      <c r="A403" s="2">
        <v>398</v>
      </c>
      <c r="B403" s="3" t="str">
        <f>"00017665"</f>
        <v>00017665</v>
      </c>
    </row>
    <row r="404" spans="1:2" x14ac:dyDescent="0.25">
      <c r="A404" s="2">
        <v>399</v>
      </c>
      <c r="B404" s="3" t="str">
        <f>"00017771"</f>
        <v>00017771</v>
      </c>
    </row>
    <row r="405" spans="1:2" x14ac:dyDescent="0.25">
      <c r="A405" s="2">
        <v>400</v>
      </c>
      <c r="B405" s="3" t="str">
        <f>"00017799"</f>
        <v>00017799</v>
      </c>
    </row>
    <row r="406" spans="1:2" x14ac:dyDescent="0.25">
      <c r="A406" s="2">
        <v>401</v>
      </c>
      <c r="B406" s="3" t="str">
        <f>"00017849"</f>
        <v>00017849</v>
      </c>
    </row>
    <row r="407" spans="1:2" x14ac:dyDescent="0.25">
      <c r="A407" s="2">
        <v>402</v>
      </c>
      <c r="B407" s="3" t="str">
        <f>"00017963"</f>
        <v>00017963</v>
      </c>
    </row>
    <row r="408" spans="1:2" x14ac:dyDescent="0.25">
      <c r="A408" s="2">
        <v>403</v>
      </c>
      <c r="B408" s="3" t="str">
        <f>"00017969"</f>
        <v>00017969</v>
      </c>
    </row>
    <row r="409" spans="1:2" x14ac:dyDescent="0.25">
      <c r="A409" s="2">
        <v>404</v>
      </c>
      <c r="B409" s="3" t="str">
        <f>"00017978"</f>
        <v>00017978</v>
      </c>
    </row>
    <row r="410" spans="1:2" x14ac:dyDescent="0.25">
      <c r="A410" s="2">
        <v>405</v>
      </c>
      <c r="B410" s="3" t="str">
        <f>"00017980"</f>
        <v>00017980</v>
      </c>
    </row>
    <row r="411" spans="1:2" x14ac:dyDescent="0.25">
      <c r="A411" s="2">
        <v>406</v>
      </c>
      <c r="B411" s="3" t="str">
        <f>"00017993"</f>
        <v>00017993</v>
      </c>
    </row>
    <row r="412" spans="1:2" x14ac:dyDescent="0.25">
      <c r="A412" s="2">
        <v>407</v>
      </c>
      <c r="B412" s="3" t="str">
        <f>"00018003"</f>
        <v>00018003</v>
      </c>
    </row>
    <row r="413" spans="1:2" x14ac:dyDescent="0.25">
      <c r="A413" s="2">
        <v>408</v>
      </c>
      <c r="B413" s="3" t="str">
        <f>"00018169"</f>
        <v>00018169</v>
      </c>
    </row>
    <row r="414" spans="1:2" x14ac:dyDescent="0.25">
      <c r="A414" s="2">
        <v>409</v>
      </c>
      <c r="B414" s="3" t="str">
        <f>"00018173"</f>
        <v>00018173</v>
      </c>
    </row>
    <row r="415" spans="1:2" x14ac:dyDescent="0.25">
      <c r="A415" s="2">
        <v>410</v>
      </c>
      <c r="B415" s="3" t="str">
        <f>"00018198"</f>
        <v>00018198</v>
      </c>
    </row>
    <row r="416" spans="1:2" x14ac:dyDescent="0.25">
      <c r="A416" s="2">
        <v>411</v>
      </c>
      <c r="B416" s="3" t="str">
        <f>"00018224"</f>
        <v>00018224</v>
      </c>
    </row>
    <row r="417" spans="1:2" x14ac:dyDescent="0.25">
      <c r="A417" s="2">
        <v>412</v>
      </c>
      <c r="B417" s="3" t="str">
        <f>"00018226"</f>
        <v>00018226</v>
      </c>
    </row>
    <row r="418" spans="1:2" x14ac:dyDescent="0.25">
      <c r="A418" s="2">
        <v>413</v>
      </c>
      <c r="B418" s="3" t="str">
        <f>"00018227"</f>
        <v>00018227</v>
      </c>
    </row>
    <row r="419" spans="1:2" x14ac:dyDescent="0.25">
      <c r="A419" s="2">
        <v>414</v>
      </c>
      <c r="B419" s="3" t="str">
        <f>"00018235"</f>
        <v>00018235</v>
      </c>
    </row>
    <row r="420" spans="1:2" x14ac:dyDescent="0.25">
      <c r="A420" s="2">
        <v>415</v>
      </c>
      <c r="B420" s="3" t="str">
        <f>"00018250"</f>
        <v>00018250</v>
      </c>
    </row>
    <row r="421" spans="1:2" x14ac:dyDescent="0.25">
      <c r="A421" s="2">
        <v>416</v>
      </c>
      <c r="B421" s="3" t="str">
        <f>"00018251"</f>
        <v>00018251</v>
      </c>
    </row>
    <row r="422" spans="1:2" x14ac:dyDescent="0.25">
      <c r="A422" s="2">
        <v>417</v>
      </c>
      <c r="B422" s="3" t="str">
        <f>"00018257"</f>
        <v>00018257</v>
      </c>
    </row>
    <row r="423" spans="1:2" x14ac:dyDescent="0.25">
      <c r="A423" s="2">
        <v>418</v>
      </c>
      <c r="B423" s="3" t="str">
        <f>"00018333"</f>
        <v>00018333</v>
      </c>
    </row>
    <row r="424" spans="1:2" x14ac:dyDescent="0.25">
      <c r="A424" s="2">
        <v>419</v>
      </c>
      <c r="B424" s="3" t="str">
        <f>"00018363"</f>
        <v>00018363</v>
      </c>
    </row>
    <row r="425" spans="1:2" x14ac:dyDescent="0.25">
      <c r="A425" s="2">
        <v>420</v>
      </c>
      <c r="B425" s="3" t="str">
        <f>"00018383"</f>
        <v>00018383</v>
      </c>
    </row>
    <row r="426" spans="1:2" x14ac:dyDescent="0.25">
      <c r="A426" s="2">
        <v>421</v>
      </c>
      <c r="B426" s="3" t="str">
        <f>"00018447"</f>
        <v>00018447</v>
      </c>
    </row>
    <row r="427" spans="1:2" x14ac:dyDescent="0.25">
      <c r="A427" s="2">
        <v>422</v>
      </c>
      <c r="B427" s="3" t="str">
        <f>"00018456"</f>
        <v>00018456</v>
      </c>
    </row>
    <row r="428" spans="1:2" x14ac:dyDescent="0.25">
      <c r="A428" s="2">
        <v>423</v>
      </c>
      <c r="B428" s="3" t="str">
        <f>"00018467"</f>
        <v>00018467</v>
      </c>
    </row>
    <row r="429" spans="1:2" x14ac:dyDescent="0.25">
      <c r="A429" s="2">
        <v>424</v>
      </c>
      <c r="B429" s="3" t="str">
        <f>"00018486"</f>
        <v>00018486</v>
      </c>
    </row>
    <row r="430" spans="1:2" x14ac:dyDescent="0.25">
      <c r="A430" s="2">
        <v>425</v>
      </c>
      <c r="B430" s="3" t="str">
        <f>"00018502"</f>
        <v>00018502</v>
      </c>
    </row>
    <row r="431" spans="1:2" x14ac:dyDescent="0.25">
      <c r="A431" s="2">
        <v>426</v>
      </c>
      <c r="B431" s="3" t="str">
        <f>"00018506"</f>
        <v>00018506</v>
      </c>
    </row>
    <row r="432" spans="1:2" x14ac:dyDescent="0.25">
      <c r="A432" s="2">
        <v>427</v>
      </c>
      <c r="B432" s="3" t="str">
        <f>"00018509"</f>
        <v>00018509</v>
      </c>
    </row>
    <row r="433" spans="1:2" x14ac:dyDescent="0.25">
      <c r="A433" s="2">
        <v>428</v>
      </c>
      <c r="B433" s="3" t="str">
        <f>"00018817"</f>
        <v>00018817</v>
      </c>
    </row>
    <row r="434" spans="1:2" x14ac:dyDescent="0.25">
      <c r="A434" s="2">
        <v>429</v>
      </c>
      <c r="B434" s="3" t="str">
        <f>"00018820"</f>
        <v>00018820</v>
      </c>
    </row>
    <row r="435" spans="1:2" x14ac:dyDescent="0.25">
      <c r="A435" s="2">
        <v>430</v>
      </c>
      <c r="B435" s="3" t="str">
        <f>"00018838"</f>
        <v>00018838</v>
      </c>
    </row>
    <row r="436" spans="1:2" x14ac:dyDescent="0.25">
      <c r="A436" s="2">
        <v>431</v>
      </c>
      <c r="B436" s="3" t="str">
        <f>"00018857"</f>
        <v>00018857</v>
      </c>
    </row>
    <row r="437" spans="1:2" x14ac:dyDescent="0.25">
      <c r="A437" s="2">
        <v>432</v>
      </c>
      <c r="B437" s="3" t="str">
        <f>"00018861"</f>
        <v>00018861</v>
      </c>
    </row>
    <row r="438" spans="1:2" x14ac:dyDescent="0.25">
      <c r="A438" s="2">
        <v>433</v>
      </c>
      <c r="B438" s="3" t="str">
        <f>"00018865"</f>
        <v>00018865</v>
      </c>
    </row>
    <row r="439" spans="1:2" x14ac:dyDescent="0.25">
      <c r="A439" s="2">
        <v>434</v>
      </c>
      <c r="B439" s="3" t="str">
        <f>"00018923"</f>
        <v>00018923</v>
      </c>
    </row>
    <row r="440" spans="1:2" x14ac:dyDescent="0.25">
      <c r="A440" s="2">
        <v>435</v>
      </c>
      <c r="B440" s="3" t="str">
        <f>"00018972"</f>
        <v>00018972</v>
      </c>
    </row>
    <row r="441" spans="1:2" x14ac:dyDescent="0.25">
      <c r="A441" s="2">
        <v>436</v>
      </c>
      <c r="B441" s="3" t="str">
        <f>"00019004"</f>
        <v>00019004</v>
      </c>
    </row>
    <row r="442" spans="1:2" x14ac:dyDescent="0.25">
      <c r="A442" s="2">
        <v>437</v>
      </c>
      <c r="B442" s="3" t="str">
        <f>"00019020"</f>
        <v>00019020</v>
      </c>
    </row>
    <row r="443" spans="1:2" x14ac:dyDescent="0.25">
      <c r="A443" s="2">
        <v>438</v>
      </c>
      <c r="B443" s="3" t="str">
        <f>"00019052"</f>
        <v>00019052</v>
      </c>
    </row>
    <row r="444" spans="1:2" x14ac:dyDescent="0.25">
      <c r="A444" s="2">
        <v>439</v>
      </c>
      <c r="B444" s="3" t="str">
        <f>"00019087"</f>
        <v>00019087</v>
      </c>
    </row>
    <row r="445" spans="1:2" x14ac:dyDescent="0.25">
      <c r="A445" s="2">
        <v>440</v>
      </c>
      <c r="B445" s="3" t="str">
        <f>"00019097"</f>
        <v>00019097</v>
      </c>
    </row>
    <row r="446" spans="1:2" x14ac:dyDescent="0.25">
      <c r="A446" s="2">
        <v>441</v>
      </c>
      <c r="B446" s="3" t="str">
        <f>"00019217"</f>
        <v>00019217</v>
      </c>
    </row>
    <row r="447" spans="1:2" x14ac:dyDescent="0.25">
      <c r="A447" s="2">
        <v>442</v>
      </c>
      <c r="B447" s="3" t="str">
        <f>"00019222"</f>
        <v>00019222</v>
      </c>
    </row>
    <row r="448" spans="1:2" x14ac:dyDescent="0.25">
      <c r="A448" s="2">
        <v>443</v>
      </c>
      <c r="B448" s="3" t="str">
        <f>"00019234"</f>
        <v>00019234</v>
      </c>
    </row>
    <row r="449" spans="1:2" x14ac:dyDescent="0.25">
      <c r="A449" s="2">
        <v>444</v>
      </c>
      <c r="B449" s="3" t="str">
        <f>"00019283"</f>
        <v>00019283</v>
      </c>
    </row>
    <row r="450" spans="1:2" x14ac:dyDescent="0.25">
      <c r="A450" s="2">
        <v>445</v>
      </c>
      <c r="B450" s="3" t="str">
        <f>"00019335"</f>
        <v>00019335</v>
      </c>
    </row>
    <row r="451" spans="1:2" x14ac:dyDescent="0.25">
      <c r="A451" s="2">
        <v>446</v>
      </c>
      <c r="B451" s="3" t="str">
        <f>"00019360"</f>
        <v>00019360</v>
      </c>
    </row>
    <row r="452" spans="1:2" x14ac:dyDescent="0.25">
      <c r="A452" s="2">
        <v>447</v>
      </c>
      <c r="B452" s="3" t="str">
        <f>"00019409"</f>
        <v>00019409</v>
      </c>
    </row>
    <row r="453" spans="1:2" x14ac:dyDescent="0.25">
      <c r="A453" s="2">
        <v>448</v>
      </c>
      <c r="B453" s="3" t="str">
        <f>"00019428"</f>
        <v>00019428</v>
      </c>
    </row>
    <row r="454" spans="1:2" x14ac:dyDescent="0.25">
      <c r="A454" s="2">
        <v>449</v>
      </c>
      <c r="B454" s="3" t="str">
        <f>"00019432"</f>
        <v>00019432</v>
      </c>
    </row>
    <row r="455" spans="1:2" x14ac:dyDescent="0.25">
      <c r="A455" s="2">
        <v>450</v>
      </c>
      <c r="B455" s="3" t="str">
        <f>"00019458"</f>
        <v>00019458</v>
      </c>
    </row>
    <row r="456" spans="1:2" x14ac:dyDescent="0.25">
      <c r="A456" s="2">
        <v>451</v>
      </c>
      <c r="B456" s="3" t="str">
        <f>"00019463"</f>
        <v>00019463</v>
      </c>
    </row>
    <row r="457" spans="1:2" x14ac:dyDescent="0.25">
      <c r="A457" s="2">
        <v>452</v>
      </c>
      <c r="B457" s="3" t="str">
        <f>"00019495"</f>
        <v>00019495</v>
      </c>
    </row>
    <row r="458" spans="1:2" x14ac:dyDescent="0.25">
      <c r="A458" s="2">
        <v>453</v>
      </c>
      <c r="B458" s="3" t="str">
        <f>"00019502"</f>
        <v>00019502</v>
      </c>
    </row>
    <row r="459" spans="1:2" x14ac:dyDescent="0.25">
      <c r="A459" s="2">
        <v>454</v>
      </c>
      <c r="B459" s="3" t="str">
        <f>"00019514"</f>
        <v>00019514</v>
      </c>
    </row>
    <row r="460" spans="1:2" x14ac:dyDescent="0.25">
      <c r="A460" s="2">
        <v>455</v>
      </c>
      <c r="B460" s="3" t="str">
        <f>"00019571"</f>
        <v>00019571</v>
      </c>
    </row>
    <row r="461" spans="1:2" x14ac:dyDescent="0.25">
      <c r="A461" s="2">
        <v>456</v>
      </c>
      <c r="B461" s="3" t="str">
        <f>"00019577"</f>
        <v>00019577</v>
      </c>
    </row>
    <row r="462" spans="1:2" x14ac:dyDescent="0.25">
      <c r="A462" s="2">
        <v>457</v>
      </c>
      <c r="B462" s="3" t="str">
        <f>"00019599"</f>
        <v>00019599</v>
      </c>
    </row>
    <row r="463" spans="1:2" x14ac:dyDescent="0.25">
      <c r="A463" s="2">
        <v>458</v>
      </c>
      <c r="B463" s="3" t="str">
        <f>"00019606"</f>
        <v>00019606</v>
      </c>
    </row>
    <row r="464" spans="1:2" x14ac:dyDescent="0.25">
      <c r="A464" s="2">
        <v>459</v>
      </c>
      <c r="B464" s="3" t="str">
        <f>"00019632"</f>
        <v>00019632</v>
      </c>
    </row>
    <row r="465" spans="1:2" x14ac:dyDescent="0.25">
      <c r="A465" s="2">
        <v>460</v>
      </c>
      <c r="B465" s="3" t="str">
        <f>"00019707"</f>
        <v>00019707</v>
      </c>
    </row>
    <row r="466" spans="1:2" x14ac:dyDescent="0.25">
      <c r="A466" s="2">
        <v>461</v>
      </c>
      <c r="B466" s="3" t="str">
        <f>"00019737"</f>
        <v>00019737</v>
      </c>
    </row>
    <row r="467" spans="1:2" x14ac:dyDescent="0.25">
      <c r="A467" s="2">
        <v>462</v>
      </c>
      <c r="B467" s="3" t="str">
        <f>"00019740"</f>
        <v>00019740</v>
      </c>
    </row>
    <row r="468" spans="1:2" x14ac:dyDescent="0.25">
      <c r="A468" s="2">
        <v>463</v>
      </c>
      <c r="B468" s="3" t="str">
        <f>"00019778"</f>
        <v>00019778</v>
      </c>
    </row>
    <row r="469" spans="1:2" x14ac:dyDescent="0.25">
      <c r="A469" s="2">
        <v>464</v>
      </c>
      <c r="B469" s="3" t="str">
        <f>"00019784"</f>
        <v>00019784</v>
      </c>
    </row>
    <row r="470" spans="1:2" x14ac:dyDescent="0.25">
      <c r="A470" s="2">
        <v>465</v>
      </c>
      <c r="B470" s="3" t="str">
        <f>"00019801"</f>
        <v>00019801</v>
      </c>
    </row>
    <row r="471" spans="1:2" x14ac:dyDescent="0.25">
      <c r="A471" s="2">
        <v>466</v>
      </c>
      <c r="B471" s="3" t="str">
        <f>"00019828"</f>
        <v>00019828</v>
      </c>
    </row>
    <row r="472" spans="1:2" x14ac:dyDescent="0.25">
      <c r="A472" s="2">
        <v>467</v>
      </c>
      <c r="B472" s="3" t="str">
        <f>"00019858"</f>
        <v>00019858</v>
      </c>
    </row>
    <row r="473" spans="1:2" x14ac:dyDescent="0.25">
      <c r="A473" s="2">
        <v>468</v>
      </c>
      <c r="B473" s="3" t="str">
        <f>"00019930"</f>
        <v>00019930</v>
      </c>
    </row>
    <row r="474" spans="1:2" x14ac:dyDescent="0.25">
      <c r="A474" s="2">
        <v>469</v>
      </c>
      <c r="B474" s="3" t="str">
        <f>"00019949"</f>
        <v>00019949</v>
      </c>
    </row>
    <row r="475" spans="1:2" x14ac:dyDescent="0.25">
      <c r="A475" s="2">
        <v>470</v>
      </c>
      <c r="B475" s="3" t="str">
        <f>"00019954"</f>
        <v>00019954</v>
      </c>
    </row>
    <row r="476" spans="1:2" x14ac:dyDescent="0.25">
      <c r="A476" s="2">
        <v>471</v>
      </c>
      <c r="B476" s="3" t="str">
        <f>"00019978"</f>
        <v>00019978</v>
      </c>
    </row>
    <row r="477" spans="1:2" x14ac:dyDescent="0.25">
      <c r="A477" s="2">
        <v>472</v>
      </c>
      <c r="B477" s="3" t="str">
        <f>"00020135"</f>
        <v>00020135</v>
      </c>
    </row>
    <row r="478" spans="1:2" x14ac:dyDescent="0.25">
      <c r="A478" s="2">
        <v>473</v>
      </c>
      <c r="B478" s="3" t="str">
        <f>"00020155"</f>
        <v>00020155</v>
      </c>
    </row>
    <row r="479" spans="1:2" x14ac:dyDescent="0.25">
      <c r="A479" s="2">
        <v>474</v>
      </c>
      <c r="B479" s="3" t="str">
        <f>"00020165"</f>
        <v>00020165</v>
      </c>
    </row>
    <row r="480" spans="1:2" x14ac:dyDescent="0.25">
      <c r="A480" s="2">
        <v>475</v>
      </c>
      <c r="B480" s="3" t="str">
        <f>"00020190"</f>
        <v>00020190</v>
      </c>
    </row>
    <row r="481" spans="1:2" x14ac:dyDescent="0.25">
      <c r="A481" s="2">
        <v>476</v>
      </c>
      <c r="B481" s="3" t="str">
        <f>"00020205"</f>
        <v>00020205</v>
      </c>
    </row>
    <row r="482" spans="1:2" x14ac:dyDescent="0.25">
      <c r="A482" s="2">
        <v>477</v>
      </c>
      <c r="B482" s="3" t="str">
        <f>"00020254"</f>
        <v>00020254</v>
      </c>
    </row>
    <row r="483" spans="1:2" x14ac:dyDescent="0.25">
      <c r="A483" s="2">
        <v>478</v>
      </c>
      <c r="B483" s="3" t="str">
        <f>"00020287"</f>
        <v>00020287</v>
      </c>
    </row>
    <row r="484" spans="1:2" x14ac:dyDescent="0.25">
      <c r="A484" s="2">
        <v>479</v>
      </c>
      <c r="B484" s="3" t="str">
        <f>"00020292"</f>
        <v>00020292</v>
      </c>
    </row>
    <row r="485" spans="1:2" x14ac:dyDescent="0.25">
      <c r="A485" s="2">
        <v>480</v>
      </c>
      <c r="B485" s="3" t="str">
        <f>"00020315"</f>
        <v>00020315</v>
      </c>
    </row>
    <row r="486" spans="1:2" x14ac:dyDescent="0.25">
      <c r="A486" s="2">
        <v>481</v>
      </c>
      <c r="B486" s="3" t="str">
        <f>"00020319"</f>
        <v>00020319</v>
      </c>
    </row>
    <row r="487" spans="1:2" x14ac:dyDescent="0.25">
      <c r="A487" s="2">
        <v>482</v>
      </c>
      <c r="B487" s="3" t="str">
        <f>"00020371"</f>
        <v>00020371</v>
      </c>
    </row>
    <row r="488" spans="1:2" x14ac:dyDescent="0.25">
      <c r="A488" s="2">
        <v>483</v>
      </c>
      <c r="B488" s="3" t="str">
        <f>"00020445"</f>
        <v>00020445</v>
      </c>
    </row>
    <row r="489" spans="1:2" x14ac:dyDescent="0.25">
      <c r="A489" s="2">
        <v>484</v>
      </c>
      <c r="B489" s="3" t="str">
        <f>"00020562"</f>
        <v>00020562</v>
      </c>
    </row>
    <row r="490" spans="1:2" x14ac:dyDescent="0.25">
      <c r="A490" s="2">
        <v>485</v>
      </c>
      <c r="B490" s="3" t="str">
        <f>"00020641"</f>
        <v>00020641</v>
      </c>
    </row>
    <row r="491" spans="1:2" x14ac:dyDescent="0.25">
      <c r="A491" s="2">
        <v>486</v>
      </c>
      <c r="B491" s="3" t="str">
        <f>"00020776"</f>
        <v>00020776</v>
      </c>
    </row>
    <row r="492" spans="1:2" x14ac:dyDescent="0.25">
      <c r="A492" s="2">
        <v>487</v>
      </c>
      <c r="B492" s="3" t="str">
        <f>"00020797"</f>
        <v>00020797</v>
      </c>
    </row>
    <row r="493" spans="1:2" x14ac:dyDescent="0.25">
      <c r="A493" s="2">
        <v>488</v>
      </c>
      <c r="B493" s="3" t="str">
        <f>"00020813"</f>
        <v>00020813</v>
      </c>
    </row>
    <row r="494" spans="1:2" x14ac:dyDescent="0.25">
      <c r="A494" s="2">
        <v>489</v>
      </c>
      <c r="B494" s="3" t="str">
        <f>"00020840"</f>
        <v>00020840</v>
      </c>
    </row>
    <row r="495" spans="1:2" x14ac:dyDescent="0.25">
      <c r="A495" s="2">
        <v>490</v>
      </c>
      <c r="B495" s="3" t="str">
        <f>"00020859"</f>
        <v>00020859</v>
      </c>
    </row>
    <row r="496" spans="1:2" x14ac:dyDescent="0.25">
      <c r="A496" s="2">
        <v>491</v>
      </c>
      <c r="B496" s="3" t="str">
        <f>"00020865"</f>
        <v>00020865</v>
      </c>
    </row>
    <row r="497" spans="1:2" x14ac:dyDescent="0.25">
      <c r="A497" s="2">
        <v>492</v>
      </c>
      <c r="B497" s="3" t="str">
        <f>"00020923"</f>
        <v>00020923</v>
      </c>
    </row>
    <row r="498" spans="1:2" x14ac:dyDescent="0.25">
      <c r="A498" s="2">
        <v>493</v>
      </c>
      <c r="B498" s="3" t="str">
        <f>"00020926"</f>
        <v>00020926</v>
      </c>
    </row>
    <row r="499" spans="1:2" x14ac:dyDescent="0.25">
      <c r="A499" s="2">
        <v>494</v>
      </c>
      <c r="B499" s="3" t="str">
        <f>"00020939"</f>
        <v>00020939</v>
      </c>
    </row>
    <row r="500" spans="1:2" x14ac:dyDescent="0.25">
      <c r="A500" s="2">
        <v>495</v>
      </c>
      <c r="B500" s="3" t="str">
        <f>"00020962"</f>
        <v>00020962</v>
      </c>
    </row>
    <row r="501" spans="1:2" x14ac:dyDescent="0.25">
      <c r="A501" s="2">
        <v>496</v>
      </c>
      <c r="B501" s="3" t="str">
        <f>"00020963"</f>
        <v>00020963</v>
      </c>
    </row>
    <row r="502" spans="1:2" x14ac:dyDescent="0.25">
      <c r="A502" s="2">
        <v>497</v>
      </c>
      <c r="B502" s="3" t="str">
        <f>"00020967"</f>
        <v>00020967</v>
      </c>
    </row>
    <row r="503" spans="1:2" x14ac:dyDescent="0.25">
      <c r="A503" s="2">
        <v>498</v>
      </c>
      <c r="B503" s="3" t="str">
        <f>"00020999"</f>
        <v>00020999</v>
      </c>
    </row>
    <row r="504" spans="1:2" x14ac:dyDescent="0.25">
      <c r="A504" s="2">
        <v>499</v>
      </c>
      <c r="B504" s="3" t="str">
        <f>"00021050"</f>
        <v>00021050</v>
      </c>
    </row>
    <row r="505" spans="1:2" x14ac:dyDescent="0.25">
      <c r="A505" s="2">
        <v>500</v>
      </c>
      <c r="B505" s="3" t="str">
        <f>"00021083"</f>
        <v>00021083</v>
      </c>
    </row>
    <row r="506" spans="1:2" x14ac:dyDescent="0.25">
      <c r="A506" s="2">
        <v>501</v>
      </c>
      <c r="B506" s="3" t="str">
        <f>"00021128"</f>
        <v>00021128</v>
      </c>
    </row>
    <row r="507" spans="1:2" x14ac:dyDescent="0.25">
      <c r="A507" s="2">
        <v>502</v>
      </c>
      <c r="B507" s="3" t="str">
        <f>"00021190"</f>
        <v>00021190</v>
      </c>
    </row>
    <row r="508" spans="1:2" x14ac:dyDescent="0.25">
      <c r="A508" s="2">
        <v>503</v>
      </c>
      <c r="B508" s="3" t="str">
        <f>"00021196"</f>
        <v>00021196</v>
      </c>
    </row>
    <row r="509" spans="1:2" x14ac:dyDescent="0.25">
      <c r="A509" s="2">
        <v>504</v>
      </c>
      <c r="B509" s="3" t="str">
        <f>"00021213"</f>
        <v>00021213</v>
      </c>
    </row>
    <row r="510" spans="1:2" x14ac:dyDescent="0.25">
      <c r="A510" s="2">
        <v>505</v>
      </c>
      <c r="B510" s="3" t="str">
        <f>"00021248"</f>
        <v>00021248</v>
      </c>
    </row>
    <row r="511" spans="1:2" x14ac:dyDescent="0.25">
      <c r="A511" s="2">
        <v>506</v>
      </c>
      <c r="B511" s="3" t="str">
        <f>"00021310"</f>
        <v>00021310</v>
      </c>
    </row>
    <row r="512" spans="1:2" x14ac:dyDescent="0.25">
      <c r="A512" s="2">
        <v>507</v>
      </c>
      <c r="B512" s="3" t="str">
        <f>"00021317"</f>
        <v>00021317</v>
      </c>
    </row>
    <row r="513" spans="1:2" x14ac:dyDescent="0.25">
      <c r="A513" s="2">
        <v>508</v>
      </c>
      <c r="B513" s="3" t="str">
        <f>"00021340"</f>
        <v>00021340</v>
      </c>
    </row>
    <row r="514" spans="1:2" x14ac:dyDescent="0.25">
      <c r="A514" s="2">
        <v>509</v>
      </c>
      <c r="B514" s="3" t="str">
        <f>"00021350"</f>
        <v>00021350</v>
      </c>
    </row>
    <row r="515" spans="1:2" x14ac:dyDescent="0.25">
      <c r="A515" s="2">
        <v>510</v>
      </c>
      <c r="B515" s="3" t="str">
        <f>"00021352"</f>
        <v>00021352</v>
      </c>
    </row>
    <row r="516" spans="1:2" x14ac:dyDescent="0.25">
      <c r="A516" s="2">
        <v>511</v>
      </c>
      <c r="B516" s="3" t="str">
        <f>"00021401"</f>
        <v>00021401</v>
      </c>
    </row>
    <row r="517" spans="1:2" x14ac:dyDescent="0.25">
      <c r="A517" s="2">
        <v>512</v>
      </c>
      <c r="B517" s="3" t="str">
        <f>"00021467"</f>
        <v>00021467</v>
      </c>
    </row>
    <row r="518" spans="1:2" x14ac:dyDescent="0.25">
      <c r="A518" s="2">
        <v>513</v>
      </c>
      <c r="B518" s="3" t="str">
        <f>"00021472"</f>
        <v>00021472</v>
      </c>
    </row>
    <row r="519" spans="1:2" x14ac:dyDescent="0.25">
      <c r="A519" s="2">
        <v>514</v>
      </c>
      <c r="B519" s="3" t="str">
        <f>"00021488"</f>
        <v>00021488</v>
      </c>
    </row>
    <row r="520" spans="1:2" x14ac:dyDescent="0.25">
      <c r="A520" s="2">
        <v>515</v>
      </c>
      <c r="B520" s="3" t="str">
        <f>"00021596"</f>
        <v>00021596</v>
      </c>
    </row>
    <row r="521" spans="1:2" x14ac:dyDescent="0.25">
      <c r="A521" s="2">
        <v>516</v>
      </c>
      <c r="B521" s="3" t="str">
        <f>"00021610"</f>
        <v>00021610</v>
      </c>
    </row>
    <row r="522" spans="1:2" x14ac:dyDescent="0.25">
      <c r="A522" s="2">
        <v>517</v>
      </c>
      <c r="B522" s="3" t="str">
        <f>"00021634"</f>
        <v>00021634</v>
      </c>
    </row>
    <row r="523" spans="1:2" x14ac:dyDescent="0.25">
      <c r="A523" s="2">
        <v>518</v>
      </c>
      <c r="B523" s="3" t="str">
        <f>"00021673"</f>
        <v>00021673</v>
      </c>
    </row>
    <row r="524" spans="1:2" x14ac:dyDescent="0.25">
      <c r="A524" s="2">
        <v>519</v>
      </c>
      <c r="B524" s="3" t="str">
        <f>"00021683"</f>
        <v>00021683</v>
      </c>
    </row>
    <row r="525" spans="1:2" x14ac:dyDescent="0.25">
      <c r="A525" s="2">
        <v>520</v>
      </c>
      <c r="B525" s="3" t="str">
        <f>"00021688"</f>
        <v>00021688</v>
      </c>
    </row>
    <row r="526" spans="1:2" x14ac:dyDescent="0.25">
      <c r="A526" s="2">
        <v>521</v>
      </c>
      <c r="B526" s="3" t="str">
        <f>"00021719"</f>
        <v>00021719</v>
      </c>
    </row>
    <row r="527" spans="1:2" x14ac:dyDescent="0.25">
      <c r="A527" s="2">
        <v>522</v>
      </c>
      <c r="B527" s="3" t="str">
        <f>"00021794"</f>
        <v>00021794</v>
      </c>
    </row>
    <row r="528" spans="1:2" x14ac:dyDescent="0.25">
      <c r="A528" s="2">
        <v>523</v>
      </c>
      <c r="B528" s="3" t="str">
        <f>"00021796"</f>
        <v>00021796</v>
      </c>
    </row>
    <row r="529" spans="1:2" x14ac:dyDescent="0.25">
      <c r="A529" s="2">
        <v>524</v>
      </c>
      <c r="B529" s="3" t="str">
        <f>"00021802"</f>
        <v>00021802</v>
      </c>
    </row>
    <row r="530" spans="1:2" x14ac:dyDescent="0.25">
      <c r="A530" s="2">
        <v>525</v>
      </c>
      <c r="B530" s="3" t="str">
        <f>"00021806"</f>
        <v>00021806</v>
      </c>
    </row>
    <row r="531" spans="1:2" x14ac:dyDescent="0.25">
      <c r="A531" s="2">
        <v>526</v>
      </c>
      <c r="B531" s="3" t="str">
        <f>"00021807"</f>
        <v>00021807</v>
      </c>
    </row>
    <row r="532" spans="1:2" x14ac:dyDescent="0.25">
      <c r="A532" s="2">
        <v>527</v>
      </c>
      <c r="B532" s="3" t="str">
        <f>"00021831"</f>
        <v>00021831</v>
      </c>
    </row>
    <row r="533" spans="1:2" x14ac:dyDescent="0.25">
      <c r="A533" s="2">
        <v>528</v>
      </c>
      <c r="B533" s="3" t="str">
        <f>"00021838"</f>
        <v>00021838</v>
      </c>
    </row>
    <row r="534" spans="1:2" x14ac:dyDescent="0.25">
      <c r="A534" s="2">
        <v>529</v>
      </c>
      <c r="B534" s="3" t="str">
        <f>"00021897"</f>
        <v>00021897</v>
      </c>
    </row>
    <row r="535" spans="1:2" x14ac:dyDescent="0.25">
      <c r="A535" s="2">
        <v>530</v>
      </c>
      <c r="B535" s="3" t="str">
        <f>"00021953"</f>
        <v>00021953</v>
      </c>
    </row>
    <row r="536" spans="1:2" x14ac:dyDescent="0.25">
      <c r="A536" s="2">
        <v>531</v>
      </c>
      <c r="B536" s="3" t="str">
        <f>"00021971"</f>
        <v>00021971</v>
      </c>
    </row>
    <row r="537" spans="1:2" x14ac:dyDescent="0.25">
      <c r="A537" s="2">
        <v>532</v>
      </c>
      <c r="B537" s="3" t="str">
        <f>"00022026"</f>
        <v>00022026</v>
      </c>
    </row>
    <row r="538" spans="1:2" x14ac:dyDescent="0.25">
      <c r="A538" s="2">
        <v>533</v>
      </c>
      <c r="B538" s="3" t="str">
        <f>"00022045"</f>
        <v>00022045</v>
      </c>
    </row>
    <row r="539" spans="1:2" x14ac:dyDescent="0.25">
      <c r="A539" s="2">
        <v>534</v>
      </c>
      <c r="B539" s="3" t="str">
        <f>"00022060"</f>
        <v>00022060</v>
      </c>
    </row>
    <row r="540" spans="1:2" x14ac:dyDescent="0.25">
      <c r="A540" s="2">
        <v>535</v>
      </c>
      <c r="B540" s="3" t="str">
        <f>"00022066"</f>
        <v>00022066</v>
      </c>
    </row>
    <row r="541" spans="1:2" x14ac:dyDescent="0.25">
      <c r="A541" s="2">
        <v>536</v>
      </c>
      <c r="B541" s="3" t="str">
        <f>"00022077"</f>
        <v>00022077</v>
      </c>
    </row>
    <row r="542" spans="1:2" x14ac:dyDescent="0.25">
      <c r="A542" s="2">
        <v>537</v>
      </c>
      <c r="B542" s="3" t="str">
        <f>"00022085"</f>
        <v>00022085</v>
      </c>
    </row>
    <row r="543" spans="1:2" x14ac:dyDescent="0.25">
      <c r="A543" s="2">
        <v>538</v>
      </c>
      <c r="B543" s="3" t="str">
        <f>"00022099"</f>
        <v>00022099</v>
      </c>
    </row>
    <row r="544" spans="1:2" x14ac:dyDescent="0.25">
      <c r="A544" s="2">
        <v>539</v>
      </c>
      <c r="B544" s="3" t="str">
        <f>"00022117"</f>
        <v>00022117</v>
      </c>
    </row>
    <row r="545" spans="1:2" x14ac:dyDescent="0.25">
      <c r="A545" s="2">
        <v>540</v>
      </c>
      <c r="B545" s="3" t="str">
        <f>"00022132"</f>
        <v>00022132</v>
      </c>
    </row>
    <row r="546" spans="1:2" x14ac:dyDescent="0.25">
      <c r="A546" s="2">
        <v>541</v>
      </c>
      <c r="B546" s="3" t="str">
        <f>"00022147"</f>
        <v>00022147</v>
      </c>
    </row>
    <row r="547" spans="1:2" x14ac:dyDescent="0.25">
      <c r="A547" s="2">
        <v>542</v>
      </c>
      <c r="B547" s="3" t="str">
        <f>"00022149"</f>
        <v>00022149</v>
      </c>
    </row>
    <row r="548" spans="1:2" x14ac:dyDescent="0.25">
      <c r="A548" s="2">
        <v>543</v>
      </c>
      <c r="B548" s="3" t="str">
        <f>"00022161"</f>
        <v>00022161</v>
      </c>
    </row>
    <row r="549" spans="1:2" x14ac:dyDescent="0.25">
      <c r="A549" s="2">
        <v>544</v>
      </c>
      <c r="B549" s="3" t="str">
        <f>"00022190"</f>
        <v>00022190</v>
      </c>
    </row>
    <row r="550" spans="1:2" x14ac:dyDescent="0.25">
      <c r="A550" s="2">
        <v>545</v>
      </c>
      <c r="B550" s="3" t="str">
        <f>"00022210"</f>
        <v>00022210</v>
      </c>
    </row>
    <row r="551" spans="1:2" x14ac:dyDescent="0.25">
      <c r="A551" s="2">
        <v>546</v>
      </c>
      <c r="B551" s="3" t="str">
        <f>"00022320"</f>
        <v>00022320</v>
      </c>
    </row>
    <row r="552" spans="1:2" x14ac:dyDescent="0.25">
      <c r="A552" s="2">
        <v>547</v>
      </c>
      <c r="B552" s="3" t="str">
        <f>"00022343"</f>
        <v>00022343</v>
      </c>
    </row>
    <row r="553" spans="1:2" x14ac:dyDescent="0.25">
      <c r="A553" s="2">
        <v>548</v>
      </c>
      <c r="B553" s="3" t="str">
        <f>"00022374"</f>
        <v>00022374</v>
      </c>
    </row>
    <row r="554" spans="1:2" x14ac:dyDescent="0.25">
      <c r="A554" s="2">
        <v>549</v>
      </c>
      <c r="B554" s="3" t="str">
        <f>"00022449"</f>
        <v>00022449</v>
      </c>
    </row>
    <row r="555" spans="1:2" x14ac:dyDescent="0.25">
      <c r="A555" s="2">
        <v>550</v>
      </c>
      <c r="B555" s="3" t="str">
        <f>"00022455"</f>
        <v>00022455</v>
      </c>
    </row>
    <row r="556" spans="1:2" x14ac:dyDescent="0.25">
      <c r="A556" s="2">
        <v>551</v>
      </c>
      <c r="B556" s="3" t="str">
        <f>"00022463"</f>
        <v>00022463</v>
      </c>
    </row>
    <row r="557" spans="1:2" x14ac:dyDescent="0.25">
      <c r="A557" s="2">
        <v>552</v>
      </c>
      <c r="B557" s="3" t="str">
        <f>"00022481"</f>
        <v>00022481</v>
      </c>
    </row>
    <row r="558" spans="1:2" x14ac:dyDescent="0.25">
      <c r="A558" s="2">
        <v>553</v>
      </c>
      <c r="B558" s="3" t="str">
        <f>"00022521"</f>
        <v>00022521</v>
      </c>
    </row>
    <row r="559" spans="1:2" x14ac:dyDescent="0.25">
      <c r="A559" s="2">
        <v>554</v>
      </c>
      <c r="B559" s="3" t="str">
        <f>"00022524"</f>
        <v>00022524</v>
      </c>
    </row>
    <row r="560" spans="1:2" x14ac:dyDescent="0.25">
      <c r="A560" s="2">
        <v>555</v>
      </c>
      <c r="B560" s="3" t="str">
        <f>"00022530"</f>
        <v>00022530</v>
      </c>
    </row>
    <row r="561" spans="1:2" x14ac:dyDescent="0.25">
      <c r="A561" s="2">
        <v>556</v>
      </c>
      <c r="B561" s="3" t="str">
        <f>"00022633"</f>
        <v>00022633</v>
      </c>
    </row>
    <row r="562" spans="1:2" x14ac:dyDescent="0.25">
      <c r="A562" s="2">
        <v>557</v>
      </c>
      <c r="B562" s="3" t="str">
        <f>"00022648"</f>
        <v>00022648</v>
      </c>
    </row>
    <row r="563" spans="1:2" x14ac:dyDescent="0.25">
      <c r="A563" s="2">
        <v>558</v>
      </c>
      <c r="B563" s="3" t="str">
        <f>"00022655"</f>
        <v>00022655</v>
      </c>
    </row>
    <row r="564" spans="1:2" x14ac:dyDescent="0.25">
      <c r="A564" s="2">
        <v>559</v>
      </c>
      <c r="B564" s="3" t="str">
        <f>"00022679"</f>
        <v>00022679</v>
      </c>
    </row>
    <row r="565" spans="1:2" x14ac:dyDescent="0.25">
      <c r="A565" s="2">
        <v>560</v>
      </c>
      <c r="B565" s="3" t="str">
        <f>"00022719"</f>
        <v>00022719</v>
      </c>
    </row>
    <row r="566" spans="1:2" x14ac:dyDescent="0.25">
      <c r="A566" s="2">
        <v>561</v>
      </c>
      <c r="B566" s="3" t="str">
        <f>"00022722"</f>
        <v>00022722</v>
      </c>
    </row>
    <row r="567" spans="1:2" x14ac:dyDescent="0.25">
      <c r="A567" s="2">
        <v>562</v>
      </c>
      <c r="B567" s="3" t="str">
        <f>"00022747"</f>
        <v>00022747</v>
      </c>
    </row>
    <row r="568" spans="1:2" x14ac:dyDescent="0.25">
      <c r="A568" s="2">
        <v>563</v>
      </c>
      <c r="B568" s="3" t="str">
        <f>"00022764"</f>
        <v>00022764</v>
      </c>
    </row>
    <row r="569" spans="1:2" x14ac:dyDescent="0.25">
      <c r="A569" s="2">
        <v>564</v>
      </c>
      <c r="B569" s="3" t="str">
        <f>"00022786"</f>
        <v>00022786</v>
      </c>
    </row>
    <row r="570" spans="1:2" x14ac:dyDescent="0.25">
      <c r="A570" s="2">
        <v>565</v>
      </c>
      <c r="B570" s="3" t="str">
        <f>"00022794"</f>
        <v>00022794</v>
      </c>
    </row>
    <row r="571" spans="1:2" x14ac:dyDescent="0.25">
      <c r="A571" s="2">
        <v>566</v>
      </c>
      <c r="B571" s="3" t="str">
        <f>"00022799"</f>
        <v>00022799</v>
      </c>
    </row>
    <row r="572" spans="1:2" x14ac:dyDescent="0.25">
      <c r="A572" s="2">
        <v>567</v>
      </c>
      <c r="B572" s="3" t="str">
        <f>"00022814"</f>
        <v>00022814</v>
      </c>
    </row>
    <row r="573" spans="1:2" x14ac:dyDescent="0.25">
      <c r="A573" s="2">
        <v>568</v>
      </c>
      <c r="B573" s="3" t="str">
        <f>"00022832"</f>
        <v>00022832</v>
      </c>
    </row>
    <row r="574" spans="1:2" x14ac:dyDescent="0.25">
      <c r="A574" s="2">
        <v>569</v>
      </c>
      <c r="B574" s="3" t="str">
        <f>"00022836"</f>
        <v>00022836</v>
      </c>
    </row>
    <row r="575" spans="1:2" x14ac:dyDescent="0.25">
      <c r="A575" s="2">
        <v>570</v>
      </c>
      <c r="B575" s="3" t="str">
        <f>"00022837"</f>
        <v>00022837</v>
      </c>
    </row>
    <row r="576" spans="1:2" x14ac:dyDescent="0.25">
      <c r="A576" s="2">
        <v>571</v>
      </c>
      <c r="B576" s="3" t="str">
        <f>"00022845"</f>
        <v>00022845</v>
      </c>
    </row>
    <row r="577" spans="1:2" x14ac:dyDescent="0.25">
      <c r="A577" s="2">
        <v>572</v>
      </c>
      <c r="B577" s="3" t="str">
        <f>"00022847"</f>
        <v>00022847</v>
      </c>
    </row>
    <row r="578" spans="1:2" x14ac:dyDescent="0.25">
      <c r="A578" s="2">
        <v>573</v>
      </c>
      <c r="B578" s="3" t="str">
        <f>"00022923"</f>
        <v>00022923</v>
      </c>
    </row>
    <row r="579" spans="1:2" x14ac:dyDescent="0.25">
      <c r="A579" s="2">
        <v>574</v>
      </c>
      <c r="B579" s="3" t="str">
        <f>"00022994"</f>
        <v>00022994</v>
      </c>
    </row>
    <row r="580" spans="1:2" x14ac:dyDescent="0.25">
      <c r="A580" s="2">
        <v>575</v>
      </c>
      <c r="B580" s="3" t="str">
        <f>"00023034"</f>
        <v>00023034</v>
      </c>
    </row>
    <row r="581" spans="1:2" x14ac:dyDescent="0.25">
      <c r="A581" s="2">
        <v>576</v>
      </c>
      <c r="B581" s="3" t="str">
        <f>"00023056"</f>
        <v>00023056</v>
      </c>
    </row>
    <row r="582" spans="1:2" x14ac:dyDescent="0.25">
      <c r="A582" s="2">
        <v>577</v>
      </c>
      <c r="B582" s="3" t="str">
        <f>"00023092"</f>
        <v>00023092</v>
      </c>
    </row>
    <row r="583" spans="1:2" x14ac:dyDescent="0.25">
      <c r="A583" s="2">
        <v>578</v>
      </c>
      <c r="B583" s="3" t="str">
        <f>"00023110"</f>
        <v>00023110</v>
      </c>
    </row>
    <row r="584" spans="1:2" x14ac:dyDescent="0.25">
      <c r="A584" s="2">
        <v>579</v>
      </c>
      <c r="B584" s="3" t="str">
        <f>"00023165"</f>
        <v>00023165</v>
      </c>
    </row>
    <row r="585" spans="1:2" x14ac:dyDescent="0.25">
      <c r="A585" s="2">
        <v>580</v>
      </c>
      <c r="B585" s="3" t="str">
        <f>"00023167"</f>
        <v>00023167</v>
      </c>
    </row>
    <row r="586" spans="1:2" x14ac:dyDescent="0.25">
      <c r="A586" s="2">
        <v>581</v>
      </c>
      <c r="B586" s="3" t="str">
        <f>"00023184"</f>
        <v>00023184</v>
      </c>
    </row>
    <row r="587" spans="1:2" x14ac:dyDescent="0.25">
      <c r="A587" s="2">
        <v>582</v>
      </c>
      <c r="B587" s="3" t="str">
        <f>"00023186"</f>
        <v>00023186</v>
      </c>
    </row>
    <row r="588" spans="1:2" x14ac:dyDescent="0.25">
      <c r="A588" s="2">
        <v>583</v>
      </c>
      <c r="B588" s="3" t="str">
        <f>"00023265"</f>
        <v>00023265</v>
      </c>
    </row>
    <row r="589" spans="1:2" x14ac:dyDescent="0.25">
      <c r="A589" s="2">
        <v>584</v>
      </c>
      <c r="B589" s="3" t="str">
        <f>"00023322"</f>
        <v>00023322</v>
      </c>
    </row>
    <row r="590" spans="1:2" x14ac:dyDescent="0.25">
      <c r="A590" s="2">
        <v>585</v>
      </c>
      <c r="B590" s="3" t="str">
        <f>"00023404"</f>
        <v>00023404</v>
      </c>
    </row>
    <row r="591" spans="1:2" x14ac:dyDescent="0.25">
      <c r="A591" s="2">
        <v>586</v>
      </c>
      <c r="B591" s="3" t="str">
        <f>"00023426"</f>
        <v>00023426</v>
      </c>
    </row>
    <row r="592" spans="1:2" x14ac:dyDescent="0.25">
      <c r="A592" s="2">
        <v>587</v>
      </c>
      <c r="B592" s="3" t="str">
        <f>"00023470"</f>
        <v>00023470</v>
      </c>
    </row>
    <row r="593" spans="1:2" x14ac:dyDescent="0.25">
      <c r="A593" s="2">
        <v>588</v>
      </c>
      <c r="B593" s="3" t="str">
        <f>"00023549"</f>
        <v>00023549</v>
      </c>
    </row>
    <row r="594" spans="1:2" x14ac:dyDescent="0.25">
      <c r="A594" s="2">
        <v>589</v>
      </c>
      <c r="B594" s="3" t="str">
        <f>"00023551"</f>
        <v>00023551</v>
      </c>
    </row>
    <row r="595" spans="1:2" x14ac:dyDescent="0.25">
      <c r="A595" s="2">
        <v>590</v>
      </c>
      <c r="B595" s="3" t="str">
        <f>"00023599"</f>
        <v>00023599</v>
      </c>
    </row>
    <row r="596" spans="1:2" x14ac:dyDescent="0.25">
      <c r="A596" s="2">
        <v>591</v>
      </c>
      <c r="B596" s="3" t="str">
        <f>"00023601"</f>
        <v>00023601</v>
      </c>
    </row>
    <row r="597" spans="1:2" x14ac:dyDescent="0.25">
      <c r="A597" s="2">
        <v>592</v>
      </c>
      <c r="B597" s="3" t="str">
        <f>"00023616"</f>
        <v>00023616</v>
      </c>
    </row>
    <row r="598" spans="1:2" x14ac:dyDescent="0.25">
      <c r="A598" s="2">
        <v>593</v>
      </c>
      <c r="B598" s="3" t="str">
        <f>"00023646"</f>
        <v>00023646</v>
      </c>
    </row>
    <row r="599" spans="1:2" x14ac:dyDescent="0.25">
      <c r="A599" s="2">
        <v>594</v>
      </c>
      <c r="B599" s="3" t="str">
        <f>"00023690"</f>
        <v>00023690</v>
      </c>
    </row>
    <row r="600" spans="1:2" x14ac:dyDescent="0.25">
      <c r="A600" s="2">
        <v>595</v>
      </c>
      <c r="B600" s="3" t="str">
        <f>"00023694"</f>
        <v>00023694</v>
      </c>
    </row>
    <row r="601" spans="1:2" x14ac:dyDescent="0.25">
      <c r="A601" s="2">
        <v>596</v>
      </c>
      <c r="B601" s="3" t="str">
        <f>"00023740"</f>
        <v>00023740</v>
      </c>
    </row>
    <row r="602" spans="1:2" x14ac:dyDescent="0.25">
      <c r="A602" s="2">
        <v>597</v>
      </c>
      <c r="B602" s="3" t="str">
        <f>"00023745"</f>
        <v>00023745</v>
      </c>
    </row>
    <row r="603" spans="1:2" x14ac:dyDescent="0.25">
      <c r="A603" s="2">
        <v>598</v>
      </c>
      <c r="B603" s="3" t="str">
        <f>"00023748"</f>
        <v>00023748</v>
      </c>
    </row>
    <row r="604" spans="1:2" x14ac:dyDescent="0.25">
      <c r="A604" s="2">
        <v>599</v>
      </c>
      <c r="B604" s="3" t="str">
        <f>"00023757"</f>
        <v>00023757</v>
      </c>
    </row>
    <row r="605" spans="1:2" x14ac:dyDescent="0.25">
      <c r="A605" s="2">
        <v>600</v>
      </c>
      <c r="B605" s="3" t="str">
        <f>"00023769"</f>
        <v>00023769</v>
      </c>
    </row>
    <row r="606" spans="1:2" x14ac:dyDescent="0.25">
      <c r="A606" s="2">
        <v>601</v>
      </c>
      <c r="B606" s="3" t="str">
        <f>"00023771"</f>
        <v>00023771</v>
      </c>
    </row>
    <row r="607" spans="1:2" x14ac:dyDescent="0.25">
      <c r="A607" s="2">
        <v>602</v>
      </c>
      <c r="B607" s="3" t="str">
        <f>"00023787"</f>
        <v>00023787</v>
      </c>
    </row>
    <row r="608" spans="1:2" x14ac:dyDescent="0.25">
      <c r="A608" s="2">
        <v>603</v>
      </c>
      <c r="B608" s="3" t="str">
        <f>"00023791"</f>
        <v>00023791</v>
      </c>
    </row>
    <row r="609" spans="1:2" x14ac:dyDescent="0.25">
      <c r="A609" s="2">
        <v>604</v>
      </c>
      <c r="B609" s="3" t="str">
        <f>"00023818"</f>
        <v>00023818</v>
      </c>
    </row>
    <row r="610" spans="1:2" x14ac:dyDescent="0.25">
      <c r="A610" s="2">
        <v>605</v>
      </c>
      <c r="B610" s="3" t="str">
        <f>"00023824"</f>
        <v>00023824</v>
      </c>
    </row>
    <row r="611" spans="1:2" x14ac:dyDescent="0.25">
      <c r="A611" s="2">
        <v>606</v>
      </c>
      <c r="B611" s="3" t="str">
        <f>"00023895"</f>
        <v>00023895</v>
      </c>
    </row>
    <row r="612" spans="1:2" x14ac:dyDescent="0.25">
      <c r="A612" s="2">
        <v>607</v>
      </c>
      <c r="B612" s="3" t="str">
        <f>"00023924"</f>
        <v>00023924</v>
      </c>
    </row>
    <row r="613" spans="1:2" x14ac:dyDescent="0.25">
      <c r="A613" s="2">
        <v>608</v>
      </c>
      <c r="B613" s="3" t="str">
        <f>"00023973"</f>
        <v>00023973</v>
      </c>
    </row>
    <row r="614" spans="1:2" x14ac:dyDescent="0.25">
      <c r="A614" s="2">
        <v>609</v>
      </c>
      <c r="B614" s="3" t="str">
        <f>"00023996"</f>
        <v>00023996</v>
      </c>
    </row>
    <row r="615" spans="1:2" x14ac:dyDescent="0.25">
      <c r="A615" s="2">
        <v>610</v>
      </c>
      <c r="B615" s="3" t="str">
        <f>"00024055"</f>
        <v>00024055</v>
      </c>
    </row>
    <row r="616" spans="1:2" x14ac:dyDescent="0.25">
      <c r="A616" s="2">
        <v>611</v>
      </c>
      <c r="B616" s="3" t="str">
        <f>"00024080"</f>
        <v>00024080</v>
      </c>
    </row>
    <row r="617" spans="1:2" x14ac:dyDescent="0.25">
      <c r="A617" s="2">
        <v>612</v>
      </c>
      <c r="B617" s="3" t="str">
        <f>"00024093"</f>
        <v>00024093</v>
      </c>
    </row>
    <row r="618" spans="1:2" x14ac:dyDescent="0.25">
      <c r="A618" s="2">
        <v>613</v>
      </c>
      <c r="B618" s="3" t="str">
        <f>"00024122"</f>
        <v>00024122</v>
      </c>
    </row>
    <row r="619" spans="1:2" x14ac:dyDescent="0.25">
      <c r="A619" s="2">
        <v>614</v>
      </c>
      <c r="B619" s="3" t="str">
        <f>"00024130"</f>
        <v>00024130</v>
      </c>
    </row>
    <row r="620" spans="1:2" x14ac:dyDescent="0.25">
      <c r="A620" s="2">
        <v>615</v>
      </c>
      <c r="B620" s="3" t="str">
        <f>"00024166"</f>
        <v>00024166</v>
      </c>
    </row>
    <row r="621" spans="1:2" x14ac:dyDescent="0.25">
      <c r="A621" s="2">
        <v>616</v>
      </c>
      <c r="B621" s="3" t="str">
        <f>"00024183"</f>
        <v>00024183</v>
      </c>
    </row>
    <row r="622" spans="1:2" x14ac:dyDescent="0.25">
      <c r="A622" s="2">
        <v>617</v>
      </c>
      <c r="B622" s="3" t="str">
        <f>"00024201"</f>
        <v>00024201</v>
      </c>
    </row>
    <row r="623" spans="1:2" x14ac:dyDescent="0.25">
      <c r="A623" s="2">
        <v>618</v>
      </c>
      <c r="B623" s="3" t="str">
        <f>"00024205"</f>
        <v>00024205</v>
      </c>
    </row>
    <row r="624" spans="1:2" x14ac:dyDescent="0.25">
      <c r="A624" s="2">
        <v>619</v>
      </c>
      <c r="B624" s="3" t="str">
        <f>"00024307"</f>
        <v>00024307</v>
      </c>
    </row>
    <row r="625" spans="1:2" x14ac:dyDescent="0.25">
      <c r="A625" s="2">
        <v>620</v>
      </c>
      <c r="B625" s="3" t="str">
        <f>"00024319"</f>
        <v>00024319</v>
      </c>
    </row>
    <row r="626" spans="1:2" x14ac:dyDescent="0.25">
      <c r="A626" s="2">
        <v>621</v>
      </c>
      <c r="B626" s="3" t="str">
        <f>"00024323"</f>
        <v>00024323</v>
      </c>
    </row>
    <row r="627" spans="1:2" x14ac:dyDescent="0.25">
      <c r="A627" s="2">
        <v>622</v>
      </c>
      <c r="B627" s="3" t="str">
        <f>"00024340"</f>
        <v>00024340</v>
      </c>
    </row>
    <row r="628" spans="1:2" x14ac:dyDescent="0.25">
      <c r="A628" s="2">
        <v>623</v>
      </c>
      <c r="B628" s="3" t="str">
        <f>"00024349"</f>
        <v>00024349</v>
      </c>
    </row>
    <row r="629" spans="1:2" x14ac:dyDescent="0.25">
      <c r="A629" s="2">
        <v>624</v>
      </c>
      <c r="B629" s="3" t="str">
        <f>"00024434"</f>
        <v>00024434</v>
      </c>
    </row>
    <row r="630" spans="1:2" x14ac:dyDescent="0.25">
      <c r="A630" s="2">
        <v>625</v>
      </c>
      <c r="B630" s="3" t="str">
        <f>"00024457"</f>
        <v>00024457</v>
      </c>
    </row>
    <row r="631" spans="1:2" x14ac:dyDescent="0.25">
      <c r="A631" s="2">
        <v>626</v>
      </c>
      <c r="B631" s="3" t="str">
        <f>"00024470"</f>
        <v>00024470</v>
      </c>
    </row>
    <row r="632" spans="1:2" x14ac:dyDescent="0.25">
      <c r="A632" s="2">
        <v>627</v>
      </c>
      <c r="B632" s="3" t="str">
        <f>"00024514"</f>
        <v>00024514</v>
      </c>
    </row>
    <row r="633" spans="1:2" x14ac:dyDescent="0.25">
      <c r="A633" s="2">
        <v>628</v>
      </c>
      <c r="B633" s="3" t="str">
        <f>"00024670"</f>
        <v>00024670</v>
      </c>
    </row>
    <row r="634" spans="1:2" x14ac:dyDescent="0.25">
      <c r="A634" s="2">
        <v>629</v>
      </c>
      <c r="B634" s="3" t="str">
        <f>"00024678"</f>
        <v>00024678</v>
      </c>
    </row>
    <row r="635" spans="1:2" x14ac:dyDescent="0.25">
      <c r="A635" s="2">
        <v>630</v>
      </c>
      <c r="B635" s="3" t="str">
        <f>"00024714"</f>
        <v>00024714</v>
      </c>
    </row>
    <row r="636" spans="1:2" x14ac:dyDescent="0.25">
      <c r="A636" s="2">
        <v>631</v>
      </c>
      <c r="B636" s="3" t="str">
        <f>"00024727"</f>
        <v>00024727</v>
      </c>
    </row>
    <row r="637" spans="1:2" x14ac:dyDescent="0.25">
      <c r="A637" s="2">
        <v>632</v>
      </c>
      <c r="B637" s="3" t="str">
        <f>"00024731"</f>
        <v>00024731</v>
      </c>
    </row>
    <row r="638" spans="1:2" x14ac:dyDescent="0.25">
      <c r="A638" s="2">
        <v>633</v>
      </c>
      <c r="B638" s="3" t="str">
        <f>"00024751"</f>
        <v>00024751</v>
      </c>
    </row>
    <row r="639" spans="1:2" x14ac:dyDescent="0.25">
      <c r="A639" s="2">
        <v>634</v>
      </c>
      <c r="B639" s="3" t="str">
        <f>"00024757"</f>
        <v>00024757</v>
      </c>
    </row>
    <row r="640" spans="1:2" x14ac:dyDescent="0.25">
      <c r="A640" s="2">
        <v>635</v>
      </c>
      <c r="B640" s="3" t="str">
        <f>"00024839"</f>
        <v>00024839</v>
      </c>
    </row>
    <row r="641" spans="1:2" x14ac:dyDescent="0.25">
      <c r="A641" s="2">
        <v>636</v>
      </c>
      <c r="B641" s="3" t="str">
        <f>"00024877"</f>
        <v>00024877</v>
      </c>
    </row>
    <row r="642" spans="1:2" x14ac:dyDescent="0.25">
      <c r="A642" s="2">
        <v>637</v>
      </c>
      <c r="B642" s="3" t="str">
        <f>"00024878"</f>
        <v>00024878</v>
      </c>
    </row>
    <row r="643" spans="1:2" x14ac:dyDescent="0.25">
      <c r="A643" s="2">
        <v>638</v>
      </c>
      <c r="B643" s="3" t="str">
        <f>"00024890"</f>
        <v>00024890</v>
      </c>
    </row>
    <row r="644" spans="1:2" x14ac:dyDescent="0.25">
      <c r="A644" s="2">
        <v>639</v>
      </c>
      <c r="B644" s="3" t="str">
        <f>"00024910"</f>
        <v>00024910</v>
      </c>
    </row>
    <row r="645" spans="1:2" x14ac:dyDescent="0.25">
      <c r="A645" s="2">
        <v>640</v>
      </c>
      <c r="B645" s="3" t="str">
        <f>"00024949"</f>
        <v>00024949</v>
      </c>
    </row>
    <row r="646" spans="1:2" x14ac:dyDescent="0.25">
      <c r="A646" s="2">
        <v>641</v>
      </c>
      <c r="B646" s="3" t="str">
        <f>"00024974"</f>
        <v>00024974</v>
      </c>
    </row>
    <row r="647" spans="1:2" x14ac:dyDescent="0.25">
      <c r="A647" s="2">
        <v>642</v>
      </c>
      <c r="B647" s="3" t="str">
        <f>"00024990"</f>
        <v>00024990</v>
      </c>
    </row>
    <row r="648" spans="1:2" x14ac:dyDescent="0.25">
      <c r="A648" s="2">
        <v>643</v>
      </c>
      <c r="B648" s="3" t="str">
        <f>"00024994"</f>
        <v>00024994</v>
      </c>
    </row>
    <row r="649" spans="1:2" x14ac:dyDescent="0.25">
      <c r="A649" s="2">
        <v>644</v>
      </c>
      <c r="B649" s="3" t="str">
        <f>"00025013"</f>
        <v>00025013</v>
      </c>
    </row>
    <row r="650" spans="1:2" x14ac:dyDescent="0.25">
      <c r="A650" s="2">
        <v>645</v>
      </c>
      <c r="B650" s="3" t="str">
        <f>"00025045"</f>
        <v>00025045</v>
      </c>
    </row>
    <row r="651" spans="1:2" x14ac:dyDescent="0.25">
      <c r="A651" s="2">
        <v>646</v>
      </c>
      <c r="B651" s="3" t="str">
        <f>"00025122"</f>
        <v>00025122</v>
      </c>
    </row>
    <row r="652" spans="1:2" x14ac:dyDescent="0.25">
      <c r="A652" s="2">
        <v>647</v>
      </c>
      <c r="B652" s="3" t="str">
        <f>"00025126"</f>
        <v>00025126</v>
      </c>
    </row>
    <row r="653" spans="1:2" x14ac:dyDescent="0.25">
      <c r="A653" s="2">
        <v>648</v>
      </c>
      <c r="B653" s="3" t="str">
        <f>"00025140"</f>
        <v>00025140</v>
      </c>
    </row>
    <row r="654" spans="1:2" x14ac:dyDescent="0.25">
      <c r="A654" s="2">
        <v>649</v>
      </c>
      <c r="B654" s="3" t="str">
        <f>"00025144"</f>
        <v>00025144</v>
      </c>
    </row>
    <row r="655" spans="1:2" x14ac:dyDescent="0.25">
      <c r="A655" s="2">
        <v>650</v>
      </c>
      <c r="B655" s="3" t="str">
        <f>"00025181"</f>
        <v>00025181</v>
      </c>
    </row>
    <row r="656" spans="1:2" x14ac:dyDescent="0.25">
      <c r="A656" s="2">
        <v>651</v>
      </c>
      <c r="B656" s="3" t="str">
        <f>"00025183"</f>
        <v>00025183</v>
      </c>
    </row>
    <row r="657" spans="1:2" x14ac:dyDescent="0.25">
      <c r="A657" s="2">
        <v>652</v>
      </c>
      <c r="B657" s="3" t="str">
        <f>"00025197"</f>
        <v>00025197</v>
      </c>
    </row>
    <row r="658" spans="1:2" x14ac:dyDescent="0.25">
      <c r="A658" s="2">
        <v>653</v>
      </c>
      <c r="B658" s="3" t="str">
        <f>"00025220"</f>
        <v>00025220</v>
      </c>
    </row>
    <row r="659" spans="1:2" x14ac:dyDescent="0.25">
      <c r="A659" s="2">
        <v>654</v>
      </c>
      <c r="B659" s="3" t="str">
        <f>"00025228"</f>
        <v>00025228</v>
      </c>
    </row>
    <row r="660" spans="1:2" x14ac:dyDescent="0.25">
      <c r="A660" s="2">
        <v>655</v>
      </c>
      <c r="B660" s="3" t="str">
        <f>"00025325"</f>
        <v>00025325</v>
      </c>
    </row>
    <row r="661" spans="1:2" x14ac:dyDescent="0.25">
      <c r="A661" s="2">
        <v>656</v>
      </c>
      <c r="B661" s="3" t="str">
        <f>"00025371"</f>
        <v>00025371</v>
      </c>
    </row>
    <row r="662" spans="1:2" x14ac:dyDescent="0.25">
      <c r="A662" s="2">
        <v>657</v>
      </c>
      <c r="B662" s="3" t="str">
        <f>"00025382"</f>
        <v>00025382</v>
      </c>
    </row>
    <row r="663" spans="1:2" x14ac:dyDescent="0.25">
      <c r="A663" s="2">
        <v>658</v>
      </c>
      <c r="B663" s="3" t="str">
        <f>"00025539"</f>
        <v>00025539</v>
      </c>
    </row>
    <row r="664" spans="1:2" x14ac:dyDescent="0.25">
      <c r="A664" s="2">
        <v>659</v>
      </c>
      <c r="B664" s="3" t="str">
        <f>"00025564"</f>
        <v>00025564</v>
      </c>
    </row>
    <row r="665" spans="1:2" x14ac:dyDescent="0.25">
      <c r="A665" s="2">
        <v>660</v>
      </c>
      <c r="B665" s="3" t="str">
        <f>"00025588"</f>
        <v>00025588</v>
      </c>
    </row>
    <row r="666" spans="1:2" x14ac:dyDescent="0.25">
      <c r="A666" s="2">
        <v>661</v>
      </c>
      <c r="B666" s="3" t="str">
        <f>"00025601"</f>
        <v>00025601</v>
      </c>
    </row>
    <row r="667" spans="1:2" x14ac:dyDescent="0.25">
      <c r="A667" s="2">
        <v>662</v>
      </c>
      <c r="B667" s="3" t="str">
        <f>"00025607"</f>
        <v>00025607</v>
      </c>
    </row>
    <row r="668" spans="1:2" x14ac:dyDescent="0.25">
      <c r="A668" s="2">
        <v>663</v>
      </c>
      <c r="B668" s="3" t="str">
        <f>"00025632"</f>
        <v>00025632</v>
      </c>
    </row>
    <row r="669" spans="1:2" x14ac:dyDescent="0.25">
      <c r="A669" s="2">
        <v>664</v>
      </c>
      <c r="B669" s="3" t="str">
        <f>"00025715"</f>
        <v>00025715</v>
      </c>
    </row>
    <row r="670" spans="1:2" x14ac:dyDescent="0.25">
      <c r="A670" s="2">
        <v>665</v>
      </c>
      <c r="B670" s="3" t="str">
        <f>"00025786"</f>
        <v>00025786</v>
      </c>
    </row>
    <row r="671" spans="1:2" x14ac:dyDescent="0.25">
      <c r="A671" s="2">
        <v>666</v>
      </c>
      <c r="B671" s="3" t="str">
        <f>"00025804"</f>
        <v>00025804</v>
      </c>
    </row>
    <row r="672" spans="1:2" x14ac:dyDescent="0.25">
      <c r="A672" s="2">
        <v>667</v>
      </c>
      <c r="B672" s="3" t="str">
        <f>"00025823"</f>
        <v>00025823</v>
      </c>
    </row>
    <row r="673" spans="1:2" x14ac:dyDescent="0.25">
      <c r="A673" s="2">
        <v>668</v>
      </c>
      <c r="B673" s="3" t="str">
        <f>"00026069"</f>
        <v>00026069</v>
      </c>
    </row>
    <row r="674" spans="1:2" x14ac:dyDescent="0.25">
      <c r="A674" s="2">
        <v>669</v>
      </c>
      <c r="B674" s="3" t="str">
        <f>"00026112"</f>
        <v>00026112</v>
      </c>
    </row>
    <row r="675" spans="1:2" x14ac:dyDescent="0.25">
      <c r="A675" s="2">
        <v>670</v>
      </c>
      <c r="B675" s="3" t="str">
        <f>"00026189"</f>
        <v>00026189</v>
      </c>
    </row>
    <row r="676" spans="1:2" x14ac:dyDescent="0.25">
      <c r="A676" s="2">
        <v>671</v>
      </c>
      <c r="B676" s="3" t="str">
        <f>"00026282"</f>
        <v>00026282</v>
      </c>
    </row>
    <row r="677" spans="1:2" x14ac:dyDescent="0.25">
      <c r="A677" s="2">
        <v>672</v>
      </c>
      <c r="B677" s="3" t="str">
        <f>"00026324"</f>
        <v>00026324</v>
      </c>
    </row>
    <row r="678" spans="1:2" x14ac:dyDescent="0.25">
      <c r="A678" s="2">
        <v>673</v>
      </c>
      <c r="B678" s="3" t="str">
        <f>"00026357"</f>
        <v>00026357</v>
      </c>
    </row>
    <row r="679" spans="1:2" x14ac:dyDescent="0.25">
      <c r="A679" s="2">
        <v>674</v>
      </c>
      <c r="B679" s="3" t="str">
        <f>"00026449"</f>
        <v>00026449</v>
      </c>
    </row>
    <row r="680" spans="1:2" x14ac:dyDescent="0.25">
      <c r="A680" s="2">
        <v>675</v>
      </c>
      <c r="B680" s="3" t="str">
        <f>"00026467"</f>
        <v>00026467</v>
      </c>
    </row>
    <row r="681" spans="1:2" x14ac:dyDescent="0.25">
      <c r="A681" s="2">
        <v>676</v>
      </c>
      <c r="B681" s="3" t="str">
        <f>"00026522"</f>
        <v>00026522</v>
      </c>
    </row>
    <row r="682" spans="1:2" x14ac:dyDescent="0.25">
      <c r="A682" s="2">
        <v>677</v>
      </c>
      <c r="B682" s="3" t="str">
        <f>"00026527"</f>
        <v>00026527</v>
      </c>
    </row>
    <row r="683" spans="1:2" x14ac:dyDescent="0.25">
      <c r="A683" s="2">
        <v>678</v>
      </c>
      <c r="B683" s="3" t="str">
        <f>"00026586"</f>
        <v>00026586</v>
      </c>
    </row>
    <row r="684" spans="1:2" x14ac:dyDescent="0.25">
      <c r="A684" s="2">
        <v>679</v>
      </c>
      <c r="B684" s="3" t="str">
        <f>"00026614"</f>
        <v>00026614</v>
      </c>
    </row>
    <row r="685" spans="1:2" x14ac:dyDescent="0.25">
      <c r="A685" s="2">
        <v>680</v>
      </c>
      <c r="B685" s="3" t="str">
        <f>"00026627"</f>
        <v>00026627</v>
      </c>
    </row>
    <row r="686" spans="1:2" x14ac:dyDescent="0.25">
      <c r="A686" s="2">
        <v>681</v>
      </c>
      <c r="B686" s="3" t="str">
        <f>"00026728"</f>
        <v>00026728</v>
      </c>
    </row>
    <row r="687" spans="1:2" x14ac:dyDescent="0.25">
      <c r="A687" s="2">
        <v>682</v>
      </c>
      <c r="B687" s="3" t="str">
        <f>"00026730"</f>
        <v>00026730</v>
      </c>
    </row>
    <row r="688" spans="1:2" x14ac:dyDescent="0.25">
      <c r="A688" s="2">
        <v>683</v>
      </c>
      <c r="B688" s="3" t="str">
        <f>"00026832"</f>
        <v>00026832</v>
      </c>
    </row>
    <row r="689" spans="1:2" x14ac:dyDescent="0.25">
      <c r="A689" s="2">
        <v>684</v>
      </c>
      <c r="B689" s="3" t="str">
        <f>"00026857"</f>
        <v>00026857</v>
      </c>
    </row>
    <row r="690" spans="1:2" x14ac:dyDescent="0.25">
      <c r="A690" s="2">
        <v>685</v>
      </c>
      <c r="B690" s="3" t="str">
        <f>"00026872"</f>
        <v>00026872</v>
      </c>
    </row>
    <row r="691" spans="1:2" x14ac:dyDescent="0.25">
      <c r="A691" s="2">
        <v>686</v>
      </c>
      <c r="B691" s="3" t="str">
        <f>"00026874"</f>
        <v>00026874</v>
      </c>
    </row>
    <row r="692" spans="1:2" x14ac:dyDescent="0.25">
      <c r="A692" s="2">
        <v>687</v>
      </c>
      <c r="B692" s="3" t="str">
        <f>"00026877"</f>
        <v>00026877</v>
      </c>
    </row>
    <row r="693" spans="1:2" x14ac:dyDescent="0.25">
      <c r="A693" s="2">
        <v>688</v>
      </c>
      <c r="B693" s="3" t="str">
        <f>"00026885"</f>
        <v>00026885</v>
      </c>
    </row>
    <row r="694" spans="1:2" x14ac:dyDescent="0.25">
      <c r="A694" s="2">
        <v>689</v>
      </c>
      <c r="B694" s="3" t="str">
        <f>"00026924"</f>
        <v>00026924</v>
      </c>
    </row>
    <row r="695" spans="1:2" x14ac:dyDescent="0.25">
      <c r="A695" s="2">
        <v>690</v>
      </c>
      <c r="B695" s="3" t="str">
        <f>"00026952"</f>
        <v>00026952</v>
      </c>
    </row>
    <row r="696" spans="1:2" x14ac:dyDescent="0.25">
      <c r="A696" s="2">
        <v>691</v>
      </c>
      <c r="B696" s="3" t="str">
        <f>"00026977"</f>
        <v>00026977</v>
      </c>
    </row>
    <row r="697" spans="1:2" x14ac:dyDescent="0.25">
      <c r="A697" s="2">
        <v>692</v>
      </c>
      <c r="B697" s="3" t="str">
        <f>"00026994"</f>
        <v>00026994</v>
      </c>
    </row>
    <row r="698" spans="1:2" x14ac:dyDescent="0.25">
      <c r="A698" s="2">
        <v>693</v>
      </c>
      <c r="B698" s="3" t="str">
        <f>"00026999"</f>
        <v>00026999</v>
      </c>
    </row>
    <row r="699" spans="1:2" x14ac:dyDescent="0.25">
      <c r="A699" s="2">
        <v>694</v>
      </c>
      <c r="B699" s="3" t="str">
        <f>"00027134"</f>
        <v>00027134</v>
      </c>
    </row>
    <row r="700" spans="1:2" x14ac:dyDescent="0.25">
      <c r="A700" s="2">
        <v>695</v>
      </c>
      <c r="B700" s="3" t="str">
        <f>"00027267"</f>
        <v>00027267</v>
      </c>
    </row>
    <row r="701" spans="1:2" x14ac:dyDescent="0.25">
      <c r="A701" s="2">
        <v>696</v>
      </c>
      <c r="B701" s="3" t="str">
        <f>"00027272"</f>
        <v>00027272</v>
      </c>
    </row>
    <row r="702" spans="1:2" x14ac:dyDescent="0.25">
      <c r="A702" s="2">
        <v>697</v>
      </c>
      <c r="B702" s="3" t="str">
        <f>"00027279"</f>
        <v>00027279</v>
      </c>
    </row>
    <row r="703" spans="1:2" x14ac:dyDescent="0.25">
      <c r="A703" s="2">
        <v>698</v>
      </c>
      <c r="B703" s="3" t="str">
        <f>"00027286"</f>
        <v>00027286</v>
      </c>
    </row>
    <row r="704" spans="1:2" x14ac:dyDescent="0.25">
      <c r="A704" s="2">
        <v>699</v>
      </c>
      <c r="B704" s="3" t="str">
        <f>"00027293"</f>
        <v>00027293</v>
      </c>
    </row>
    <row r="705" spans="1:2" x14ac:dyDescent="0.25">
      <c r="A705" s="2">
        <v>700</v>
      </c>
      <c r="B705" s="3" t="str">
        <f>"00027313"</f>
        <v>00027313</v>
      </c>
    </row>
    <row r="706" spans="1:2" x14ac:dyDescent="0.25">
      <c r="A706" s="2">
        <v>701</v>
      </c>
      <c r="B706" s="3" t="str">
        <f>"00027363"</f>
        <v>00027363</v>
      </c>
    </row>
    <row r="707" spans="1:2" x14ac:dyDescent="0.25">
      <c r="A707" s="2">
        <v>702</v>
      </c>
      <c r="B707" s="3" t="str">
        <f>"00027380"</f>
        <v>00027380</v>
      </c>
    </row>
    <row r="708" spans="1:2" x14ac:dyDescent="0.25">
      <c r="A708" s="2">
        <v>703</v>
      </c>
      <c r="B708" s="3" t="str">
        <f>"00027381"</f>
        <v>00027381</v>
      </c>
    </row>
    <row r="709" spans="1:2" x14ac:dyDescent="0.25">
      <c r="A709" s="2">
        <v>704</v>
      </c>
      <c r="B709" s="3" t="str">
        <f>"00027401"</f>
        <v>00027401</v>
      </c>
    </row>
    <row r="710" spans="1:2" x14ac:dyDescent="0.25">
      <c r="A710" s="2">
        <v>705</v>
      </c>
      <c r="B710" s="3" t="str">
        <f>"00027432"</f>
        <v>00027432</v>
      </c>
    </row>
    <row r="711" spans="1:2" x14ac:dyDescent="0.25">
      <c r="A711" s="2">
        <v>706</v>
      </c>
      <c r="B711" s="3" t="str">
        <f>"00027491"</f>
        <v>00027491</v>
      </c>
    </row>
    <row r="712" spans="1:2" x14ac:dyDescent="0.25">
      <c r="A712" s="2">
        <v>707</v>
      </c>
      <c r="B712" s="3" t="str">
        <f>"00027518"</f>
        <v>00027518</v>
      </c>
    </row>
    <row r="713" spans="1:2" x14ac:dyDescent="0.25">
      <c r="A713" s="2">
        <v>708</v>
      </c>
      <c r="B713" s="3" t="str">
        <f>"00027564"</f>
        <v>00027564</v>
      </c>
    </row>
    <row r="714" spans="1:2" x14ac:dyDescent="0.25">
      <c r="A714" s="2">
        <v>709</v>
      </c>
      <c r="B714" s="3" t="str">
        <f>"00027595"</f>
        <v>00027595</v>
      </c>
    </row>
    <row r="715" spans="1:2" x14ac:dyDescent="0.25">
      <c r="A715" s="2">
        <v>710</v>
      </c>
      <c r="B715" s="3" t="str">
        <f>"00027651"</f>
        <v>00027651</v>
      </c>
    </row>
    <row r="716" spans="1:2" x14ac:dyDescent="0.25">
      <c r="A716" s="2">
        <v>711</v>
      </c>
      <c r="B716" s="3" t="str">
        <f>"00027695"</f>
        <v>00027695</v>
      </c>
    </row>
    <row r="717" spans="1:2" x14ac:dyDescent="0.25">
      <c r="A717" s="2">
        <v>712</v>
      </c>
      <c r="B717" s="3" t="str">
        <f>"00027707"</f>
        <v>00027707</v>
      </c>
    </row>
    <row r="718" spans="1:2" x14ac:dyDescent="0.25">
      <c r="A718" s="2">
        <v>713</v>
      </c>
      <c r="B718" s="3" t="str">
        <f>"00027735"</f>
        <v>00027735</v>
      </c>
    </row>
    <row r="719" spans="1:2" x14ac:dyDescent="0.25">
      <c r="A719" s="2">
        <v>714</v>
      </c>
      <c r="B719" s="3" t="str">
        <f>"00027742"</f>
        <v>00027742</v>
      </c>
    </row>
    <row r="720" spans="1:2" x14ac:dyDescent="0.25">
      <c r="A720" s="2">
        <v>715</v>
      </c>
      <c r="B720" s="3" t="str">
        <f>"00027803"</f>
        <v>00027803</v>
      </c>
    </row>
    <row r="721" spans="1:2" x14ac:dyDescent="0.25">
      <c r="A721" s="2">
        <v>716</v>
      </c>
      <c r="B721" s="3" t="str">
        <f>"00027806"</f>
        <v>00027806</v>
      </c>
    </row>
    <row r="722" spans="1:2" x14ac:dyDescent="0.25">
      <c r="A722" s="2">
        <v>717</v>
      </c>
      <c r="B722" s="3" t="str">
        <f>"00027870"</f>
        <v>00027870</v>
      </c>
    </row>
    <row r="723" spans="1:2" x14ac:dyDescent="0.25">
      <c r="A723" s="2">
        <v>718</v>
      </c>
      <c r="B723" s="3" t="str">
        <f>"00027910"</f>
        <v>00027910</v>
      </c>
    </row>
    <row r="724" spans="1:2" x14ac:dyDescent="0.25">
      <c r="A724" s="2">
        <v>719</v>
      </c>
      <c r="B724" s="3" t="str">
        <f>"00027971"</f>
        <v>00027971</v>
      </c>
    </row>
    <row r="725" spans="1:2" x14ac:dyDescent="0.25">
      <c r="A725" s="2">
        <v>720</v>
      </c>
      <c r="B725" s="3" t="str">
        <f>"00028010"</f>
        <v>00028010</v>
      </c>
    </row>
    <row r="726" spans="1:2" x14ac:dyDescent="0.25">
      <c r="A726" s="2">
        <v>721</v>
      </c>
      <c r="B726" s="3" t="str">
        <f>"00028085"</f>
        <v>00028085</v>
      </c>
    </row>
    <row r="727" spans="1:2" x14ac:dyDescent="0.25">
      <c r="A727" s="2">
        <v>722</v>
      </c>
      <c r="B727" s="3" t="str">
        <f>"00028203"</f>
        <v>00028203</v>
      </c>
    </row>
    <row r="728" spans="1:2" x14ac:dyDescent="0.25">
      <c r="A728" s="2">
        <v>723</v>
      </c>
      <c r="B728" s="3" t="str">
        <f>"00028304"</f>
        <v>00028304</v>
      </c>
    </row>
    <row r="729" spans="1:2" x14ac:dyDescent="0.25">
      <c r="A729" s="2">
        <v>724</v>
      </c>
      <c r="B729" s="3" t="str">
        <f>"00028317"</f>
        <v>00028317</v>
      </c>
    </row>
    <row r="730" spans="1:2" x14ac:dyDescent="0.25">
      <c r="A730" s="2">
        <v>725</v>
      </c>
      <c r="B730" s="3" t="str">
        <f>"00028334"</f>
        <v>00028334</v>
      </c>
    </row>
    <row r="731" spans="1:2" x14ac:dyDescent="0.25">
      <c r="A731" s="2">
        <v>726</v>
      </c>
      <c r="B731" s="3" t="str">
        <f>"00028344"</f>
        <v>00028344</v>
      </c>
    </row>
    <row r="732" spans="1:2" x14ac:dyDescent="0.25">
      <c r="A732" s="2">
        <v>727</v>
      </c>
      <c r="B732" s="3" t="str">
        <f>"00028414"</f>
        <v>00028414</v>
      </c>
    </row>
    <row r="733" spans="1:2" x14ac:dyDescent="0.25">
      <c r="A733" s="2">
        <v>728</v>
      </c>
      <c r="B733" s="3" t="str">
        <f>"00028420"</f>
        <v>00028420</v>
      </c>
    </row>
    <row r="734" spans="1:2" x14ac:dyDescent="0.25">
      <c r="A734" s="2">
        <v>729</v>
      </c>
      <c r="B734" s="3" t="str">
        <f>"00028432"</f>
        <v>00028432</v>
      </c>
    </row>
    <row r="735" spans="1:2" x14ac:dyDescent="0.25">
      <c r="A735" s="2">
        <v>730</v>
      </c>
      <c r="B735" s="3" t="str">
        <f>"00028445"</f>
        <v>00028445</v>
      </c>
    </row>
    <row r="736" spans="1:2" x14ac:dyDescent="0.25">
      <c r="A736" s="2">
        <v>731</v>
      </c>
      <c r="B736" s="3" t="str">
        <f>"00028461"</f>
        <v>00028461</v>
      </c>
    </row>
    <row r="737" spans="1:2" x14ac:dyDescent="0.25">
      <c r="A737" s="2">
        <v>732</v>
      </c>
      <c r="B737" s="3" t="str">
        <f>"00028540"</f>
        <v>00028540</v>
      </c>
    </row>
    <row r="738" spans="1:2" x14ac:dyDescent="0.25">
      <c r="A738" s="2">
        <v>733</v>
      </c>
      <c r="B738" s="3" t="str">
        <f>"00028546"</f>
        <v>00028546</v>
      </c>
    </row>
    <row r="739" spans="1:2" x14ac:dyDescent="0.25">
      <c r="A739" s="2">
        <v>734</v>
      </c>
      <c r="B739" s="3" t="str">
        <f>"00028557"</f>
        <v>00028557</v>
      </c>
    </row>
    <row r="740" spans="1:2" x14ac:dyDescent="0.25">
      <c r="A740" s="2">
        <v>735</v>
      </c>
      <c r="B740" s="3" t="str">
        <f>"00028573"</f>
        <v>00028573</v>
      </c>
    </row>
    <row r="741" spans="1:2" x14ac:dyDescent="0.25">
      <c r="A741" s="2">
        <v>736</v>
      </c>
      <c r="B741" s="3" t="str">
        <f>"00028604"</f>
        <v>00028604</v>
      </c>
    </row>
    <row r="742" spans="1:2" x14ac:dyDescent="0.25">
      <c r="A742" s="2">
        <v>737</v>
      </c>
      <c r="B742" s="3" t="str">
        <f>"00028612"</f>
        <v>00028612</v>
      </c>
    </row>
    <row r="743" spans="1:2" x14ac:dyDescent="0.25">
      <c r="A743" s="2">
        <v>738</v>
      </c>
      <c r="B743" s="3" t="str">
        <f>"00028673"</f>
        <v>00028673</v>
      </c>
    </row>
    <row r="744" spans="1:2" x14ac:dyDescent="0.25">
      <c r="A744" s="2">
        <v>739</v>
      </c>
      <c r="B744" s="3" t="str">
        <f>"00028679"</f>
        <v>00028679</v>
      </c>
    </row>
    <row r="745" spans="1:2" x14ac:dyDescent="0.25">
      <c r="A745" s="2">
        <v>740</v>
      </c>
      <c r="B745" s="3" t="str">
        <f>"00028735"</f>
        <v>00028735</v>
      </c>
    </row>
    <row r="746" spans="1:2" x14ac:dyDescent="0.25">
      <c r="A746" s="2">
        <v>741</v>
      </c>
      <c r="B746" s="3" t="str">
        <f>"00028772"</f>
        <v>00028772</v>
      </c>
    </row>
    <row r="747" spans="1:2" x14ac:dyDescent="0.25">
      <c r="A747" s="2">
        <v>742</v>
      </c>
      <c r="B747" s="3" t="str">
        <f>"00028919"</f>
        <v>00028919</v>
      </c>
    </row>
    <row r="748" spans="1:2" x14ac:dyDescent="0.25">
      <c r="A748" s="2">
        <v>743</v>
      </c>
      <c r="B748" s="3" t="str">
        <f>"00028926"</f>
        <v>00028926</v>
      </c>
    </row>
    <row r="749" spans="1:2" x14ac:dyDescent="0.25">
      <c r="A749" s="2">
        <v>744</v>
      </c>
      <c r="B749" s="3" t="str">
        <f>"00028931"</f>
        <v>00028931</v>
      </c>
    </row>
    <row r="750" spans="1:2" x14ac:dyDescent="0.25">
      <c r="A750" s="2">
        <v>745</v>
      </c>
      <c r="B750" s="3" t="str">
        <f>"00028970"</f>
        <v>00028970</v>
      </c>
    </row>
    <row r="751" spans="1:2" x14ac:dyDescent="0.25">
      <c r="A751" s="2">
        <v>746</v>
      </c>
      <c r="B751" s="3" t="str">
        <f>"00028974"</f>
        <v>00028974</v>
      </c>
    </row>
    <row r="752" spans="1:2" x14ac:dyDescent="0.25">
      <c r="A752" s="2">
        <v>747</v>
      </c>
      <c r="B752" s="3" t="str">
        <f>"00029014"</f>
        <v>00029014</v>
      </c>
    </row>
    <row r="753" spans="1:2" x14ac:dyDescent="0.25">
      <c r="A753" s="2">
        <v>748</v>
      </c>
      <c r="B753" s="3" t="str">
        <f>"00029034"</f>
        <v>00029034</v>
      </c>
    </row>
    <row r="754" spans="1:2" x14ac:dyDescent="0.25">
      <c r="A754" s="2">
        <v>749</v>
      </c>
      <c r="B754" s="3" t="str">
        <f>"00029043"</f>
        <v>00029043</v>
      </c>
    </row>
    <row r="755" spans="1:2" x14ac:dyDescent="0.25">
      <c r="A755" s="2">
        <v>750</v>
      </c>
      <c r="B755" s="3" t="str">
        <f>"00029063"</f>
        <v>00029063</v>
      </c>
    </row>
    <row r="756" spans="1:2" x14ac:dyDescent="0.25">
      <c r="A756" s="2">
        <v>751</v>
      </c>
      <c r="B756" s="3" t="str">
        <f>"00029113"</f>
        <v>00029113</v>
      </c>
    </row>
    <row r="757" spans="1:2" x14ac:dyDescent="0.25">
      <c r="A757" s="2">
        <v>752</v>
      </c>
      <c r="B757" s="3" t="str">
        <f>"00029173"</f>
        <v>00029173</v>
      </c>
    </row>
    <row r="758" spans="1:2" x14ac:dyDescent="0.25">
      <c r="A758" s="2">
        <v>753</v>
      </c>
      <c r="B758" s="3" t="str">
        <f>"00029206"</f>
        <v>00029206</v>
      </c>
    </row>
    <row r="759" spans="1:2" x14ac:dyDescent="0.25">
      <c r="A759" s="2">
        <v>754</v>
      </c>
      <c r="B759" s="3" t="str">
        <f>"00029220"</f>
        <v>00029220</v>
      </c>
    </row>
    <row r="760" spans="1:2" x14ac:dyDescent="0.25">
      <c r="A760" s="2">
        <v>755</v>
      </c>
      <c r="B760" s="3" t="str">
        <f>"00029260"</f>
        <v>00029260</v>
      </c>
    </row>
    <row r="761" spans="1:2" x14ac:dyDescent="0.25">
      <c r="A761" s="2">
        <v>756</v>
      </c>
      <c r="B761" s="3" t="str">
        <f>"00029262"</f>
        <v>00029262</v>
      </c>
    </row>
    <row r="762" spans="1:2" x14ac:dyDescent="0.25">
      <c r="A762" s="2">
        <v>757</v>
      </c>
      <c r="B762" s="3" t="str">
        <f>"00029279"</f>
        <v>00029279</v>
      </c>
    </row>
    <row r="763" spans="1:2" x14ac:dyDescent="0.25">
      <c r="A763" s="2">
        <v>758</v>
      </c>
      <c r="B763" s="3" t="str">
        <f>"00029285"</f>
        <v>00029285</v>
      </c>
    </row>
    <row r="764" spans="1:2" x14ac:dyDescent="0.25">
      <c r="A764" s="2">
        <v>759</v>
      </c>
      <c r="B764" s="3" t="str">
        <f>"00029288"</f>
        <v>00029288</v>
      </c>
    </row>
    <row r="765" spans="1:2" x14ac:dyDescent="0.25">
      <c r="A765" s="2">
        <v>760</v>
      </c>
      <c r="B765" s="3" t="str">
        <f>"00029342"</f>
        <v>00029342</v>
      </c>
    </row>
    <row r="766" spans="1:2" x14ac:dyDescent="0.25">
      <c r="A766" s="2">
        <v>761</v>
      </c>
      <c r="B766" s="3" t="str">
        <f>"00029346"</f>
        <v>00029346</v>
      </c>
    </row>
    <row r="767" spans="1:2" x14ac:dyDescent="0.25">
      <c r="A767" s="2">
        <v>762</v>
      </c>
      <c r="B767" s="3" t="str">
        <f>"00029360"</f>
        <v>00029360</v>
      </c>
    </row>
    <row r="768" spans="1:2" x14ac:dyDescent="0.25">
      <c r="A768" s="2">
        <v>763</v>
      </c>
      <c r="B768" s="3" t="str">
        <f>"00029370"</f>
        <v>00029370</v>
      </c>
    </row>
    <row r="769" spans="1:2" x14ac:dyDescent="0.25">
      <c r="A769" s="2">
        <v>764</v>
      </c>
      <c r="B769" s="3" t="str">
        <f>"00029384"</f>
        <v>00029384</v>
      </c>
    </row>
    <row r="770" spans="1:2" x14ac:dyDescent="0.25">
      <c r="A770" s="2">
        <v>765</v>
      </c>
      <c r="B770" s="3" t="str">
        <f>"00029427"</f>
        <v>00029427</v>
      </c>
    </row>
    <row r="771" spans="1:2" x14ac:dyDescent="0.25">
      <c r="A771" s="2">
        <v>766</v>
      </c>
      <c r="B771" s="3" t="str">
        <f>"00029502"</f>
        <v>00029502</v>
      </c>
    </row>
    <row r="772" spans="1:2" x14ac:dyDescent="0.25">
      <c r="A772" s="2">
        <v>767</v>
      </c>
      <c r="B772" s="3" t="str">
        <f>"00029511"</f>
        <v>00029511</v>
      </c>
    </row>
    <row r="773" spans="1:2" x14ac:dyDescent="0.25">
      <c r="A773" s="2">
        <v>768</v>
      </c>
      <c r="B773" s="3" t="str">
        <f>"00029520"</f>
        <v>00029520</v>
      </c>
    </row>
    <row r="774" spans="1:2" x14ac:dyDescent="0.25">
      <c r="A774" s="2">
        <v>769</v>
      </c>
      <c r="B774" s="3" t="str">
        <f>"00029585"</f>
        <v>00029585</v>
      </c>
    </row>
    <row r="775" spans="1:2" x14ac:dyDescent="0.25">
      <c r="A775" s="2">
        <v>770</v>
      </c>
      <c r="B775" s="3" t="str">
        <f>"00029591"</f>
        <v>00029591</v>
      </c>
    </row>
    <row r="776" spans="1:2" x14ac:dyDescent="0.25">
      <c r="A776" s="2">
        <v>771</v>
      </c>
      <c r="B776" s="3" t="str">
        <f>"00029636"</f>
        <v>00029636</v>
      </c>
    </row>
    <row r="777" spans="1:2" x14ac:dyDescent="0.25">
      <c r="A777" s="2">
        <v>772</v>
      </c>
      <c r="B777" s="3" t="str">
        <f>"00029665"</f>
        <v>00029665</v>
      </c>
    </row>
    <row r="778" spans="1:2" x14ac:dyDescent="0.25">
      <c r="A778" s="2">
        <v>773</v>
      </c>
      <c r="B778" s="3" t="str">
        <f>"00029668"</f>
        <v>00029668</v>
      </c>
    </row>
    <row r="779" spans="1:2" x14ac:dyDescent="0.25">
      <c r="A779" s="2">
        <v>774</v>
      </c>
      <c r="B779" s="3" t="str">
        <f>"00029736"</f>
        <v>00029736</v>
      </c>
    </row>
    <row r="780" spans="1:2" x14ac:dyDescent="0.25">
      <c r="A780" s="2">
        <v>775</v>
      </c>
      <c r="B780" s="3" t="str">
        <f>"00029744"</f>
        <v>00029744</v>
      </c>
    </row>
    <row r="781" spans="1:2" x14ac:dyDescent="0.25">
      <c r="A781" s="2">
        <v>776</v>
      </c>
      <c r="B781" s="3" t="str">
        <f>"00029762"</f>
        <v>00029762</v>
      </c>
    </row>
    <row r="782" spans="1:2" x14ac:dyDescent="0.25">
      <c r="A782" s="2">
        <v>777</v>
      </c>
      <c r="B782" s="3" t="str">
        <f>"00029804"</f>
        <v>00029804</v>
      </c>
    </row>
    <row r="783" spans="1:2" x14ac:dyDescent="0.25">
      <c r="A783" s="2">
        <v>778</v>
      </c>
      <c r="B783" s="3" t="str">
        <f>"00029827"</f>
        <v>00029827</v>
      </c>
    </row>
    <row r="784" spans="1:2" x14ac:dyDescent="0.25">
      <c r="A784" s="2">
        <v>779</v>
      </c>
      <c r="B784" s="3" t="str">
        <f>"00029859"</f>
        <v>00029859</v>
      </c>
    </row>
    <row r="785" spans="1:2" x14ac:dyDescent="0.25">
      <c r="A785" s="2">
        <v>780</v>
      </c>
      <c r="B785" s="3" t="str">
        <f>"00030138"</f>
        <v>00030138</v>
      </c>
    </row>
    <row r="786" spans="1:2" x14ac:dyDescent="0.25">
      <c r="A786" s="2">
        <v>781</v>
      </c>
      <c r="B786" s="3" t="str">
        <f>"00030222"</f>
        <v>00030222</v>
      </c>
    </row>
    <row r="787" spans="1:2" x14ac:dyDescent="0.25">
      <c r="A787" s="2">
        <v>782</v>
      </c>
      <c r="B787" s="3" t="str">
        <f>"00030250"</f>
        <v>00030250</v>
      </c>
    </row>
    <row r="788" spans="1:2" x14ac:dyDescent="0.25">
      <c r="A788" s="2">
        <v>783</v>
      </c>
      <c r="B788" s="3" t="str">
        <f>"00030314"</f>
        <v>00030314</v>
      </c>
    </row>
    <row r="789" spans="1:2" x14ac:dyDescent="0.25">
      <c r="A789" s="2">
        <v>784</v>
      </c>
      <c r="B789" s="3" t="str">
        <f>"00030322"</f>
        <v>00030322</v>
      </c>
    </row>
    <row r="790" spans="1:2" x14ac:dyDescent="0.25">
      <c r="A790" s="2">
        <v>785</v>
      </c>
      <c r="B790" s="3" t="str">
        <f>"00030325"</f>
        <v>00030325</v>
      </c>
    </row>
    <row r="791" spans="1:2" x14ac:dyDescent="0.25">
      <c r="A791" s="2">
        <v>786</v>
      </c>
      <c r="B791" s="3" t="str">
        <f>"00030380"</f>
        <v>00030380</v>
      </c>
    </row>
    <row r="792" spans="1:2" x14ac:dyDescent="0.25">
      <c r="A792" s="2">
        <v>787</v>
      </c>
      <c r="B792" s="3" t="str">
        <f>"00030413"</f>
        <v>00030413</v>
      </c>
    </row>
    <row r="793" spans="1:2" x14ac:dyDescent="0.25">
      <c r="A793" s="2">
        <v>788</v>
      </c>
      <c r="B793" s="3" t="str">
        <f>"00030424"</f>
        <v>00030424</v>
      </c>
    </row>
    <row r="794" spans="1:2" x14ac:dyDescent="0.25">
      <c r="A794" s="2">
        <v>789</v>
      </c>
      <c r="B794" s="3" t="str">
        <f>"00030442"</f>
        <v>00030442</v>
      </c>
    </row>
    <row r="795" spans="1:2" x14ac:dyDescent="0.25">
      <c r="A795" s="2">
        <v>790</v>
      </c>
      <c r="B795" s="3" t="str">
        <f>"00030449"</f>
        <v>00030449</v>
      </c>
    </row>
    <row r="796" spans="1:2" x14ac:dyDescent="0.25">
      <c r="A796" s="2">
        <v>791</v>
      </c>
      <c r="B796" s="3" t="str">
        <f>"00030503"</f>
        <v>00030503</v>
      </c>
    </row>
    <row r="797" spans="1:2" x14ac:dyDescent="0.25">
      <c r="A797" s="2">
        <v>792</v>
      </c>
      <c r="B797" s="3" t="str">
        <f>"00030545"</f>
        <v>00030545</v>
      </c>
    </row>
    <row r="798" spans="1:2" x14ac:dyDescent="0.25">
      <c r="A798" s="2">
        <v>793</v>
      </c>
      <c r="B798" s="3" t="str">
        <f>"00030654"</f>
        <v>00030654</v>
      </c>
    </row>
    <row r="799" spans="1:2" x14ac:dyDescent="0.25">
      <c r="A799" s="2">
        <v>794</v>
      </c>
      <c r="B799" s="3" t="str">
        <f>"00030655"</f>
        <v>00030655</v>
      </c>
    </row>
    <row r="800" spans="1:2" x14ac:dyDescent="0.25">
      <c r="A800" s="2">
        <v>795</v>
      </c>
      <c r="B800" s="3" t="str">
        <f>"00030698"</f>
        <v>00030698</v>
      </c>
    </row>
    <row r="801" spans="1:2" x14ac:dyDescent="0.25">
      <c r="A801" s="2">
        <v>796</v>
      </c>
      <c r="B801" s="3" t="str">
        <f>"00030721"</f>
        <v>00030721</v>
      </c>
    </row>
    <row r="802" spans="1:2" x14ac:dyDescent="0.25">
      <c r="A802" s="2">
        <v>797</v>
      </c>
      <c r="B802" s="3" t="str">
        <f>"00030738"</f>
        <v>00030738</v>
      </c>
    </row>
    <row r="803" spans="1:2" x14ac:dyDescent="0.25">
      <c r="A803" s="2">
        <v>798</v>
      </c>
      <c r="B803" s="3" t="str">
        <f>"00030739"</f>
        <v>00030739</v>
      </c>
    </row>
    <row r="804" spans="1:2" x14ac:dyDescent="0.25">
      <c r="A804" s="2">
        <v>799</v>
      </c>
      <c r="B804" s="3" t="str">
        <f>"00031278"</f>
        <v>00031278</v>
      </c>
    </row>
    <row r="805" spans="1:2" x14ac:dyDescent="0.25">
      <c r="A805" s="2">
        <v>800</v>
      </c>
      <c r="B805" s="3" t="str">
        <f>"00031367"</f>
        <v>00031367</v>
      </c>
    </row>
    <row r="806" spans="1:2" x14ac:dyDescent="0.25">
      <c r="A806" s="2">
        <v>801</v>
      </c>
      <c r="B806" s="3" t="str">
        <f>"00031513"</f>
        <v>00031513</v>
      </c>
    </row>
    <row r="807" spans="1:2" x14ac:dyDescent="0.25">
      <c r="A807" s="2">
        <v>802</v>
      </c>
      <c r="B807" s="3" t="str">
        <f>"00031666"</f>
        <v>00031666</v>
      </c>
    </row>
    <row r="808" spans="1:2" x14ac:dyDescent="0.25">
      <c r="A808" s="2">
        <v>803</v>
      </c>
      <c r="B808" s="3" t="str">
        <f>"00031676"</f>
        <v>00031676</v>
      </c>
    </row>
    <row r="809" spans="1:2" x14ac:dyDescent="0.25">
      <c r="A809" s="2">
        <v>804</v>
      </c>
      <c r="B809" s="3" t="str">
        <f>"00031717"</f>
        <v>00031717</v>
      </c>
    </row>
    <row r="810" spans="1:2" x14ac:dyDescent="0.25">
      <c r="A810" s="2">
        <v>805</v>
      </c>
      <c r="B810" s="3" t="str">
        <f>"00031721"</f>
        <v>00031721</v>
      </c>
    </row>
    <row r="811" spans="1:2" x14ac:dyDescent="0.25">
      <c r="A811" s="2">
        <v>806</v>
      </c>
      <c r="B811" s="3" t="str">
        <f>"00031748"</f>
        <v>00031748</v>
      </c>
    </row>
    <row r="812" spans="1:2" x14ac:dyDescent="0.25">
      <c r="A812" s="2">
        <v>807</v>
      </c>
      <c r="B812" s="3" t="str">
        <f>"00031763"</f>
        <v>00031763</v>
      </c>
    </row>
    <row r="813" spans="1:2" x14ac:dyDescent="0.25">
      <c r="A813" s="2">
        <v>808</v>
      </c>
      <c r="B813" s="3" t="str">
        <f>"00031868"</f>
        <v>00031868</v>
      </c>
    </row>
    <row r="814" spans="1:2" x14ac:dyDescent="0.25">
      <c r="A814" s="2">
        <v>809</v>
      </c>
      <c r="B814" s="3" t="str">
        <f>"00031871"</f>
        <v>00031871</v>
      </c>
    </row>
    <row r="815" spans="1:2" x14ac:dyDescent="0.25">
      <c r="A815" s="2">
        <v>810</v>
      </c>
      <c r="B815" s="3" t="str">
        <f>"00032030"</f>
        <v>00032030</v>
      </c>
    </row>
    <row r="816" spans="1:2" x14ac:dyDescent="0.25">
      <c r="A816" s="2">
        <v>811</v>
      </c>
      <c r="B816" s="3" t="str">
        <f>"00032066"</f>
        <v>00032066</v>
      </c>
    </row>
    <row r="817" spans="1:2" x14ac:dyDescent="0.25">
      <c r="A817" s="2">
        <v>812</v>
      </c>
      <c r="B817" s="3" t="str">
        <f>"00032232"</f>
        <v>00032232</v>
      </c>
    </row>
    <row r="818" spans="1:2" x14ac:dyDescent="0.25">
      <c r="A818" s="2">
        <v>813</v>
      </c>
      <c r="B818" s="3" t="str">
        <f>"00032317"</f>
        <v>00032317</v>
      </c>
    </row>
    <row r="819" spans="1:2" x14ac:dyDescent="0.25">
      <c r="A819" s="2">
        <v>814</v>
      </c>
      <c r="B819" s="3" t="str">
        <f>"00032328"</f>
        <v>00032328</v>
      </c>
    </row>
    <row r="820" spans="1:2" x14ac:dyDescent="0.25">
      <c r="A820" s="2">
        <v>815</v>
      </c>
      <c r="B820" s="3" t="str">
        <f>"00032360"</f>
        <v>00032360</v>
      </c>
    </row>
    <row r="821" spans="1:2" x14ac:dyDescent="0.25">
      <c r="A821" s="2">
        <v>816</v>
      </c>
      <c r="B821" s="3" t="str">
        <f>"00032378"</f>
        <v>00032378</v>
      </c>
    </row>
    <row r="822" spans="1:2" x14ac:dyDescent="0.25">
      <c r="A822" s="2">
        <v>817</v>
      </c>
      <c r="B822" s="3" t="str">
        <f>"00032553"</f>
        <v>00032553</v>
      </c>
    </row>
    <row r="823" spans="1:2" x14ac:dyDescent="0.25">
      <c r="A823" s="2">
        <v>818</v>
      </c>
      <c r="B823" s="3" t="str">
        <f>"00032592"</f>
        <v>00032592</v>
      </c>
    </row>
    <row r="824" spans="1:2" x14ac:dyDescent="0.25">
      <c r="A824" s="2">
        <v>819</v>
      </c>
      <c r="B824" s="3" t="str">
        <f>"00032637"</f>
        <v>00032637</v>
      </c>
    </row>
    <row r="825" spans="1:2" x14ac:dyDescent="0.25">
      <c r="A825" s="2">
        <v>820</v>
      </c>
      <c r="B825" s="3" t="str">
        <f>"00032794"</f>
        <v>00032794</v>
      </c>
    </row>
    <row r="826" spans="1:2" x14ac:dyDescent="0.25">
      <c r="A826" s="2">
        <v>821</v>
      </c>
      <c r="B826" s="3" t="str">
        <f>"00033005"</f>
        <v>00033005</v>
      </c>
    </row>
    <row r="827" spans="1:2" x14ac:dyDescent="0.25">
      <c r="A827" s="2">
        <v>822</v>
      </c>
      <c r="B827" s="3" t="str">
        <f>"00033013"</f>
        <v>00033013</v>
      </c>
    </row>
    <row r="828" spans="1:2" x14ac:dyDescent="0.25">
      <c r="A828" s="2">
        <v>823</v>
      </c>
      <c r="B828" s="3" t="str">
        <f>"00033048"</f>
        <v>00033048</v>
      </c>
    </row>
    <row r="829" spans="1:2" x14ac:dyDescent="0.25">
      <c r="A829" s="2">
        <v>824</v>
      </c>
      <c r="B829" s="3" t="str">
        <f>"00033086"</f>
        <v>00033086</v>
      </c>
    </row>
    <row r="830" spans="1:2" x14ac:dyDescent="0.25">
      <c r="A830" s="2">
        <v>825</v>
      </c>
      <c r="B830" s="3" t="str">
        <f>"00033107"</f>
        <v>00033107</v>
      </c>
    </row>
    <row r="831" spans="1:2" x14ac:dyDescent="0.25">
      <c r="A831" s="2">
        <v>826</v>
      </c>
      <c r="B831" s="3" t="str">
        <f>"00033258"</f>
        <v>00033258</v>
      </c>
    </row>
    <row r="832" spans="1:2" x14ac:dyDescent="0.25">
      <c r="A832" s="2">
        <v>827</v>
      </c>
      <c r="B832" s="3" t="str">
        <f>"00033345"</f>
        <v>00033345</v>
      </c>
    </row>
    <row r="833" spans="1:2" x14ac:dyDescent="0.25">
      <c r="A833" s="2">
        <v>828</v>
      </c>
      <c r="B833" s="3" t="str">
        <f>"00033545"</f>
        <v>00033545</v>
      </c>
    </row>
    <row r="834" spans="1:2" x14ac:dyDescent="0.25">
      <c r="A834" s="2">
        <v>829</v>
      </c>
      <c r="B834" s="3" t="str">
        <f>"00033851"</f>
        <v>00033851</v>
      </c>
    </row>
    <row r="835" spans="1:2" x14ac:dyDescent="0.25">
      <c r="A835" s="2">
        <v>830</v>
      </c>
      <c r="B835" s="3" t="str">
        <f>"00034013"</f>
        <v>00034013</v>
      </c>
    </row>
    <row r="836" spans="1:2" x14ac:dyDescent="0.25">
      <c r="A836" s="2">
        <v>831</v>
      </c>
      <c r="B836" s="3" t="str">
        <f>"00034216"</f>
        <v>00034216</v>
      </c>
    </row>
    <row r="837" spans="1:2" x14ac:dyDescent="0.25">
      <c r="A837" s="2">
        <v>832</v>
      </c>
      <c r="B837" s="3" t="str">
        <f>"00034863"</f>
        <v>00034863</v>
      </c>
    </row>
    <row r="838" spans="1:2" x14ac:dyDescent="0.25">
      <c r="A838" s="2">
        <v>833</v>
      </c>
      <c r="B838" s="3" t="str">
        <f>"00034874"</f>
        <v>00034874</v>
      </c>
    </row>
    <row r="839" spans="1:2" x14ac:dyDescent="0.25">
      <c r="A839" s="2">
        <v>834</v>
      </c>
      <c r="B839" s="3" t="str">
        <f>"00035017"</f>
        <v>00035017</v>
      </c>
    </row>
    <row r="840" spans="1:2" x14ac:dyDescent="0.25">
      <c r="A840" s="2">
        <v>835</v>
      </c>
      <c r="B840" s="3" t="str">
        <f>"00035036"</f>
        <v>00035036</v>
      </c>
    </row>
    <row r="841" spans="1:2" x14ac:dyDescent="0.25">
      <c r="A841" s="2">
        <v>836</v>
      </c>
      <c r="B841" s="3" t="str">
        <f>"00035037"</f>
        <v>00035037</v>
      </c>
    </row>
    <row r="842" spans="1:2" x14ac:dyDescent="0.25">
      <c r="A842" s="2">
        <v>837</v>
      </c>
      <c r="B842" s="3" t="str">
        <f>"00035083"</f>
        <v>00035083</v>
      </c>
    </row>
    <row r="843" spans="1:2" x14ac:dyDescent="0.25">
      <c r="A843" s="2">
        <v>838</v>
      </c>
      <c r="B843" s="3" t="str">
        <f>"00035164"</f>
        <v>00035164</v>
      </c>
    </row>
    <row r="844" spans="1:2" x14ac:dyDescent="0.25">
      <c r="A844" s="2">
        <v>839</v>
      </c>
      <c r="B844" s="3" t="str">
        <f>"00035202"</f>
        <v>00035202</v>
      </c>
    </row>
    <row r="845" spans="1:2" x14ac:dyDescent="0.25">
      <c r="A845" s="2">
        <v>840</v>
      </c>
      <c r="B845" s="3" t="str">
        <f>"00035219"</f>
        <v>00035219</v>
      </c>
    </row>
    <row r="846" spans="1:2" x14ac:dyDescent="0.25">
      <c r="A846" s="2">
        <v>841</v>
      </c>
      <c r="B846" s="3" t="str">
        <f>"00035828"</f>
        <v>00035828</v>
      </c>
    </row>
    <row r="847" spans="1:2" x14ac:dyDescent="0.25">
      <c r="A847" s="2">
        <v>842</v>
      </c>
      <c r="B847" s="3" t="str">
        <f>"00035882"</f>
        <v>00035882</v>
      </c>
    </row>
    <row r="848" spans="1:2" x14ac:dyDescent="0.25">
      <c r="A848" s="2">
        <v>843</v>
      </c>
      <c r="B848" s="3" t="str">
        <f>"00035903"</f>
        <v>00035903</v>
      </c>
    </row>
    <row r="849" spans="1:2" x14ac:dyDescent="0.25">
      <c r="A849" s="2">
        <v>844</v>
      </c>
      <c r="B849" s="3" t="str">
        <f>"00035908"</f>
        <v>00035908</v>
      </c>
    </row>
    <row r="850" spans="1:2" x14ac:dyDescent="0.25">
      <c r="A850" s="2">
        <v>845</v>
      </c>
      <c r="B850" s="3" t="str">
        <f>"00035916"</f>
        <v>00035916</v>
      </c>
    </row>
    <row r="851" spans="1:2" x14ac:dyDescent="0.25">
      <c r="A851" s="2">
        <v>846</v>
      </c>
      <c r="B851" s="3" t="str">
        <f>"00035960"</f>
        <v>00035960</v>
      </c>
    </row>
    <row r="852" spans="1:2" x14ac:dyDescent="0.25">
      <c r="A852" s="2">
        <v>847</v>
      </c>
      <c r="B852" s="3" t="str">
        <f>"00036088"</f>
        <v>00036088</v>
      </c>
    </row>
    <row r="853" spans="1:2" x14ac:dyDescent="0.25">
      <c r="A853" s="2">
        <v>848</v>
      </c>
      <c r="B853" s="3" t="str">
        <f>"00036114"</f>
        <v>00036114</v>
      </c>
    </row>
    <row r="854" spans="1:2" x14ac:dyDescent="0.25">
      <c r="A854" s="2">
        <v>849</v>
      </c>
      <c r="B854" s="3" t="str">
        <f>"00036169"</f>
        <v>00036169</v>
      </c>
    </row>
    <row r="855" spans="1:2" x14ac:dyDescent="0.25">
      <c r="A855" s="2">
        <v>850</v>
      </c>
      <c r="B855" s="3" t="str">
        <f>"00036187"</f>
        <v>00036187</v>
      </c>
    </row>
    <row r="856" spans="1:2" x14ac:dyDescent="0.25">
      <c r="A856" s="2">
        <v>851</v>
      </c>
      <c r="B856" s="3" t="str">
        <f>"00036229"</f>
        <v>00036229</v>
      </c>
    </row>
    <row r="857" spans="1:2" x14ac:dyDescent="0.25">
      <c r="A857" s="2">
        <v>852</v>
      </c>
      <c r="B857" s="3" t="str">
        <f>"00036230"</f>
        <v>00036230</v>
      </c>
    </row>
    <row r="858" spans="1:2" x14ac:dyDescent="0.25">
      <c r="A858" s="2">
        <v>853</v>
      </c>
      <c r="B858" s="3" t="str">
        <f>"00036328"</f>
        <v>00036328</v>
      </c>
    </row>
    <row r="859" spans="1:2" x14ac:dyDescent="0.25">
      <c r="A859" s="2">
        <v>854</v>
      </c>
      <c r="B859" s="3" t="str">
        <f>"00036400"</f>
        <v>00036400</v>
      </c>
    </row>
    <row r="860" spans="1:2" x14ac:dyDescent="0.25">
      <c r="A860" s="2">
        <v>855</v>
      </c>
      <c r="B860" s="3" t="str">
        <f>"00036412"</f>
        <v>00036412</v>
      </c>
    </row>
    <row r="861" spans="1:2" x14ac:dyDescent="0.25">
      <c r="A861" s="2">
        <v>856</v>
      </c>
      <c r="B861" s="3" t="str">
        <f>"00036460"</f>
        <v>00036460</v>
      </c>
    </row>
    <row r="862" spans="1:2" x14ac:dyDescent="0.25">
      <c r="A862" s="2">
        <v>857</v>
      </c>
      <c r="B862" s="3" t="str">
        <f>"00036578"</f>
        <v>00036578</v>
      </c>
    </row>
    <row r="863" spans="1:2" x14ac:dyDescent="0.25">
      <c r="A863" s="2">
        <v>858</v>
      </c>
      <c r="B863" s="3" t="str">
        <f>"00036643"</f>
        <v>00036643</v>
      </c>
    </row>
    <row r="864" spans="1:2" x14ac:dyDescent="0.25">
      <c r="A864" s="2">
        <v>859</v>
      </c>
      <c r="B864" s="3" t="str">
        <f>"00036711"</f>
        <v>00036711</v>
      </c>
    </row>
    <row r="865" spans="1:2" x14ac:dyDescent="0.25">
      <c r="A865" s="2">
        <v>860</v>
      </c>
      <c r="B865" s="3" t="str">
        <f>"00036734"</f>
        <v>00036734</v>
      </c>
    </row>
    <row r="866" spans="1:2" x14ac:dyDescent="0.25">
      <c r="A866" s="2">
        <v>861</v>
      </c>
      <c r="B866" s="3" t="str">
        <f>"00036758"</f>
        <v>00036758</v>
      </c>
    </row>
    <row r="867" spans="1:2" x14ac:dyDescent="0.25">
      <c r="A867" s="2">
        <v>862</v>
      </c>
      <c r="B867" s="3" t="str">
        <f>"00036843"</f>
        <v>00036843</v>
      </c>
    </row>
    <row r="868" spans="1:2" x14ac:dyDescent="0.25">
      <c r="A868" s="2">
        <v>863</v>
      </c>
      <c r="B868" s="3" t="str">
        <f>"00036849"</f>
        <v>00036849</v>
      </c>
    </row>
    <row r="869" spans="1:2" x14ac:dyDescent="0.25">
      <c r="A869" s="2">
        <v>864</v>
      </c>
      <c r="B869" s="3" t="str">
        <f>"00036875"</f>
        <v>00036875</v>
      </c>
    </row>
    <row r="870" spans="1:2" x14ac:dyDescent="0.25">
      <c r="A870" s="2">
        <v>865</v>
      </c>
      <c r="B870" s="3" t="str">
        <f>"00036903"</f>
        <v>00036903</v>
      </c>
    </row>
    <row r="871" spans="1:2" x14ac:dyDescent="0.25">
      <c r="A871" s="2">
        <v>866</v>
      </c>
      <c r="B871" s="3" t="str">
        <f>"00036940"</f>
        <v>00036940</v>
      </c>
    </row>
    <row r="872" spans="1:2" x14ac:dyDescent="0.25">
      <c r="A872" s="2">
        <v>867</v>
      </c>
      <c r="B872" s="3" t="str">
        <f>"00037007"</f>
        <v>00037007</v>
      </c>
    </row>
    <row r="873" spans="1:2" x14ac:dyDescent="0.25">
      <c r="A873" s="2">
        <v>868</v>
      </c>
      <c r="B873" s="3" t="str">
        <f>"00037121"</f>
        <v>00037121</v>
      </c>
    </row>
    <row r="874" spans="1:2" x14ac:dyDescent="0.25">
      <c r="A874" s="2">
        <v>869</v>
      </c>
      <c r="B874" s="3" t="str">
        <f>"00037251"</f>
        <v>00037251</v>
      </c>
    </row>
    <row r="875" spans="1:2" x14ac:dyDescent="0.25">
      <c r="A875" s="2">
        <v>870</v>
      </c>
      <c r="B875" s="3" t="str">
        <f>"00037301"</f>
        <v>00037301</v>
      </c>
    </row>
    <row r="876" spans="1:2" x14ac:dyDescent="0.25">
      <c r="A876" s="2">
        <v>871</v>
      </c>
      <c r="B876" s="3" t="str">
        <f>"00037349"</f>
        <v>00037349</v>
      </c>
    </row>
    <row r="877" spans="1:2" x14ac:dyDescent="0.25">
      <c r="A877" s="2">
        <v>872</v>
      </c>
      <c r="B877" s="3" t="str">
        <f>"00037376"</f>
        <v>00037376</v>
      </c>
    </row>
    <row r="878" spans="1:2" x14ac:dyDescent="0.25">
      <c r="A878" s="2">
        <v>873</v>
      </c>
      <c r="B878" s="3" t="str">
        <f>"00037396"</f>
        <v>00037396</v>
      </c>
    </row>
    <row r="879" spans="1:2" x14ac:dyDescent="0.25">
      <c r="A879" s="2">
        <v>874</v>
      </c>
      <c r="B879" s="3" t="str">
        <f>"00037535"</f>
        <v>00037535</v>
      </c>
    </row>
    <row r="880" spans="1:2" x14ac:dyDescent="0.25">
      <c r="A880" s="2">
        <v>875</v>
      </c>
      <c r="B880" s="3" t="str">
        <f>"00037539"</f>
        <v>00037539</v>
      </c>
    </row>
    <row r="881" spans="1:2" x14ac:dyDescent="0.25">
      <c r="A881" s="2">
        <v>876</v>
      </c>
      <c r="B881" s="3" t="str">
        <f>"00037591"</f>
        <v>00037591</v>
      </c>
    </row>
    <row r="882" spans="1:2" x14ac:dyDescent="0.25">
      <c r="A882" s="2">
        <v>877</v>
      </c>
      <c r="B882" s="3" t="str">
        <f>"00037609"</f>
        <v>00037609</v>
      </c>
    </row>
    <row r="883" spans="1:2" x14ac:dyDescent="0.25">
      <c r="A883" s="2">
        <v>878</v>
      </c>
      <c r="B883" s="3" t="str">
        <f>"00037618"</f>
        <v>00037618</v>
      </c>
    </row>
    <row r="884" spans="1:2" x14ac:dyDescent="0.25">
      <c r="A884" s="2">
        <v>879</v>
      </c>
      <c r="B884" s="3" t="str">
        <f>"00037719"</f>
        <v>00037719</v>
      </c>
    </row>
    <row r="885" spans="1:2" x14ac:dyDescent="0.25">
      <c r="A885" s="2">
        <v>880</v>
      </c>
      <c r="B885" s="3" t="str">
        <f>"00037749"</f>
        <v>00037749</v>
      </c>
    </row>
    <row r="886" spans="1:2" x14ac:dyDescent="0.25">
      <c r="A886" s="2">
        <v>881</v>
      </c>
      <c r="B886" s="3" t="str">
        <f>"00037781"</f>
        <v>00037781</v>
      </c>
    </row>
    <row r="887" spans="1:2" x14ac:dyDescent="0.25">
      <c r="A887" s="2">
        <v>882</v>
      </c>
      <c r="B887" s="3" t="str">
        <f>"00037782"</f>
        <v>00037782</v>
      </c>
    </row>
    <row r="888" spans="1:2" x14ac:dyDescent="0.25">
      <c r="A888" s="2">
        <v>883</v>
      </c>
      <c r="B888" s="3" t="str">
        <f>"00037784"</f>
        <v>00037784</v>
      </c>
    </row>
    <row r="889" spans="1:2" x14ac:dyDescent="0.25">
      <c r="A889" s="2">
        <v>884</v>
      </c>
      <c r="B889" s="3" t="str">
        <f>"00037792"</f>
        <v>00037792</v>
      </c>
    </row>
    <row r="890" spans="1:2" x14ac:dyDescent="0.25">
      <c r="A890" s="2">
        <v>885</v>
      </c>
      <c r="B890" s="3" t="str">
        <f>"00037815"</f>
        <v>00037815</v>
      </c>
    </row>
    <row r="891" spans="1:2" x14ac:dyDescent="0.25">
      <c r="A891" s="2">
        <v>886</v>
      </c>
      <c r="B891" s="3" t="str">
        <f>"00037830"</f>
        <v>00037830</v>
      </c>
    </row>
    <row r="892" spans="1:2" x14ac:dyDescent="0.25">
      <c r="A892" s="2">
        <v>887</v>
      </c>
      <c r="B892" s="3" t="str">
        <f>"00037839"</f>
        <v>00037839</v>
      </c>
    </row>
    <row r="893" spans="1:2" x14ac:dyDescent="0.25">
      <c r="A893" s="2">
        <v>888</v>
      </c>
      <c r="B893" s="3" t="str">
        <f>"00037914"</f>
        <v>00037914</v>
      </c>
    </row>
    <row r="894" spans="1:2" x14ac:dyDescent="0.25">
      <c r="A894" s="2">
        <v>889</v>
      </c>
      <c r="B894" s="3" t="str">
        <f>"00037921"</f>
        <v>00037921</v>
      </c>
    </row>
    <row r="895" spans="1:2" x14ac:dyDescent="0.25">
      <c r="A895" s="2">
        <v>890</v>
      </c>
      <c r="B895" s="3" t="str">
        <f>"00037930"</f>
        <v>00037930</v>
      </c>
    </row>
    <row r="896" spans="1:2" x14ac:dyDescent="0.25">
      <c r="A896" s="2">
        <v>891</v>
      </c>
      <c r="B896" s="3" t="str">
        <f>"00037937"</f>
        <v>00037937</v>
      </c>
    </row>
    <row r="897" spans="1:2" x14ac:dyDescent="0.25">
      <c r="A897" s="2">
        <v>892</v>
      </c>
      <c r="B897" s="3" t="str">
        <f>"00037951"</f>
        <v>00037951</v>
      </c>
    </row>
    <row r="898" spans="1:2" x14ac:dyDescent="0.25">
      <c r="A898" s="2">
        <v>893</v>
      </c>
      <c r="B898" s="3" t="str">
        <f>"00037978"</f>
        <v>00037978</v>
      </c>
    </row>
    <row r="899" spans="1:2" x14ac:dyDescent="0.25">
      <c r="A899" s="2">
        <v>894</v>
      </c>
      <c r="B899" s="3" t="str">
        <f>"00037999"</f>
        <v>00037999</v>
      </c>
    </row>
    <row r="900" spans="1:2" x14ac:dyDescent="0.25">
      <c r="A900" s="2">
        <v>895</v>
      </c>
      <c r="B900" s="3" t="str">
        <f>"00038003"</f>
        <v>00038003</v>
      </c>
    </row>
    <row r="901" spans="1:2" x14ac:dyDescent="0.25">
      <c r="A901" s="2">
        <v>896</v>
      </c>
      <c r="B901" s="3" t="str">
        <f>"00038007"</f>
        <v>00038007</v>
      </c>
    </row>
    <row r="902" spans="1:2" x14ac:dyDescent="0.25">
      <c r="A902" s="2">
        <v>897</v>
      </c>
      <c r="B902" s="3" t="str">
        <f>"00038228"</f>
        <v>00038228</v>
      </c>
    </row>
    <row r="903" spans="1:2" x14ac:dyDescent="0.25">
      <c r="A903" s="2">
        <v>898</v>
      </c>
      <c r="B903" s="3" t="str">
        <f>"00038229"</f>
        <v>00038229</v>
      </c>
    </row>
    <row r="904" spans="1:2" x14ac:dyDescent="0.25">
      <c r="A904" s="2">
        <v>899</v>
      </c>
      <c r="B904" s="3" t="str">
        <f>"00038232"</f>
        <v>00038232</v>
      </c>
    </row>
    <row r="905" spans="1:2" x14ac:dyDescent="0.25">
      <c r="A905" s="2">
        <v>900</v>
      </c>
      <c r="B905" s="3" t="str">
        <f>"00038241"</f>
        <v>00038241</v>
      </c>
    </row>
    <row r="906" spans="1:2" x14ac:dyDescent="0.25">
      <c r="A906" s="2">
        <v>901</v>
      </c>
      <c r="B906" s="3" t="str">
        <f>"00038311"</f>
        <v>00038311</v>
      </c>
    </row>
    <row r="907" spans="1:2" x14ac:dyDescent="0.25">
      <c r="A907" s="2">
        <v>902</v>
      </c>
      <c r="B907" s="3" t="str">
        <f>"00038480"</f>
        <v>00038480</v>
      </c>
    </row>
    <row r="908" spans="1:2" x14ac:dyDescent="0.25">
      <c r="A908" s="2">
        <v>903</v>
      </c>
      <c r="B908" s="3" t="str">
        <f>"00038562"</f>
        <v>00038562</v>
      </c>
    </row>
    <row r="909" spans="1:2" x14ac:dyDescent="0.25">
      <c r="A909" s="2">
        <v>904</v>
      </c>
      <c r="B909" s="3" t="str">
        <f>"00038610"</f>
        <v>00038610</v>
      </c>
    </row>
    <row r="910" spans="1:2" x14ac:dyDescent="0.25">
      <c r="A910" s="2">
        <v>905</v>
      </c>
      <c r="B910" s="3" t="str">
        <f>"00038611"</f>
        <v>00038611</v>
      </c>
    </row>
    <row r="911" spans="1:2" x14ac:dyDescent="0.25">
      <c r="A911" s="2">
        <v>906</v>
      </c>
      <c r="B911" s="3" t="str">
        <f>"00038624"</f>
        <v>00038624</v>
      </c>
    </row>
    <row r="912" spans="1:2" x14ac:dyDescent="0.25">
      <c r="A912" s="2">
        <v>907</v>
      </c>
      <c r="B912" s="3" t="str">
        <f>"00038632"</f>
        <v>00038632</v>
      </c>
    </row>
    <row r="913" spans="1:2" x14ac:dyDescent="0.25">
      <c r="A913" s="2">
        <v>908</v>
      </c>
      <c r="B913" s="3" t="str">
        <f>"00038853"</f>
        <v>00038853</v>
      </c>
    </row>
    <row r="914" spans="1:2" x14ac:dyDescent="0.25">
      <c r="A914" s="2">
        <v>909</v>
      </c>
      <c r="B914" s="3" t="str">
        <f>"00038858"</f>
        <v>00038858</v>
      </c>
    </row>
    <row r="915" spans="1:2" x14ac:dyDescent="0.25">
      <c r="A915" s="2">
        <v>910</v>
      </c>
      <c r="B915" s="3" t="str">
        <f>"00038869"</f>
        <v>00038869</v>
      </c>
    </row>
    <row r="916" spans="1:2" x14ac:dyDescent="0.25">
      <c r="A916" s="2">
        <v>911</v>
      </c>
      <c r="B916" s="3" t="str">
        <f>"00038897"</f>
        <v>00038897</v>
      </c>
    </row>
    <row r="917" spans="1:2" x14ac:dyDescent="0.25">
      <c r="A917" s="2">
        <v>912</v>
      </c>
      <c r="B917" s="3" t="str">
        <f>"00039102"</f>
        <v>00039102</v>
      </c>
    </row>
    <row r="918" spans="1:2" x14ac:dyDescent="0.25">
      <c r="A918" s="2">
        <v>913</v>
      </c>
      <c r="B918" s="3" t="str">
        <f>"00039134"</f>
        <v>00039134</v>
      </c>
    </row>
    <row r="919" spans="1:2" x14ac:dyDescent="0.25">
      <c r="A919" s="2">
        <v>914</v>
      </c>
      <c r="B919" s="3" t="str">
        <f>"00039158"</f>
        <v>00039158</v>
      </c>
    </row>
    <row r="920" spans="1:2" x14ac:dyDescent="0.25">
      <c r="A920" s="2">
        <v>915</v>
      </c>
      <c r="B920" s="3" t="str">
        <f>"00039316"</f>
        <v>00039316</v>
      </c>
    </row>
    <row r="921" spans="1:2" x14ac:dyDescent="0.25">
      <c r="A921" s="2">
        <v>916</v>
      </c>
      <c r="B921" s="3" t="str">
        <f>"00039381"</f>
        <v>00039381</v>
      </c>
    </row>
    <row r="922" spans="1:2" x14ac:dyDescent="0.25">
      <c r="A922" s="2">
        <v>917</v>
      </c>
      <c r="B922" s="3" t="str">
        <f>"00039476"</f>
        <v>00039476</v>
      </c>
    </row>
    <row r="923" spans="1:2" x14ac:dyDescent="0.25">
      <c r="A923" s="2">
        <v>918</v>
      </c>
      <c r="B923" s="3" t="str">
        <f>"00039478"</f>
        <v>00039478</v>
      </c>
    </row>
    <row r="924" spans="1:2" x14ac:dyDescent="0.25">
      <c r="A924" s="2">
        <v>919</v>
      </c>
      <c r="B924" s="3" t="str">
        <f>"00039494"</f>
        <v>00039494</v>
      </c>
    </row>
    <row r="925" spans="1:2" x14ac:dyDescent="0.25">
      <c r="A925" s="2">
        <v>920</v>
      </c>
      <c r="B925" s="3" t="str">
        <f>"00039586"</f>
        <v>00039586</v>
      </c>
    </row>
    <row r="926" spans="1:2" x14ac:dyDescent="0.25">
      <c r="A926" s="2">
        <v>921</v>
      </c>
      <c r="B926" s="3" t="str">
        <f>"00039631"</f>
        <v>00039631</v>
      </c>
    </row>
    <row r="927" spans="1:2" x14ac:dyDescent="0.25">
      <c r="A927" s="2">
        <v>922</v>
      </c>
      <c r="B927" s="3" t="str">
        <f>"00039646"</f>
        <v>00039646</v>
      </c>
    </row>
    <row r="928" spans="1:2" x14ac:dyDescent="0.25">
      <c r="A928" s="2">
        <v>923</v>
      </c>
      <c r="B928" s="3" t="str">
        <f>"00039698"</f>
        <v>00039698</v>
      </c>
    </row>
    <row r="929" spans="1:2" x14ac:dyDescent="0.25">
      <c r="A929" s="2">
        <v>924</v>
      </c>
      <c r="B929" s="3" t="str">
        <f>"00039762"</f>
        <v>00039762</v>
      </c>
    </row>
    <row r="930" spans="1:2" x14ac:dyDescent="0.25">
      <c r="A930" s="2">
        <v>925</v>
      </c>
      <c r="B930" s="3" t="str">
        <f>"00039781"</f>
        <v>00039781</v>
      </c>
    </row>
    <row r="931" spans="1:2" x14ac:dyDescent="0.25">
      <c r="A931" s="2">
        <v>926</v>
      </c>
      <c r="B931" s="3" t="str">
        <f>"00039925"</f>
        <v>00039925</v>
      </c>
    </row>
    <row r="932" spans="1:2" x14ac:dyDescent="0.25">
      <c r="A932" s="2">
        <v>927</v>
      </c>
      <c r="B932" s="3" t="str">
        <f>"00040019"</f>
        <v>00040019</v>
      </c>
    </row>
    <row r="933" spans="1:2" x14ac:dyDescent="0.25">
      <c r="A933" s="2">
        <v>928</v>
      </c>
      <c r="B933" s="3" t="str">
        <f>"00040026"</f>
        <v>00040026</v>
      </c>
    </row>
    <row r="934" spans="1:2" x14ac:dyDescent="0.25">
      <c r="A934" s="2">
        <v>929</v>
      </c>
      <c r="B934" s="3" t="str">
        <f>"00040034"</f>
        <v>00040034</v>
      </c>
    </row>
    <row r="935" spans="1:2" x14ac:dyDescent="0.25">
      <c r="A935" s="2">
        <v>930</v>
      </c>
      <c r="B935" s="3" t="str">
        <f>"00040079"</f>
        <v>00040079</v>
      </c>
    </row>
    <row r="936" spans="1:2" x14ac:dyDescent="0.25">
      <c r="A936" s="2">
        <v>931</v>
      </c>
      <c r="B936" s="3" t="str">
        <f>"00040106"</f>
        <v>00040106</v>
      </c>
    </row>
    <row r="937" spans="1:2" x14ac:dyDescent="0.25">
      <c r="A937" s="2">
        <v>932</v>
      </c>
      <c r="B937" s="3" t="str">
        <f>"00040112"</f>
        <v>00040112</v>
      </c>
    </row>
    <row r="938" spans="1:2" x14ac:dyDescent="0.25">
      <c r="A938" s="2">
        <v>933</v>
      </c>
      <c r="B938" s="3" t="str">
        <f>"00040118"</f>
        <v>00040118</v>
      </c>
    </row>
    <row r="939" spans="1:2" x14ac:dyDescent="0.25">
      <c r="A939" s="2">
        <v>934</v>
      </c>
      <c r="B939" s="3" t="str">
        <f>"00040119"</f>
        <v>00040119</v>
      </c>
    </row>
    <row r="940" spans="1:2" x14ac:dyDescent="0.25">
      <c r="A940" s="2">
        <v>935</v>
      </c>
      <c r="B940" s="3" t="str">
        <f>"00040149"</f>
        <v>00040149</v>
      </c>
    </row>
    <row r="941" spans="1:2" x14ac:dyDescent="0.25">
      <c r="A941" s="2">
        <v>936</v>
      </c>
      <c r="B941" s="3" t="str">
        <f>"00040156"</f>
        <v>00040156</v>
      </c>
    </row>
    <row r="942" spans="1:2" x14ac:dyDescent="0.25">
      <c r="A942" s="2">
        <v>937</v>
      </c>
      <c r="B942" s="3" t="str">
        <f>"00040205"</f>
        <v>00040205</v>
      </c>
    </row>
    <row r="943" spans="1:2" x14ac:dyDescent="0.25">
      <c r="A943" s="2">
        <v>938</v>
      </c>
      <c r="B943" s="3" t="str">
        <f>"00040235"</f>
        <v>00040235</v>
      </c>
    </row>
    <row r="944" spans="1:2" x14ac:dyDescent="0.25">
      <c r="A944" s="2">
        <v>939</v>
      </c>
      <c r="B944" s="3" t="str">
        <f>"00040242"</f>
        <v>00040242</v>
      </c>
    </row>
    <row r="945" spans="1:2" x14ac:dyDescent="0.25">
      <c r="A945" s="2">
        <v>940</v>
      </c>
      <c r="B945" s="3" t="str">
        <f>"00040261"</f>
        <v>00040261</v>
      </c>
    </row>
    <row r="946" spans="1:2" x14ac:dyDescent="0.25">
      <c r="A946" s="2">
        <v>941</v>
      </c>
      <c r="B946" s="3" t="str">
        <f>"00040322"</f>
        <v>00040322</v>
      </c>
    </row>
    <row r="947" spans="1:2" x14ac:dyDescent="0.25">
      <c r="A947" s="2">
        <v>942</v>
      </c>
      <c r="B947" s="3" t="str">
        <f>"00040331"</f>
        <v>00040331</v>
      </c>
    </row>
    <row r="948" spans="1:2" x14ac:dyDescent="0.25">
      <c r="A948" s="2">
        <v>943</v>
      </c>
      <c r="B948" s="3" t="str">
        <f>"00040535"</f>
        <v>00040535</v>
      </c>
    </row>
    <row r="949" spans="1:2" x14ac:dyDescent="0.25">
      <c r="A949" s="2">
        <v>944</v>
      </c>
      <c r="B949" s="3" t="str">
        <f>"00040578"</f>
        <v>00040578</v>
      </c>
    </row>
    <row r="950" spans="1:2" x14ac:dyDescent="0.25">
      <c r="A950" s="2">
        <v>945</v>
      </c>
      <c r="B950" s="3" t="str">
        <f>"00040579"</f>
        <v>00040579</v>
      </c>
    </row>
    <row r="951" spans="1:2" x14ac:dyDescent="0.25">
      <c r="A951" s="2">
        <v>946</v>
      </c>
      <c r="B951" s="3" t="str">
        <f>"00040612"</f>
        <v>00040612</v>
      </c>
    </row>
    <row r="952" spans="1:2" x14ac:dyDescent="0.25">
      <c r="A952" s="2">
        <v>947</v>
      </c>
      <c r="B952" s="3" t="str">
        <f>"00040694"</f>
        <v>00040694</v>
      </c>
    </row>
    <row r="953" spans="1:2" x14ac:dyDescent="0.25">
      <c r="A953" s="2">
        <v>948</v>
      </c>
      <c r="B953" s="3" t="str">
        <f>"00040755"</f>
        <v>00040755</v>
      </c>
    </row>
    <row r="954" spans="1:2" x14ac:dyDescent="0.25">
      <c r="A954" s="2">
        <v>949</v>
      </c>
      <c r="B954" s="3" t="str">
        <f>"00040794"</f>
        <v>00040794</v>
      </c>
    </row>
    <row r="955" spans="1:2" x14ac:dyDescent="0.25">
      <c r="A955" s="2">
        <v>950</v>
      </c>
      <c r="B955" s="3" t="str">
        <f>"00040819"</f>
        <v>00040819</v>
      </c>
    </row>
    <row r="956" spans="1:2" x14ac:dyDescent="0.25">
      <c r="A956" s="2">
        <v>951</v>
      </c>
      <c r="B956" s="3" t="str">
        <f>"00040826"</f>
        <v>00040826</v>
      </c>
    </row>
    <row r="957" spans="1:2" x14ac:dyDescent="0.25">
      <c r="A957" s="2">
        <v>952</v>
      </c>
      <c r="B957" s="3" t="str">
        <f>"00040842"</f>
        <v>00040842</v>
      </c>
    </row>
    <row r="958" spans="1:2" x14ac:dyDescent="0.25">
      <c r="A958" s="2">
        <v>953</v>
      </c>
      <c r="B958" s="3" t="str">
        <f>"00040859"</f>
        <v>00040859</v>
      </c>
    </row>
    <row r="959" spans="1:2" x14ac:dyDescent="0.25">
      <c r="A959" s="2">
        <v>954</v>
      </c>
      <c r="B959" s="3" t="str">
        <f>"00040939"</f>
        <v>00040939</v>
      </c>
    </row>
    <row r="960" spans="1:2" x14ac:dyDescent="0.25">
      <c r="A960" s="2">
        <v>955</v>
      </c>
      <c r="B960" s="3" t="str">
        <f>"00040960"</f>
        <v>00040960</v>
      </c>
    </row>
    <row r="961" spans="1:2" x14ac:dyDescent="0.25">
      <c r="A961" s="2">
        <v>956</v>
      </c>
      <c r="B961" s="3" t="str">
        <f>"00041003"</f>
        <v>00041003</v>
      </c>
    </row>
    <row r="962" spans="1:2" x14ac:dyDescent="0.25">
      <c r="A962" s="2">
        <v>957</v>
      </c>
      <c r="B962" s="3" t="str">
        <f>"00041011"</f>
        <v>00041011</v>
      </c>
    </row>
    <row r="963" spans="1:2" x14ac:dyDescent="0.25">
      <c r="A963" s="2">
        <v>958</v>
      </c>
      <c r="B963" s="3" t="str">
        <f>"00041084"</f>
        <v>00041084</v>
      </c>
    </row>
    <row r="964" spans="1:2" x14ac:dyDescent="0.25">
      <c r="A964" s="2">
        <v>959</v>
      </c>
      <c r="B964" s="3" t="str">
        <f>"00041311"</f>
        <v>00041311</v>
      </c>
    </row>
    <row r="965" spans="1:2" x14ac:dyDescent="0.25">
      <c r="A965" s="2">
        <v>960</v>
      </c>
      <c r="B965" s="3" t="str">
        <f>"00041402"</f>
        <v>00041402</v>
      </c>
    </row>
    <row r="966" spans="1:2" x14ac:dyDescent="0.25">
      <c r="A966" s="2">
        <v>961</v>
      </c>
      <c r="B966" s="3" t="str">
        <f>"00041454"</f>
        <v>00041454</v>
      </c>
    </row>
    <row r="967" spans="1:2" x14ac:dyDescent="0.25">
      <c r="A967" s="2">
        <v>962</v>
      </c>
      <c r="B967" s="3" t="str">
        <f>"00041464"</f>
        <v>00041464</v>
      </c>
    </row>
    <row r="968" spans="1:2" x14ac:dyDescent="0.25">
      <c r="A968" s="2">
        <v>963</v>
      </c>
      <c r="B968" s="3" t="str">
        <f>"00041482"</f>
        <v>00041482</v>
      </c>
    </row>
    <row r="969" spans="1:2" x14ac:dyDescent="0.25">
      <c r="A969" s="2">
        <v>964</v>
      </c>
      <c r="B969" s="3" t="str">
        <f>"00041540"</f>
        <v>00041540</v>
      </c>
    </row>
    <row r="970" spans="1:2" x14ac:dyDescent="0.25">
      <c r="A970" s="2">
        <v>965</v>
      </c>
      <c r="B970" s="3" t="str">
        <f>"00041563"</f>
        <v>00041563</v>
      </c>
    </row>
    <row r="971" spans="1:2" x14ac:dyDescent="0.25">
      <c r="A971" s="2">
        <v>966</v>
      </c>
      <c r="B971" s="3" t="str">
        <f>"00041582"</f>
        <v>00041582</v>
      </c>
    </row>
    <row r="972" spans="1:2" x14ac:dyDescent="0.25">
      <c r="A972" s="2">
        <v>967</v>
      </c>
      <c r="B972" s="3" t="str">
        <f>"00041593"</f>
        <v>00041593</v>
      </c>
    </row>
    <row r="973" spans="1:2" x14ac:dyDescent="0.25">
      <c r="A973" s="2">
        <v>968</v>
      </c>
      <c r="B973" s="3" t="str">
        <f>"00041595"</f>
        <v>00041595</v>
      </c>
    </row>
    <row r="974" spans="1:2" x14ac:dyDescent="0.25">
      <c r="A974" s="2">
        <v>969</v>
      </c>
      <c r="B974" s="3" t="str">
        <f>"00041604"</f>
        <v>00041604</v>
      </c>
    </row>
    <row r="975" spans="1:2" x14ac:dyDescent="0.25">
      <c r="A975" s="2">
        <v>970</v>
      </c>
      <c r="B975" s="3" t="str">
        <f>"00041642"</f>
        <v>00041642</v>
      </c>
    </row>
    <row r="976" spans="1:2" x14ac:dyDescent="0.25">
      <c r="A976" s="2">
        <v>971</v>
      </c>
      <c r="B976" s="3" t="str">
        <f>"00041772"</f>
        <v>00041772</v>
      </c>
    </row>
    <row r="977" spans="1:2" x14ac:dyDescent="0.25">
      <c r="A977" s="2">
        <v>972</v>
      </c>
      <c r="B977" s="3" t="str">
        <f>"00041820"</f>
        <v>00041820</v>
      </c>
    </row>
    <row r="978" spans="1:2" x14ac:dyDescent="0.25">
      <c r="A978" s="2">
        <v>973</v>
      </c>
      <c r="B978" s="3" t="str">
        <f>"00041961"</f>
        <v>00041961</v>
      </c>
    </row>
    <row r="979" spans="1:2" x14ac:dyDescent="0.25">
      <c r="A979" s="2">
        <v>974</v>
      </c>
      <c r="B979" s="3" t="str">
        <f>"00042059"</f>
        <v>00042059</v>
      </c>
    </row>
    <row r="980" spans="1:2" x14ac:dyDescent="0.25">
      <c r="A980" s="2">
        <v>975</v>
      </c>
      <c r="B980" s="3" t="str">
        <f>"00042060"</f>
        <v>00042060</v>
      </c>
    </row>
    <row r="981" spans="1:2" x14ac:dyDescent="0.25">
      <c r="A981" s="2">
        <v>976</v>
      </c>
      <c r="B981" s="3" t="str">
        <f>"00042073"</f>
        <v>00042073</v>
      </c>
    </row>
    <row r="982" spans="1:2" x14ac:dyDescent="0.25">
      <c r="A982" s="2">
        <v>977</v>
      </c>
      <c r="B982" s="3" t="str">
        <f>"00042076"</f>
        <v>00042076</v>
      </c>
    </row>
    <row r="983" spans="1:2" x14ac:dyDescent="0.25">
      <c r="A983" s="2">
        <v>978</v>
      </c>
      <c r="B983" s="3" t="str">
        <f>"00042092"</f>
        <v>00042092</v>
      </c>
    </row>
    <row r="984" spans="1:2" x14ac:dyDescent="0.25">
      <c r="A984" s="2">
        <v>979</v>
      </c>
      <c r="B984" s="3" t="str">
        <f>"00042169"</f>
        <v>00042169</v>
      </c>
    </row>
    <row r="985" spans="1:2" x14ac:dyDescent="0.25">
      <c r="A985" s="2">
        <v>980</v>
      </c>
      <c r="B985" s="3" t="str">
        <f>"00042174"</f>
        <v>00042174</v>
      </c>
    </row>
    <row r="986" spans="1:2" x14ac:dyDescent="0.25">
      <c r="A986" s="2">
        <v>981</v>
      </c>
      <c r="B986" s="3" t="str">
        <f>"00042237"</f>
        <v>00042237</v>
      </c>
    </row>
    <row r="987" spans="1:2" x14ac:dyDescent="0.25">
      <c r="A987" s="2">
        <v>982</v>
      </c>
      <c r="B987" s="3" t="str">
        <f>"00042373"</f>
        <v>00042373</v>
      </c>
    </row>
    <row r="988" spans="1:2" x14ac:dyDescent="0.25">
      <c r="A988" s="2">
        <v>983</v>
      </c>
      <c r="B988" s="3" t="str">
        <f>"00042406"</f>
        <v>00042406</v>
      </c>
    </row>
    <row r="989" spans="1:2" x14ac:dyDescent="0.25">
      <c r="A989" s="2">
        <v>984</v>
      </c>
      <c r="B989" s="3" t="str">
        <f>"00042411"</f>
        <v>00042411</v>
      </c>
    </row>
    <row r="990" spans="1:2" x14ac:dyDescent="0.25">
      <c r="A990" s="2">
        <v>985</v>
      </c>
      <c r="B990" s="3" t="str">
        <f>"00042439"</f>
        <v>00042439</v>
      </c>
    </row>
    <row r="991" spans="1:2" x14ac:dyDescent="0.25">
      <c r="A991" s="2">
        <v>986</v>
      </c>
      <c r="B991" s="3" t="str">
        <f>"00042493"</f>
        <v>00042493</v>
      </c>
    </row>
    <row r="992" spans="1:2" x14ac:dyDescent="0.25">
      <c r="A992" s="2">
        <v>987</v>
      </c>
      <c r="B992" s="3" t="str">
        <f>"00042516"</f>
        <v>00042516</v>
      </c>
    </row>
    <row r="993" spans="1:2" x14ac:dyDescent="0.25">
      <c r="A993" s="2">
        <v>988</v>
      </c>
      <c r="B993" s="3" t="str">
        <f>"00042541"</f>
        <v>00042541</v>
      </c>
    </row>
    <row r="994" spans="1:2" x14ac:dyDescent="0.25">
      <c r="A994" s="2">
        <v>989</v>
      </c>
      <c r="B994" s="3" t="str">
        <f>"00042638"</f>
        <v>00042638</v>
      </c>
    </row>
    <row r="995" spans="1:2" x14ac:dyDescent="0.25">
      <c r="A995" s="2">
        <v>990</v>
      </c>
      <c r="B995" s="3" t="str">
        <f>"00042833"</f>
        <v>00042833</v>
      </c>
    </row>
    <row r="996" spans="1:2" x14ac:dyDescent="0.25">
      <c r="A996" s="2">
        <v>991</v>
      </c>
      <c r="B996" s="3" t="str">
        <f>"00042969"</f>
        <v>00042969</v>
      </c>
    </row>
    <row r="997" spans="1:2" x14ac:dyDescent="0.25">
      <c r="A997" s="2">
        <v>992</v>
      </c>
      <c r="B997" s="3" t="str">
        <f>"00043075"</f>
        <v>00043075</v>
      </c>
    </row>
    <row r="998" spans="1:2" x14ac:dyDescent="0.25">
      <c r="A998" s="2">
        <v>993</v>
      </c>
      <c r="B998" s="3" t="str">
        <f>"00043102"</f>
        <v>00043102</v>
      </c>
    </row>
    <row r="999" spans="1:2" x14ac:dyDescent="0.25">
      <c r="A999" s="2">
        <v>994</v>
      </c>
      <c r="B999" s="3" t="str">
        <f>"00043211"</f>
        <v>00043211</v>
      </c>
    </row>
    <row r="1000" spans="1:2" x14ac:dyDescent="0.25">
      <c r="A1000" s="2">
        <v>995</v>
      </c>
      <c r="B1000" s="3" t="str">
        <f>"00043217"</f>
        <v>00043217</v>
      </c>
    </row>
    <row r="1001" spans="1:2" x14ac:dyDescent="0.25">
      <c r="A1001" s="2">
        <v>996</v>
      </c>
      <c r="B1001" s="3" t="str">
        <f>"00043239"</f>
        <v>00043239</v>
      </c>
    </row>
    <row r="1002" spans="1:2" x14ac:dyDescent="0.25">
      <c r="A1002" s="2">
        <v>997</v>
      </c>
      <c r="B1002" s="3" t="str">
        <f>"00043353"</f>
        <v>00043353</v>
      </c>
    </row>
    <row r="1003" spans="1:2" x14ac:dyDescent="0.25">
      <c r="A1003" s="2">
        <v>998</v>
      </c>
      <c r="B1003" s="3" t="str">
        <f>"00043452"</f>
        <v>00043452</v>
      </c>
    </row>
    <row r="1004" spans="1:2" x14ac:dyDescent="0.25">
      <c r="A1004" s="2">
        <v>999</v>
      </c>
      <c r="B1004" s="3" t="str">
        <f>"00043467"</f>
        <v>00043467</v>
      </c>
    </row>
    <row r="1005" spans="1:2" x14ac:dyDescent="0.25">
      <c r="A1005" s="2">
        <v>1000</v>
      </c>
      <c r="B1005" s="3" t="str">
        <f>"00043509"</f>
        <v>00043509</v>
      </c>
    </row>
    <row r="1006" spans="1:2" x14ac:dyDescent="0.25">
      <c r="A1006" s="2">
        <v>1001</v>
      </c>
      <c r="B1006" s="3" t="str">
        <f>"00043516"</f>
        <v>00043516</v>
      </c>
    </row>
    <row r="1007" spans="1:2" x14ac:dyDescent="0.25">
      <c r="A1007" s="2">
        <v>1002</v>
      </c>
      <c r="B1007" s="3" t="str">
        <f>"00043569"</f>
        <v>00043569</v>
      </c>
    </row>
    <row r="1008" spans="1:2" x14ac:dyDescent="0.25">
      <c r="A1008" s="2">
        <v>1003</v>
      </c>
      <c r="B1008" s="3" t="str">
        <f>"00043608"</f>
        <v>00043608</v>
      </c>
    </row>
    <row r="1009" spans="1:2" x14ac:dyDescent="0.25">
      <c r="A1009" s="2">
        <v>1004</v>
      </c>
      <c r="B1009" s="3" t="str">
        <f>"00043636"</f>
        <v>00043636</v>
      </c>
    </row>
    <row r="1010" spans="1:2" x14ac:dyDescent="0.25">
      <c r="A1010" s="2">
        <v>1005</v>
      </c>
      <c r="B1010" s="3" t="str">
        <f>"00043656"</f>
        <v>00043656</v>
      </c>
    </row>
    <row r="1011" spans="1:2" x14ac:dyDescent="0.25">
      <c r="A1011" s="2">
        <v>1006</v>
      </c>
      <c r="B1011" s="3" t="str">
        <f>"00043672"</f>
        <v>00043672</v>
      </c>
    </row>
    <row r="1012" spans="1:2" x14ac:dyDescent="0.25">
      <c r="A1012" s="2">
        <v>1007</v>
      </c>
      <c r="B1012" s="3" t="str">
        <f>"00043686"</f>
        <v>00043686</v>
      </c>
    </row>
    <row r="1013" spans="1:2" x14ac:dyDescent="0.25">
      <c r="A1013" s="2">
        <v>1008</v>
      </c>
      <c r="B1013" s="3" t="str">
        <f>"00043709"</f>
        <v>00043709</v>
      </c>
    </row>
    <row r="1014" spans="1:2" x14ac:dyDescent="0.25">
      <c r="A1014" s="2">
        <v>1009</v>
      </c>
      <c r="B1014" s="3" t="str">
        <f>"00043915"</f>
        <v>00043915</v>
      </c>
    </row>
    <row r="1015" spans="1:2" x14ac:dyDescent="0.25">
      <c r="A1015" s="2">
        <v>1010</v>
      </c>
      <c r="B1015" s="3" t="str">
        <f>"00043947"</f>
        <v>00043947</v>
      </c>
    </row>
    <row r="1016" spans="1:2" x14ac:dyDescent="0.25">
      <c r="A1016" s="2">
        <v>1011</v>
      </c>
      <c r="B1016" s="3" t="str">
        <f>"00043962"</f>
        <v>00043962</v>
      </c>
    </row>
    <row r="1017" spans="1:2" x14ac:dyDescent="0.25">
      <c r="A1017" s="2">
        <v>1012</v>
      </c>
      <c r="B1017" s="3" t="str">
        <f>"00044004"</f>
        <v>00044004</v>
      </c>
    </row>
    <row r="1018" spans="1:2" x14ac:dyDescent="0.25">
      <c r="A1018" s="2">
        <v>1013</v>
      </c>
      <c r="B1018" s="3" t="str">
        <f>"00044090"</f>
        <v>00044090</v>
      </c>
    </row>
    <row r="1019" spans="1:2" x14ac:dyDescent="0.25">
      <c r="A1019" s="2">
        <v>1014</v>
      </c>
      <c r="B1019" s="3" t="str">
        <f>"00044238"</f>
        <v>00044238</v>
      </c>
    </row>
    <row r="1020" spans="1:2" x14ac:dyDescent="0.25">
      <c r="A1020" s="2">
        <v>1015</v>
      </c>
      <c r="B1020" s="3" t="str">
        <f>"00044347"</f>
        <v>00044347</v>
      </c>
    </row>
    <row r="1021" spans="1:2" x14ac:dyDescent="0.25">
      <c r="A1021" s="2">
        <v>1016</v>
      </c>
      <c r="B1021" s="3" t="str">
        <f>"00044376"</f>
        <v>00044376</v>
      </c>
    </row>
    <row r="1022" spans="1:2" x14ac:dyDescent="0.25">
      <c r="A1022" s="2">
        <v>1017</v>
      </c>
      <c r="B1022" s="3" t="str">
        <f>"00044423"</f>
        <v>00044423</v>
      </c>
    </row>
    <row r="1023" spans="1:2" x14ac:dyDescent="0.25">
      <c r="A1023" s="2">
        <v>1018</v>
      </c>
      <c r="B1023" s="3" t="str">
        <f>"00044482"</f>
        <v>00044482</v>
      </c>
    </row>
    <row r="1024" spans="1:2" x14ac:dyDescent="0.25">
      <c r="A1024" s="2">
        <v>1019</v>
      </c>
      <c r="B1024" s="3" t="str">
        <f>"00044533"</f>
        <v>00044533</v>
      </c>
    </row>
    <row r="1025" spans="1:2" x14ac:dyDescent="0.25">
      <c r="A1025" s="2">
        <v>1020</v>
      </c>
      <c r="B1025" s="3" t="str">
        <f>"00044536"</f>
        <v>00044536</v>
      </c>
    </row>
    <row r="1026" spans="1:2" x14ac:dyDescent="0.25">
      <c r="A1026" s="2">
        <v>1021</v>
      </c>
      <c r="B1026" s="3" t="str">
        <f>"00044578"</f>
        <v>00044578</v>
      </c>
    </row>
    <row r="1027" spans="1:2" x14ac:dyDescent="0.25">
      <c r="A1027" s="2">
        <v>1022</v>
      </c>
      <c r="B1027" s="3" t="str">
        <f>"00044588"</f>
        <v>00044588</v>
      </c>
    </row>
    <row r="1028" spans="1:2" x14ac:dyDescent="0.25">
      <c r="A1028" s="2">
        <v>1023</v>
      </c>
      <c r="B1028" s="3" t="str">
        <f>"00044592"</f>
        <v>00044592</v>
      </c>
    </row>
    <row r="1029" spans="1:2" x14ac:dyDescent="0.25">
      <c r="A1029" s="2">
        <v>1024</v>
      </c>
      <c r="B1029" s="3" t="str">
        <f>"00044624"</f>
        <v>00044624</v>
      </c>
    </row>
    <row r="1030" spans="1:2" x14ac:dyDescent="0.25">
      <c r="A1030" s="2">
        <v>1025</v>
      </c>
      <c r="B1030" s="3" t="str">
        <f>"00044637"</f>
        <v>00044637</v>
      </c>
    </row>
    <row r="1031" spans="1:2" x14ac:dyDescent="0.25">
      <c r="A1031" s="2">
        <v>1026</v>
      </c>
      <c r="B1031" s="3" t="str">
        <f>"00044700"</f>
        <v>00044700</v>
      </c>
    </row>
    <row r="1032" spans="1:2" x14ac:dyDescent="0.25">
      <c r="A1032" s="2">
        <v>1027</v>
      </c>
      <c r="B1032" s="3" t="str">
        <f>"00044709"</f>
        <v>00044709</v>
      </c>
    </row>
    <row r="1033" spans="1:2" x14ac:dyDescent="0.25">
      <c r="A1033" s="2">
        <v>1028</v>
      </c>
      <c r="B1033" s="3" t="str">
        <f>"00044767"</f>
        <v>00044767</v>
      </c>
    </row>
    <row r="1034" spans="1:2" x14ac:dyDescent="0.25">
      <c r="A1034" s="2">
        <v>1029</v>
      </c>
      <c r="B1034" s="3" t="str">
        <f>"00044781"</f>
        <v>00044781</v>
      </c>
    </row>
    <row r="1035" spans="1:2" x14ac:dyDescent="0.25">
      <c r="A1035" s="2">
        <v>1030</v>
      </c>
      <c r="B1035" s="3" t="str">
        <f>"00044823"</f>
        <v>00044823</v>
      </c>
    </row>
    <row r="1036" spans="1:2" x14ac:dyDescent="0.25">
      <c r="A1036" s="2">
        <v>1031</v>
      </c>
      <c r="B1036" s="3" t="str">
        <f>"00044827"</f>
        <v>00044827</v>
      </c>
    </row>
    <row r="1037" spans="1:2" x14ac:dyDescent="0.25">
      <c r="A1037" s="2">
        <v>1032</v>
      </c>
      <c r="B1037" s="3" t="str">
        <f>"00044881"</f>
        <v>00044881</v>
      </c>
    </row>
    <row r="1038" spans="1:2" x14ac:dyDescent="0.25">
      <c r="A1038" s="2">
        <v>1033</v>
      </c>
      <c r="B1038" s="3" t="str">
        <f>"00044887"</f>
        <v>00044887</v>
      </c>
    </row>
    <row r="1039" spans="1:2" x14ac:dyDescent="0.25">
      <c r="A1039" s="2">
        <v>1034</v>
      </c>
      <c r="B1039" s="3" t="str">
        <f>"00044890"</f>
        <v>00044890</v>
      </c>
    </row>
    <row r="1040" spans="1:2" x14ac:dyDescent="0.25">
      <c r="A1040" s="2">
        <v>1035</v>
      </c>
      <c r="B1040" s="3" t="str">
        <f>"00044915"</f>
        <v>00044915</v>
      </c>
    </row>
    <row r="1041" spans="1:2" x14ac:dyDescent="0.25">
      <c r="A1041" s="2">
        <v>1036</v>
      </c>
      <c r="B1041" s="3" t="str">
        <f>"00044944"</f>
        <v>00044944</v>
      </c>
    </row>
    <row r="1042" spans="1:2" x14ac:dyDescent="0.25">
      <c r="A1042" s="2">
        <v>1037</v>
      </c>
      <c r="B1042" s="3" t="str">
        <f>"00045057"</f>
        <v>00045057</v>
      </c>
    </row>
    <row r="1043" spans="1:2" x14ac:dyDescent="0.25">
      <c r="A1043" s="2">
        <v>1038</v>
      </c>
      <c r="B1043" s="3" t="str">
        <f>"00045120"</f>
        <v>00045120</v>
      </c>
    </row>
    <row r="1044" spans="1:2" x14ac:dyDescent="0.25">
      <c r="A1044" s="2">
        <v>1039</v>
      </c>
      <c r="B1044" s="3" t="str">
        <f>"00045163"</f>
        <v>00045163</v>
      </c>
    </row>
    <row r="1045" spans="1:2" x14ac:dyDescent="0.25">
      <c r="A1045" s="2">
        <v>1040</v>
      </c>
      <c r="B1045" s="3" t="str">
        <f>"00045211"</f>
        <v>00045211</v>
      </c>
    </row>
    <row r="1046" spans="1:2" x14ac:dyDescent="0.25">
      <c r="A1046" s="2">
        <v>1041</v>
      </c>
      <c r="B1046" s="3" t="str">
        <f>"00045237"</f>
        <v>00045237</v>
      </c>
    </row>
    <row r="1047" spans="1:2" x14ac:dyDescent="0.25">
      <c r="A1047" s="2">
        <v>1042</v>
      </c>
      <c r="B1047" s="3" t="str">
        <f>"00045401"</f>
        <v>00045401</v>
      </c>
    </row>
    <row r="1048" spans="1:2" x14ac:dyDescent="0.25">
      <c r="A1048" s="2">
        <v>1043</v>
      </c>
      <c r="B1048" s="3" t="str">
        <f>"00045420"</f>
        <v>00045420</v>
      </c>
    </row>
    <row r="1049" spans="1:2" x14ac:dyDescent="0.25">
      <c r="A1049" s="2">
        <v>1044</v>
      </c>
      <c r="B1049" s="3" t="str">
        <f>"00045465"</f>
        <v>00045465</v>
      </c>
    </row>
    <row r="1050" spans="1:2" x14ac:dyDescent="0.25">
      <c r="A1050" s="2">
        <v>1045</v>
      </c>
      <c r="B1050" s="3" t="str">
        <f>"00045553"</f>
        <v>00045553</v>
      </c>
    </row>
    <row r="1051" spans="1:2" x14ac:dyDescent="0.25">
      <c r="A1051" s="2">
        <v>1046</v>
      </c>
      <c r="B1051" s="3" t="str">
        <f>"00045618"</f>
        <v>00045618</v>
      </c>
    </row>
    <row r="1052" spans="1:2" x14ac:dyDescent="0.25">
      <c r="A1052" s="2">
        <v>1047</v>
      </c>
      <c r="B1052" s="3" t="str">
        <f>"00045744"</f>
        <v>00045744</v>
      </c>
    </row>
    <row r="1053" spans="1:2" x14ac:dyDescent="0.25">
      <c r="A1053" s="2">
        <v>1048</v>
      </c>
      <c r="B1053" s="3" t="str">
        <f>"00045749"</f>
        <v>00045749</v>
      </c>
    </row>
    <row r="1054" spans="1:2" x14ac:dyDescent="0.25">
      <c r="A1054" s="2">
        <v>1049</v>
      </c>
      <c r="B1054" s="3" t="str">
        <f>"00045753"</f>
        <v>00045753</v>
      </c>
    </row>
    <row r="1055" spans="1:2" x14ac:dyDescent="0.25">
      <c r="A1055" s="2">
        <v>1050</v>
      </c>
      <c r="B1055" s="3" t="str">
        <f>"00045805"</f>
        <v>00045805</v>
      </c>
    </row>
    <row r="1056" spans="1:2" x14ac:dyDescent="0.25">
      <c r="A1056" s="2">
        <v>1051</v>
      </c>
      <c r="B1056" s="3" t="str">
        <f>"00045816"</f>
        <v>00045816</v>
      </c>
    </row>
    <row r="1057" spans="1:2" x14ac:dyDescent="0.25">
      <c r="A1057" s="2">
        <v>1052</v>
      </c>
      <c r="B1057" s="3" t="str">
        <f>"00045872"</f>
        <v>00045872</v>
      </c>
    </row>
    <row r="1058" spans="1:2" x14ac:dyDescent="0.25">
      <c r="A1058" s="2">
        <v>1053</v>
      </c>
      <c r="B1058" s="3" t="str">
        <f>"00045891"</f>
        <v>00045891</v>
      </c>
    </row>
    <row r="1059" spans="1:2" x14ac:dyDescent="0.25">
      <c r="A1059" s="2">
        <v>1054</v>
      </c>
      <c r="B1059" s="3" t="str">
        <f>"00045920"</f>
        <v>00045920</v>
      </c>
    </row>
    <row r="1060" spans="1:2" x14ac:dyDescent="0.25">
      <c r="A1060" s="2">
        <v>1055</v>
      </c>
      <c r="B1060" s="3" t="str">
        <f>"00045931"</f>
        <v>00045931</v>
      </c>
    </row>
    <row r="1061" spans="1:2" x14ac:dyDescent="0.25">
      <c r="A1061" s="2">
        <v>1056</v>
      </c>
      <c r="B1061" s="3" t="str">
        <f>"00046033"</f>
        <v>00046033</v>
      </c>
    </row>
    <row r="1062" spans="1:2" x14ac:dyDescent="0.25">
      <c r="A1062" s="2">
        <v>1057</v>
      </c>
      <c r="B1062" s="3" t="str">
        <f>"00046040"</f>
        <v>00046040</v>
      </c>
    </row>
    <row r="1063" spans="1:2" x14ac:dyDescent="0.25">
      <c r="A1063" s="2">
        <v>1058</v>
      </c>
      <c r="B1063" s="3" t="str">
        <f>"00046079"</f>
        <v>00046079</v>
      </c>
    </row>
    <row r="1064" spans="1:2" x14ac:dyDescent="0.25">
      <c r="A1064" s="2">
        <v>1059</v>
      </c>
      <c r="B1064" s="3" t="str">
        <f>"00046229"</f>
        <v>00046229</v>
      </c>
    </row>
    <row r="1065" spans="1:2" x14ac:dyDescent="0.25">
      <c r="A1065" s="2">
        <v>1060</v>
      </c>
      <c r="B1065" s="3" t="str">
        <f>"00046234"</f>
        <v>00046234</v>
      </c>
    </row>
    <row r="1066" spans="1:2" x14ac:dyDescent="0.25">
      <c r="A1066" s="2">
        <v>1061</v>
      </c>
      <c r="B1066" s="3" t="str">
        <f>"00046292"</f>
        <v>00046292</v>
      </c>
    </row>
    <row r="1067" spans="1:2" x14ac:dyDescent="0.25">
      <c r="A1067" s="2">
        <v>1062</v>
      </c>
      <c r="B1067" s="3" t="str">
        <f>"00046340"</f>
        <v>00046340</v>
      </c>
    </row>
    <row r="1068" spans="1:2" x14ac:dyDescent="0.25">
      <c r="A1068" s="2">
        <v>1063</v>
      </c>
      <c r="B1068" s="3" t="str">
        <f>"00046355"</f>
        <v>00046355</v>
      </c>
    </row>
    <row r="1069" spans="1:2" x14ac:dyDescent="0.25">
      <c r="A1069" s="2">
        <v>1064</v>
      </c>
      <c r="B1069" s="3" t="str">
        <f>"00046380"</f>
        <v>00046380</v>
      </c>
    </row>
    <row r="1070" spans="1:2" x14ac:dyDescent="0.25">
      <c r="A1070" s="2">
        <v>1065</v>
      </c>
      <c r="B1070" s="3" t="str">
        <f>"00046441"</f>
        <v>00046441</v>
      </c>
    </row>
    <row r="1071" spans="1:2" x14ac:dyDescent="0.25">
      <c r="A1071" s="2">
        <v>1066</v>
      </c>
      <c r="B1071" s="3" t="str">
        <f>"00046445"</f>
        <v>00046445</v>
      </c>
    </row>
    <row r="1072" spans="1:2" x14ac:dyDescent="0.25">
      <c r="A1072" s="2">
        <v>1067</v>
      </c>
      <c r="B1072" s="3" t="str">
        <f>"00046463"</f>
        <v>00046463</v>
      </c>
    </row>
    <row r="1073" spans="1:2" x14ac:dyDescent="0.25">
      <c r="A1073" s="2">
        <v>1068</v>
      </c>
      <c r="B1073" s="3" t="str">
        <f>"00046494"</f>
        <v>00046494</v>
      </c>
    </row>
    <row r="1074" spans="1:2" x14ac:dyDescent="0.25">
      <c r="A1074" s="2">
        <v>1069</v>
      </c>
      <c r="B1074" s="3" t="str">
        <f>"00046613"</f>
        <v>00046613</v>
      </c>
    </row>
    <row r="1075" spans="1:2" x14ac:dyDescent="0.25">
      <c r="A1075" s="2">
        <v>1070</v>
      </c>
      <c r="B1075" s="3" t="str">
        <f>"00046623"</f>
        <v>00046623</v>
      </c>
    </row>
    <row r="1076" spans="1:2" x14ac:dyDescent="0.25">
      <c r="A1076" s="2">
        <v>1071</v>
      </c>
      <c r="B1076" s="3" t="str">
        <f>"00046804"</f>
        <v>00046804</v>
      </c>
    </row>
    <row r="1077" spans="1:2" x14ac:dyDescent="0.25">
      <c r="A1077" s="2">
        <v>1072</v>
      </c>
      <c r="B1077" s="3" t="str">
        <f>"00046884"</f>
        <v>00046884</v>
      </c>
    </row>
    <row r="1078" spans="1:2" x14ac:dyDescent="0.25">
      <c r="A1078" s="2">
        <v>1073</v>
      </c>
      <c r="B1078" s="3" t="str">
        <f>"00046889"</f>
        <v>00046889</v>
      </c>
    </row>
    <row r="1079" spans="1:2" x14ac:dyDescent="0.25">
      <c r="A1079" s="2">
        <v>1074</v>
      </c>
      <c r="B1079" s="3" t="str">
        <f>"00046890"</f>
        <v>00046890</v>
      </c>
    </row>
    <row r="1080" spans="1:2" x14ac:dyDescent="0.25">
      <c r="A1080" s="2">
        <v>1075</v>
      </c>
      <c r="B1080" s="3" t="str">
        <f>"00046903"</f>
        <v>00046903</v>
      </c>
    </row>
    <row r="1081" spans="1:2" x14ac:dyDescent="0.25">
      <c r="A1081" s="2">
        <v>1076</v>
      </c>
      <c r="B1081" s="3" t="str">
        <f>"00046917"</f>
        <v>00046917</v>
      </c>
    </row>
    <row r="1082" spans="1:2" x14ac:dyDescent="0.25">
      <c r="A1082" s="2">
        <v>1077</v>
      </c>
      <c r="B1082" s="3" t="str">
        <f>"00047019"</f>
        <v>00047019</v>
      </c>
    </row>
    <row r="1083" spans="1:2" x14ac:dyDescent="0.25">
      <c r="A1083" s="2">
        <v>1078</v>
      </c>
      <c r="B1083" s="3" t="str">
        <f>"00047031"</f>
        <v>00047031</v>
      </c>
    </row>
    <row r="1084" spans="1:2" x14ac:dyDescent="0.25">
      <c r="A1084" s="2">
        <v>1079</v>
      </c>
      <c r="B1084" s="3" t="str">
        <f>"00047042"</f>
        <v>00047042</v>
      </c>
    </row>
    <row r="1085" spans="1:2" x14ac:dyDescent="0.25">
      <c r="A1085" s="2">
        <v>1080</v>
      </c>
      <c r="B1085" s="3" t="str">
        <f>"00047043"</f>
        <v>00047043</v>
      </c>
    </row>
    <row r="1086" spans="1:2" x14ac:dyDescent="0.25">
      <c r="A1086" s="2">
        <v>1081</v>
      </c>
      <c r="B1086" s="3" t="str">
        <f>"00047102"</f>
        <v>00047102</v>
      </c>
    </row>
    <row r="1087" spans="1:2" x14ac:dyDescent="0.25">
      <c r="A1087" s="2">
        <v>1082</v>
      </c>
      <c r="B1087" s="3" t="str">
        <f>"00047129"</f>
        <v>00047129</v>
      </c>
    </row>
    <row r="1088" spans="1:2" x14ac:dyDescent="0.25">
      <c r="A1088" s="2">
        <v>1083</v>
      </c>
      <c r="B1088" s="3" t="str">
        <f>"00047146"</f>
        <v>00047146</v>
      </c>
    </row>
    <row r="1089" spans="1:2" x14ac:dyDescent="0.25">
      <c r="A1089" s="2">
        <v>1084</v>
      </c>
      <c r="B1089" s="3" t="str">
        <f>"00047468"</f>
        <v>00047468</v>
      </c>
    </row>
    <row r="1090" spans="1:2" x14ac:dyDescent="0.25">
      <c r="A1090" s="2">
        <v>1085</v>
      </c>
      <c r="B1090" s="3" t="str">
        <f>"00047472"</f>
        <v>00047472</v>
      </c>
    </row>
    <row r="1091" spans="1:2" x14ac:dyDescent="0.25">
      <c r="A1091" s="2">
        <v>1086</v>
      </c>
      <c r="B1091" s="3" t="str">
        <f>"00047476"</f>
        <v>00047476</v>
      </c>
    </row>
    <row r="1092" spans="1:2" x14ac:dyDescent="0.25">
      <c r="A1092" s="2">
        <v>1087</v>
      </c>
      <c r="B1092" s="3" t="str">
        <f>"00047483"</f>
        <v>00047483</v>
      </c>
    </row>
    <row r="1093" spans="1:2" x14ac:dyDescent="0.25">
      <c r="A1093" s="2">
        <v>1088</v>
      </c>
      <c r="B1093" s="3" t="str">
        <f>"00047484"</f>
        <v>00047484</v>
      </c>
    </row>
    <row r="1094" spans="1:2" x14ac:dyDescent="0.25">
      <c r="A1094" s="2">
        <v>1089</v>
      </c>
      <c r="B1094" s="3" t="str">
        <f>"00047498"</f>
        <v>00047498</v>
      </c>
    </row>
    <row r="1095" spans="1:2" x14ac:dyDescent="0.25">
      <c r="A1095" s="2">
        <v>1090</v>
      </c>
      <c r="B1095" s="3" t="str">
        <f>"00047592"</f>
        <v>00047592</v>
      </c>
    </row>
    <row r="1096" spans="1:2" x14ac:dyDescent="0.25">
      <c r="A1096" s="2">
        <v>1091</v>
      </c>
      <c r="B1096" s="3" t="str">
        <f>"00047718"</f>
        <v>00047718</v>
      </c>
    </row>
    <row r="1097" spans="1:2" x14ac:dyDescent="0.25">
      <c r="A1097" s="2">
        <v>1092</v>
      </c>
      <c r="B1097" s="3" t="str">
        <f>"00047886"</f>
        <v>00047886</v>
      </c>
    </row>
    <row r="1098" spans="1:2" x14ac:dyDescent="0.25">
      <c r="A1098" s="2">
        <v>1093</v>
      </c>
      <c r="B1098" s="3" t="str">
        <f>"00047888"</f>
        <v>00047888</v>
      </c>
    </row>
    <row r="1099" spans="1:2" x14ac:dyDescent="0.25">
      <c r="A1099" s="2">
        <v>1094</v>
      </c>
      <c r="B1099" s="3" t="str">
        <f>"00047971"</f>
        <v>00047971</v>
      </c>
    </row>
    <row r="1100" spans="1:2" x14ac:dyDescent="0.25">
      <c r="A1100" s="2">
        <v>1095</v>
      </c>
      <c r="B1100" s="3" t="str">
        <f>"00048034"</f>
        <v>00048034</v>
      </c>
    </row>
    <row r="1101" spans="1:2" x14ac:dyDescent="0.25">
      <c r="A1101" s="2">
        <v>1096</v>
      </c>
      <c r="B1101" s="3" t="str">
        <f>"00048047"</f>
        <v>00048047</v>
      </c>
    </row>
    <row r="1102" spans="1:2" x14ac:dyDescent="0.25">
      <c r="A1102" s="2">
        <v>1097</v>
      </c>
      <c r="B1102" s="3" t="str">
        <f>"00048110"</f>
        <v>00048110</v>
      </c>
    </row>
    <row r="1103" spans="1:2" x14ac:dyDescent="0.25">
      <c r="A1103" s="2">
        <v>1098</v>
      </c>
      <c r="B1103" s="3" t="str">
        <f>"00048167"</f>
        <v>00048167</v>
      </c>
    </row>
    <row r="1104" spans="1:2" x14ac:dyDescent="0.25">
      <c r="A1104" s="2">
        <v>1099</v>
      </c>
      <c r="B1104" s="3" t="str">
        <f>"00048175"</f>
        <v>00048175</v>
      </c>
    </row>
    <row r="1105" spans="1:2" x14ac:dyDescent="0.25">
      <c r="A1105" s="2">
        <v>1100</v>
      </c>
      <c r="B1105" s="3" t="str">
        <f>"00048197"</f>
        <v>00048197</v>
      </c>
    </row>
    <row r="1106" spans="1:2" x14ac:dyDescent="0.25">
      <c r="A1106" s="2">
        <v>1101</v>
      </c>
      <c r="B1106" s="3" t="str">
        <f>"00048199"</f>
        <v>00048199</v>
      </c>
    </row>
    <row r="1107" spans="1:2" x14ac:dyDescent="0.25">
      <c r="A1107" s="2">
        <v>1102</v>
      </c>
      <c r="B1107" s="3" t="str">
        <f>"00048208"</f>
        <v>00048208</v>
      </c>
    </row>
    <row r="1108" spans="1:2" x14ac:dyDescent="0.25">
      <c r="A1108" s="2">
        <v>1103</v>
      </c>
      <c r="B1108" s="3" t="str">
        <f>"00048224"</f>
        <v>00048224</v>
      </c>
    </row>
    <row r="1109" spans="1:2" x14ac:dyDescent="0.25">
      <c r="A1109" s="2">
        <v>1104</v>
      </c>
      <c r="B1109" s="3" t="str">
        <f>"00048228"</f>
        <v>00048228</v>
      </c>
    </row>
    <row r="1110" spans="1:2" x14ac:dyDescent="0.25">
      <c r="A1110" s="2">
        <v>1105</v>
      </c>
      <c r="B1110" s="3" t="str">
        <f>"00048238"</f>
        <v>00048238</v>
      </c>
    </row>
    <row r="1111" spans="1:2" x14ac:dyDescent="0.25">
      <c r="A1111" s="2">
        <v>1106</v>
      </c>
      <c r="B1111" s="3" t="str">
        <f>"00048273"</f>
        <v>00048273</v>
      </c>
    </row>
    <row r="1112" spans="1:2" x14ac:dyDescent="0.25">
      <c r="A1112" s="2">
        <v>1107</v>
      </c>
      <c r="B1112" s="3" t="str">
        <f>"00048923"</f>
        <v>00048923</v>
      </c>
    </row>
    <row r="1113" spans="1:2" x14ac:dyDescent="0.25">
      <c r="A1113" s="2">
        <v>1108</v>
      </c>
      <c r="B1113" s="3" t="str">
        <f>"00048933"</f>
        <v>00048933</v>
      </c>
    </row>
    <row r="1114" spans="1:2" x14ac:dyDescent="0.25">
      <c r="A1114" s="2">
        <v>1109</v>
      </c>
      <c r="B1114" s="3" t="str">
        <f>"00049194"</f>
        <v>00049194</v>
      </c>
    </row>
    <row r="1115" spans="1:2" x14ac:dyDescent="0.25">
      <c r="A1115" s="2">
        <v>1110</v>
      </c>
      <c r="B1115" s="3" t="str">
        <f>"00049270"</f>
        <v>00049270</v>
      </c>
    </row>
    <row r="1116" spans="1:2" x14ac:dyDescent="0.25">
      <c r="A1116" s="2">
        <v>1111</v>
      </c>
      <c r="B1116" s="3" t="str">
        <f>"00049287"</f>
        <v>00049287</v>
      </c>
    </row>
    <row r="1117" spans="1:2" x14ac:dyDescent="0.25">
      <c r="A1117" s="2">
        <v>1112</v>
      </c>
      <c r="B1117" s="3" t="str">
        <f>"00049289"</f>
        <v>00049289</v>
      </c>
    </row>
    <row r="1118" spans="1:2" x14ac:dyDescent="0.25">
      <c r="A1118" s="2">
        <v>1113</v>
      </c>
      <c r="B1118" s="3" t="str">
        <f>"00049335"</f>
        <v>00049335</v>
      </c>
    </row>
    <row r="1119" spans="1:2" x14ac:dyDescent="0.25">
      <c r="A1119" s="2">
        <v>1114</v>
      </c>
      <c r="B1119" s="3" t="str">
        <f>"00049350"</f>
        <v>00049350</v>
      </c>
    </row>
    <row r="1120" spans="1:2" x14ac:dyDescent="0.25">
      <c r="A1120" s="2">
        <v>1115</v>
      </c>
      <c r="B1120" s="3" t="str">
        <f>"00049362"</f>
        <v>00049362</v>
      </c>
    </row>
    <row r="1121" spans="1:2" x14ac:dyDescent="0.25">
      <c r="A1121" s="2">
        <v>1116</v>
      </c>
      <c r="B1121" s="3" t="str">
        <f>"00049421"</f>
        <v>00049421</v>
      </c>
    </row>
    <row r="1122" spans="1:2" x14ac:dyDescent="0.25">
      <c r="A1122" s="2">
        <v>1117</v>
      </c>
      <c r="B1122" s="3" t="str">
        <f>"00049425"</f>
        <v>00049425</v>
      </c>
    </row>
    <row r="1123" spans="1:2" x14ac:dyDescent="0.25">
      <c r="A1123" s="2">
        <v>1118</v>
      </c>
      <c r="B1123" s="3" t="str">
        <f>"00049438"</f>
        <v>00049438</v>
      </c>
    </row>
    <row r="1124" spans="1:2" x14ac:dyDescent="0.25">
      <c r="A1124" s="2">
        <v>1119</v>
      </c>
      <c r="B1124" s="3" t="str">
        <f>"00049510"</f>
        <v>00049510</v>
      </c>
    </row>
    <row r="1125" spans="1:2" x14ac:dyDescent="0.25">
      <c r="A1125" s="2">
        <v>1120</v>
      </c>
      <c r="B1125" s="3" t="str">
        <f>"00049533"</f>
        <v>00049533</v>
      </c>
    </row>
    <row r="1126" spans="1:2" x14ac:dyDescent="0.25">
      <c r="A1126" s="2">
        <v>1121</v>
      </c>
      <c r="B1126" s="3" t="str">
        <f>"00049643"</f>
        <v>00049643</v>
      </c>
    </row>
    <row r="1127" spans="1:2" x14ac:dyDescent="0.25">
      <c r="A1127" s="2">
        <v>1122</v>
      </c>
      <c r="B1127" s="3" t="str">
        <f>"00049792"</f>
        <v>00049792</v>
      </c>
    </row>
    <row r="1128" spans="1:2" x14ac:dyDescent="0.25">
      <c r="A1128" s="2">
        <v>1123</v>
      </c>
      <c r="B1128" s="3" t="str">
        <f>"00049815"</f>
        <v>00049815</v>
      </c>
    </row>
    <row r="1129" spans="1:2" x14ac:dyDescent="0.25">
      <c r="A1129" s="2">
        <v>1124</v>
      </c>
      <c r="B1129" s="3" t="str">
        <f>"00049853"</f>
        <v>00049853</v>
      </c>
    </row>
    <row r="1130" spans="1:2" x14ac:dyDescent="0.25">
      <c r="A1130" s="2">
        <v>1125</v>
      </c>
      <c r="B1130" s="3" t="str">
        <f>"00050022"</f>
        <v>00050022</v>
      </c>
    </row>
    <row r="1131" spans="1:2" x14ac:dyDescent="0.25">
      <c r="A1131" s="2">
        <v>1126</v>
      </c>
      <c r="B1131" s="3" t="str">
        <f>"00050197"</f>
        <v>00050197</v>
      </c>
    </row>
    <row r="1132" spans="1:2" x14ac:dyDescent="0.25">
      <c r="A1132" s="2">
        <v>1127</v>
      </c>
      <c r="B1132" s="3" t="str">
        <f>"00050205"</f>
        <v>00050205</v>
      </c>
    </row>
    <row r="1133" spans="1:2" x14ac:dyDescent="0.25">
      <c r="A1133" s="2">
        <v>1128</v>
      </c>
      <c r="B1133" s="3" t="str">
        <f>"00050224"</f>
        <v>00050224</v>
      </c>
    </row>
    <row r="1134" spans="1:2" x14ac:dyDescent="0.25">
      <c r="A1134" s="2">
        <v>1129</v>
      </c>
      <c r="B1134" s="3" t="str">
        <f>"00050336"</f>
        <v>00050336</v>
      </c>
    </row>
    <row r="1135" spans="1:2" x14ac:dyDescent="0.25">
      <c r="A1135" s="2">
        <v>1130</v>
      </c>
      <c r="B1135" s="3" t="str">
        <f>"00050443"</f>
        <v>00050443</v>
      </c>
    </row>
    <row r="1136" spans="1:2" x14ac:dyDescent="0.25">
      <c r="A1136" s="2">
        <v>1131</v>
      </c>
      <c r="B1136" s="3" t="str">
        <f>"00050448"</f>
        <v>00050448</v>
      </c>
    </row>
    <row r="1137" spans="1:2" x14ac:dyDescent="0.25">
      <c r="A1137" s="2">
        <v>1132</v>
      </c>
      <c r="B1137" s="3" t="str">
        <f>"00050472"</f>
        <v>00050472</v>
      </c>
    </row>
    <row r="1138" spans="1:2" x14ac:dyDescent="0.25">
      <c r="A1138" s="2">
        <v>1133</v>
      </c>
      <c r="B1138" s="3" t="str">
        <f>"00050479"</f>
        <v>00050479</v>
      </c>
    </row>
    <row r="1139" spans="1:2" x14ac:dyDescent="0.25">
      <c r="A1139" s="2">
        <v>1134</v>
      </c>
      <c r="B1139" s="3" t="str">
        <f>"00050484"</f>
        <v>00050484</v>
      </c>
    </row>
    <row r="1140" spans="1:2" x14ac:dyDescent="0.25">
      <c r="A1140" s="2">
        <v>1135</v>
      </c>
      <c r="B1140" s="3" t="str">
        <f>"00050702"</f>
        <v>00050702</v>
      </c>
    </row>
    <row r="1141" spans="1:2" x14ac:dyDescent="0.25">
      <c r="A1141" s="2">
        <v>1136</v>
      </c>
      <c r="B1141" s="3" t="str">
        <f>"00050707"</f>
        <v>00050707</v>
      </c>
    </row>
    <row r="1142" spans="1:2" x14ac:dyDescent="0.25">
      <c r="A1142" s="2">
        <v>1137</v>
      </c>
      <c r="B1142" s="3" t="str">
        <f>"00050768"</f>
        <v>00050768</v>
      </c>
    </row>
    <row r="1143" spans="1:2" x14ac:dyDescent="0.25">
      <c r="A1143" s="2">
        <v>1138</v>
      </c>
      <c r="B1143" s="3" t="str">
        <f>"00051078"</f>
        <v>00051078</v>
      </c>
    </row>
    <row r="1144" spans="1:2" x14ac:dyDescent="0.25">
      <c r="A1144" s="2">
        <v>1139</v>
      </c>
      <c r="B1144" s="3" t="str">
        <f>"00051196"</f>
        <v>00051196</v>
      </c>
    </row>
    <row r="1145" spans="1:2" x14ac:dyDescent="0.25">
      <c r="A1145" s="2">
        <v>1140</v>
      </c>
      <c r="B1145" s="3" t="str">
        <f>"00051786"</f>
        <v>00051786</v>
      </c>
    </row>
    <row r="1146" spans="1:2" x14ac:dyDescent="0.25">
      <c r="A1146" s="2">
        <v>1141</v>
      </c>
      <c r="B1146" s="3" t="str">
        <f>"00052088"</f>
        <v>00052088</v>
      </c>
    </row>
    <row r="1147" spans="1:2" x14ac:dyDescent="0.25">
      <c r="A1147" s="2">
        <v>1142</v>
      </c>
      <c r="B1147" s="3" t="str">
        <f>"00052231"</f>
        <v>00052231</v>
      </c>
    </row>
    <row r="1148" spans="1:2" x14ac:dyDescent="0.25">
      <c r="A1148" s="2">
        <v>1143</v>
      </c>
      <c r="B1148" s="3" t="str">
        <f>"00052460"</f>
        <v>00052460</v>
      </c>
    </row>
    <row r="1149" spans="1:2" x14ac:dyDescent="0.25">
      <c r="A1149" s="2">
        <v>1144</v>
      </c>
      <c r="B1149" s="3" t="str">
        <f>"00053183"</f>
        <v>00053183</v>
      </c>
    </row>
    <row r="1150" spans="1:2" x14ac:dyDescent="0.25">
      <c r="A1150" s="2">
        <v>1145</v>
      </c>
      <c r="B1150" s="3" t="str">
        <f>"00053713"</f>
        <v>00053713</v>
      </c>
    </row>
    <row r="1151" spans="1:2" x14ac:dyDescent="0.25">
      <c r="A1151" s="2">
        <v>1146</v>
      </c>
      <c r="B1151" s="3" t="str">
        <f>"00053843"</f>
        <v>00053843</v>
      </c>
    </row>
    <row r="1152" spans="1:2" x14ac:dyDescent="0.25">
      <c r="A1152" s="2">
        <v>1147</v>
      </c>
      <c r="B1152" s="3" t="str">
        <f>"00054596"</f>
        <v>00054596</v>
      </c>
    </row>
    <row r="1153" spans="1:2" x14ac:dyDescent="0.25">
      <c r="A1153" s="2">
        <v>1148</v>
      </c>
      <c r="B1153" s="3" t="str">
        <f>"00054889"</f>
        <v>00054889</v>
      </c>
    </row>
    <row r="1154" spans="1:2" x14ac:dyDescent="0.25">
      <c r="A1154" s="2">
        <v>1149</v>
      </c>
      <c r="B1154" s="3" t="str">
        <f>"00055747"</f>
        <v>00055747</v>
      </c>
    </row>
    <row r="1155" spans="1:2" x14ac:dyDescent="0.25">
      <c r="A1155" s="2">
        <v>1150</v>
      </c>
      <c r="B1155" s="3" t="str">
        <f>"00055828"</f>
        <v>00055828</v>
      </c>
    </row>
    <row r="1156" spans="1:2" x14ac:dyDescent="0.25">
      <c r="A1156" s="2">
        <v>1151</v>
      </c>
      <c r="B1156" s="3" t="str">
        <f>"00056277"</f>
        <v>00056277</v>
      </c>
    </row>
    <row r="1157" spans="1:2" x14ac:dyDescent="0.25">
      <c r="A1157" s="2">
        <v>1152</v>
      </c>
      <c r="B1157" s="3" t="str">
        <f>"00056447"</f>
        <v>00056447</v>
      </c>
    </row>
    <row r="1158" spans="1:2" x14ac:dyDescent="0.25">
      <c r="A1158" s="2">
        <v>1153</v>
      </c>
      <c r="B1158" s="3" t="str">
        <f>"00057021"</f>
        <v>00057021</v>
      </c>
    </row>
    <row r="1159" spans="1:2" x14ac:dyDescent="0.25">
      <c r="A1159" s="2">
        <v>1154</v>
      </c>
      <c r="B1159" s="3" t="str">
        <f>"00057537"</f>
        <v>00057537</v>
      </c>
    </row>
    <row r="1160" spans="1:2" x14ac:dyDescent="0.25">
      <c r="A1160" s="2">
        <v>1155</v>
      </c>
      <c r="B1160" s="3" t="str">
        <f>"00057686"</f>
        <v>00057686</v>
      </c>
    </row>
    <row r="1161" spans="1:2" x14ac:dyDescent="0.25">
      <c r="A1161" s="2">
        <v>1156</v>
      </c>
      <c r="B1161" s="3" t="str">
        <f>"00057933"</f>
        <v>00057933</v>
      </c>
    </row>
    <row r="1162" spans="1:2" x14ac:dyDescent="0.25">
      <c r="A1162" s="2">
        <v>1157</v>
      </c>
      <c r="B1162" s="3" t="str">
        <f>"00058072"</f>
        <v>00058072</v>
      </c>
    </row>
    <row r="1163" spans="1:2" x14ac:dyDescent="0.25">
      <c r="A1163" s="2">
        <v>1158</v>
      </c>
      <c r="B1163" s="3" t="str">
        <f>"00058143"</f>
        <v>00058143</v>
      </c>
    </row>
    <row r="1164" spans="1:2" x14ac:dyDescent="0.25">
      <c r="A1164" s="2">
        <v>1159</v>
      </c>
      <c r="B1164" s="3" t="str">
        <f>"00058418"</f>
        <v>00058418</v>
      </c>
    </row>
    <row r="1165" spans="1:2" x14ac:dyDescent="0.25">
      <c r="A1165" s="2">
        <v>1160</v>
      </c>
      <c r="B1165" s="3" t="str">
        <f>"00058910"</f>
        <v>00058910</v>
      </c>
    </row>
    <row r="1166" spans="1:2" x14ac:dyDescent="0.25">
      <c r="A1166" s="2">
        <v>1161</v>
      </c>
      <c r="B1166" s="3" t="str">
        <f>"00059452"</f>
        <v>00059452</v>
      </c>
    </row>
    <row r="1167" spans="1:2" x14ac:dyDescent="0.25">
      <c r="A1167" s="2">
        <v>1162</v>
      </c>
      <c r="B1167" s="3" t="str">
        <f>"00060205"</f>
        <v>00060205</v>
      </c>
    </row>
    <row r="1168" spans="1:2" x14ac:dyDescent="0.25">
      <c r="A1168" s="2">
        <v>1163</v>
      </c>
      <c r="B1168" s="3" t="str">
        <f>"00060244"</f>
        <v>00060244</v>
      </c>
    </row>
    <row r="1169" spans="1:2" x14ac:dyDescent="0.25">
      <c r="A1169" s="2">
        <v>1164</v>
      </c>
      <c r="B1169" s="3" t="str">
        <f>"00060622"</f>
        <v>00060622</v>
      </c>
    </row>
    <row r="1170" spans="1:2" x14ac:dyDescent="0.25">
      <c r="A1170" s="2">
        <v>1165</v>
      </c>
      <c r="B1170" s="3" t="str">
        <f>"00060633"</f>
        <v>00060633</v>
      </c>
    </row>
    <row r="1171" spans="1:2" x14ac:dyDescent="0.25">
      <c r="A1171" s="2">
        <v>1166</v>
      </c>
      <c r="B1171" s="3" t="str">
        <f>"00061525"</f>
        <v>00061525</v>
      </c>
    </row>
    <row r="1172" spans="1:2" x14ac:dyDescent="0.25">
      <c r="A1172" s="2">
        <v>1167</v>
      </c>
      <c r="B1172" s="3" t="str">
        <f>"00061595"</f>
        <v>00061595</v>
      </c>
    </row>
    <row r="1173" spans="1:2" x14ac:dyDescent="0.25">
      <c r="A1173" s="2">
        <v>1168</v>
      </c>
      <c r="B1173" s="3" t="str">
        <f>"00062241"</f>
        <v>00062241</v>
      </c>
    </row>
    <row r="1174" spans="1:2" x14ac:dyDescent="0.25">
      <c r="A1174" s="2">
        <v>1169</v>
      </c>
      <c r="B1174" s="3" t="str">
        <f>"00062633"</f>
        <v>00062633</v>
      </c>
    </row>
    <row r="1175" spans="1:2" x14ac:dyDescent="0.25">
      <c r="A1175" s="2">
        <v>1170</v>
      </c>
      <c r="B1175" s="3" t="str">
        <f>"00063190"</f>
        <v>00063190</v>
      </c>
    </row>
    <row r="1176" spans="1:2" x14ac:dyDescent="0.25">
      <c r="A1176" s="2">
        <v>1171</v>
      </c>
      <c r="B1176" s="3" t="str">
        <f>"00063623"</f>
        <v>00063623</v>
      </c>
    </row>
    <row r="1177" spans="1:2" x14ac:dyDescent="0.25">
      <c r="A1177" s="2">
        <v>1172</v>
      </c>
      <c r="B1177" s="3" t="str">
        <f>"00064072"</f>
        <v>00064072</v>
      </c>
    </row>
    <row r="1178" spans="1:2" x14ac:dyDescent="0.25">
      <c r="A1178" s="2">
        <v>1173</v>
      </c>
      <c r="B1178" s="3" t="str">
        <f>"00064082"</f>
        <v>00064082</v>
      </c>
    </row>
    <row r="1179" spans="1:2" x14ac:dyDescent="0.25">
      <c r="A1179" s="2">
        <v>1174</v>
      </c>
      <c r="B1179" s="3" t="str">
        <f>"00064218"</f>
        <v>00064218</v>
      </c>
    </row>
    <row r="1180" spans="1:2" x14ac:dyDescent="0.25">
      <c r="A1180" s="2">
        <v>1175</v>
      </c>
      <c r="B1180" s="3" t="str">
        <f>"00065136"</f>
        <v>00065136</v>
      </c>
    </row>
    <row r="1181" spans="1:2" x14ac:dyDescent="0.25">
      <c r="A1181" s="2">
        <v>1176</v>
      </c>
      <c r="B1181" s="3" t="str">
        <f>"00066253"</f>
        <v>00066253</v>
      </c>
    </row>
    <row r="1182" spans="1:2" x14ac:dyDescent="0.25">
      <c r="A1182" s="2">
        <v>1177</v>
      </c>
      <c r="B1182" s="3" t="str">
        <f>"00068456"</f>
        <v>00068456</v>
      </c>
    </row>
    <row r="1183" spans="1:2" x14ac:dyDescent="0.25">
      <c r="A1183" s="2">
        <v>1178</v>
      </c>
      <c r="B1183" s="3" t="str">
        <f>"00068878"</f>
        <v>00068878</v>
      </c>
    </row>
    <row r="1184" spans="1:2" x14ac:dyDescent="0.25">
      <c r="A1184" s="2">
        <v>1179</v>
      </c>
      <c r="B1184" s="3" t="str">
        <f>"00068938"</f>
        <v>00068938</v>
      </c>
    </row>
    <row r="1185" spans="1:2" x14ac:dyDescent="0.25">
      <c r="A1185" s="2">
        <v>1180</v>
      </c>
      <c r="B1185" s="3" t="str">
        <f>"00069037"</f>
        <v>00069037</v>
      </c>
    </row>
    <row r="1186" spans="1:2" x14ac:dyDescent="0.25">
      <c r="A1186" s="2">
        <v>1181</v>
      </c>
      <c r="B1186" s="3" t="str">
        <f>"00069041"</f>
        <v>00069041</v>
      </c>
    </row>
    <row r="1187" spans="1:2" x14ac:dyDescent="0.25">
      <c r="A1187" s="2">
        <v>1182</v>
      </c>
      <c r="B1187" s="3" t="str">
        <f>"00069314"</f>
        <v>00069314</v>
      </c>
    </row>
    <row r="1188" spans="1:2" x14ac:dyDescent="0.25">
      <c r="A1188" s="2">
        <v>1183</v>
      </c>
      <c r="B1188" s="3" t="str">
        <f>"00069323"</f>
        <v>00069323</v>
      </c>
    </row>
    <row r="1189" spans="1:2" x14ac:dyDescent="0.25">
      <c r="A1189" s="2">
        <v>1184</v>
      </c>
      <c r="B1189" s="3" t="str">
        <f>"00069373"</f>
        <v>00069373</v>
      </c>
    </row>
    <row r="1190" spans="1:2" x14ac:dyDescent="0.25">
      <c r="A1190" s="2">
        <v>1185</v>
      </c>
      <c r="B1190" s="3" t="str">
        <f>"00069382"</f>
        <v>00069382</v>
      </c>
    </row>
    <row r="1191" spans="1:2" x14ac:dyDescent="0.25">
      <c r="A1191" s="2">
        <v>1186</v>
      </c>
      <c r="B1191" s="3" t="str">
        <f>"00069427"</f>
        <v>00069427</v>
      </c>
    </row>
    <row r="1192" spans="1:2" x14ac:dyDescent="0.25">
      <c r="A1192" s="2">
        <v>1187</v>
      </c>
      <c r="B1192" s="3" t="str">
        <f>"00069447"</f>
        <v>00069447</v>
      </c>
    </row>
    <row r="1193" spans="1:2" x14ac:dyDescent="0.25">
      <c r="A1193" s="2">
        <v>1188</v>
      </c>
      <c r="B1193" s="3" t="str">
        <f>"00069519"</f>
        <v>00069519</v>
      </c>
    </row>
    <row r="1194" spans="1:2" x14ac:dyDescent="0.25">
      <c r="A1194" s="2">
        <v>1189</v>
      </c>
      <c r="B1194" s="3" t="str">
        <f>"00069645"</f>
        <v>00069645</v>
      </c>
    </row>
    <row r="1195" spans="1:2" x14ac:dyDescent="0.25">
      <c r="A1195" s="2">
        <v>1190</v>
      </c>
      <c r="B1195" s="3" t="str">
        <f>"00069693"</f>
        <v>00069693</v>
      </c>
    </row>
    <row r="1196" spans="1:2" x14ac:dyDescent="0.25">
      <c r="A1196" s="2">
        <v>1191</v>
      </c>
      <c r="B1196" s="3" t="str">
        <f>"00069695"</f>
        <v>00069695</v>
      </c>
    </row>
    <row r="1197" spans="1:2" x14ac:dyDescent="0.25">
      <c r="A1197" s="2">
        <v>1192</v>
      </c>
      <c r="B1197" s="3" t="str">
        <f>"00069734"</f>
        <v>00069734</v>
      </c>
    </row>
    <row r="1198" spans="1:2" x14ac:dyDescent="0.25">
      <c r="A1198" s="2">
        <v>1193</v>
      </c>
      <c r="B1198" s="3" t="str">
        <f>"00069750"</f>
        <v>00069750</v>
      </c>
    </row>
    <row r="1199" spans="1:2" x14ac:dyDescent="0.25">
      <c r="A1199" s="2">
        <v>1194</v>
      </c>
      <c r="B1199" s="3" t="str">
        <f>"00069756"</f>
        <v>00069756</v>
      </c>
    </row>
    <row r="1200" spans="1:2" x14ac:dyDescent="0.25">
      <c r="A1200" s="2">
        <v>1195</v>
      </c>
      <c r="B1200" s="3" t="str">
        <f>"00069856"</f>
        <v>00069856</v>
      </c>
    </row>
    <row r="1201" spans="1:2" x14ac:dyDescent="0.25">
      <c r="A1201" s="2">
        <v>1196</v>
      </c>
      <c r="B1201" s="3" t="str">
        <f>"00069883"</f>
        <v>00069883</v>
      </c>
    </row>
    <row r="1202" spans="1:2" x14ac:dyDescent="0.25">
      <c r="A1202" s="2">
        <v>1197</v>
      </c>
      <c r="B1202" s="3" t="str">
        <f>"00069885"</f>
        <v>00069885</v>
      </c>
    </row>
    <row r="1203" spans="1:2" x14ac:dyDescent="0.25">
      <c r="A1203" s="2">
        <v>1198</v>
      </c>
      <c r="B1203" s="3" t="str">
        <f>"00069908"</f>
        <v>00069908</v>
      </c>
    </row>
    <row r="1204" spans="1:2" x14ac:dyDescent="0.25">
      <c r="A1204" s="2">
        <v>1199</v>
      </c>
      <c r="B1204" s="3" t="str">
        <f>"00069918"</f>
        <v>00069918</v>
      </c>
    </row>
    <row r="1205" spans="1:2" x14ac:dyDescent="0.25">
      <c r="A1205" s="2">
        <v>1200</v>
      </c>
      <c r="B1205" s="3" t="str">
        <f>"00069991"</f>
        <v>00069991</v>
      </c>
    </row>
    <row r="1206" spans="1:2" x14ac:dyDescent="0.25">
      <c r="A1206" s="2">
        <v>1201</v>
      </c>
      <c r="B1206" s="3" t="str">
        <f>"00070017"</f>
        <v>00070017</v>
      </c>
    </row>
    <row r="1207" spans="1:2" x14ac:dyDescent="0.25">
      <c r="A1207" s="2">
        <v>1202</v>
      </c>
      <c r="B1207" s="3" t="str">
        <f>"00070044"</f>
        <v>00070044</v>
      </c>
    </row>
    <row r="1208" spans="1:2" x14ac:dyDescent="0.25">
      <c r="A1208" s="2">
        <v>1203</v>
      </c>
      <c r="B1208" s="3" t="str">
        <f>"00070095"</f>
        <v>00070095</v>
      </c>
    </row>
    <row r="1209" spans="1:2" x14ac:dyDescent="0.25">
      <c r="A1209" s="2">
        <v>1204</v>
      </c>
      <c r="B1209" s="3" t="str">
        <f>"00070173"</f>
        <v>00070173</v>
      </c>
    </row>
    <row r="1210" spans="1:2" x14ac:dyDescent="0.25">
      <c r="A1210" s="2">
        <v>1205</v>
      </c>
      <c r="B1210" s="3" t="str">
        <f>"00070192"</f>
        <v>00070192</v>
      </c>
    </row>
    <row r="1211" spans="1:2" x14ac:dyDescent="0.25">
      <c r="A1211" s="2">
        <v>1206</v>
      </c>
      <c r="B1211" s="3" t="str">
        <f>"00070240"</f>
        <v>00070240</v>
      </c>
    </row>
    <row r="1212" spans="1:2" x14ac:dyDescent="0.25">
      <c r="A1212" s="2">
        <v>1207</v>
      </c>
      <c r="B1212" s="3" t="str">
        <f>"00070243"</f>
        <v>00070243</v>
      </c>
    </row>
    <row r="1213" spans="1:2" x14ac:dyDescent="0.25">
      <c r="A1213" s="2">
        <v>1208</v>
      </c>
      <c r="B1213" s="3" t="str">
        <f>"00070287"</f>
        <v>00070287</v>
      </c>
    </row>
    <row r="1214" spans="1:2" x14ac:dyDescent="0.25">
      <c r="A1214" s="2">
        <v>1209</v>
      </c>
      <c r="B1214" s="3" t="str">
        <f>"00070325"</f>
        <v>00070325</v>
      </c>
    </row>
    <row r="1215" spans="1:2" x14ac:dyDescent="0.25">
      <c r="A1215" s="2">
        <v>1210</v>
      </c>
      <c r="B1215" s="3" t="str">
        <f>"00070350"</f>
        <v>00070350</v>
      </c>
    </row>
    <row r="1216" spans="1:2" x14ac:dyDescent="0.25">
      <c r="A1216" s="2">
        <v>1211</v>
      </c>
      <c r="B1216" s="3" t="str">
        <f>"00070403"</f>
        <v>00070403</v>
      </c>
    </row>
    <row r="1217" spans="1:2" x14ac:dyDescent="0.25">
      <c r="A1217" s="2">
        <v>1212</v>
      </c>
      <c r="B1217" s="3" t="str">
        <f>"00070594"</f>
        <v>00070594</v>
      </c>
    </row>
    <row r="1218" spans="1:2" x14ac:dyDescent="0.25">
      <c r="A1218" s="2">
        <v>1213</v>
      </c>
      <c r="B1218" s="3" t="str">
        <f>"00070680"</f>
        <v>00070680</v>
      </c>
    </row>
    <row r="1219" spans="1:2" x14ac:dyDescent="0.25">
      <c r="A1219" s="2">
        <v>1214</v>
      </c>
      <c r="B1219" s="3" t="str">
        <f>"00070773"</f>
        <v>00070773</v>
      </c>
    </row>
    <row r="1220" spans="1:2" x14ac:dyDescent="0.25">
      <c r="A1220" s="2">
        <v>1215</v>
      </c>
      <c r="B1220" s="3" t="str">
        <f>"00070809"</f>
        <v>00070809</v>
      </c>
    </row>
    <row r="1221" spans="1:2" x14ac:dyDescent="0.25">
      <c r="A1221" s="2">
        <v>1216</v>
      </c>
      <c r="B1221" s="3" t="str">
        <f>"00070846"</f>
        <v>00070846</v>
      </c>
    </row>
    <row r="1222" spans="1:2" x14ac:dyDescent="0.25">
      <c r="A1222" s="2">
        <v>1217</v>
      </c>
      <c r="B1222" s="3" t="str">
        <f>"00070925"</f>
        <v>00070925</v>
      </c>
    </row>
    <row r="1223" spans="1:2" x14ac:dyDescent="0.25">
      <c r="A1223" s="2">
        <v>1218</v>
      </c>
      <c r="B1223" s="3" t="str">
        <f>"00070937"</f>
        <v>00070937</v>
      </c>
    </row>
    <row r="1224" spans="1:2" x14ac:dyDescent="0.25">
      <c r="A1224" s="2">
        <v>1219</v>
      </c>
      <c r="B1224" s="3" t="str">
        <f>"00071000"</f>
        <v>00071000</v>
      </c>
    </row>
    <row r="1225" spans="1:2" x14ac:dyDescent="0.25">
      <c r="A1225" s="2">
        <v>1220</v>
      </c>
      <c r="B1225" s="3" t="str">
        <f>"00071135"</f>
        <v>00071135</v>
      </c>
    </row>
    <row r="1226" spans="1:2" x14ac:dyDescent="0.25">
      <c r="A1226" s="2">
        <v>1221</v>
      </c>
      <c r="B1226" s="3" t="str">
        <f>"00071149"</f>
        <v>00071149</v>
      </c>
    </row>
    <row r="1227" spans="1:2" x14ac:dyDescent="0.25">
      <c r="A1227" s="2">
        <v>1222</v>
      </c>
      <c r="B1227" s="3" t="str">
        <f>"00071157"</f>
        <v>00071157</v>
      </c>
    </row>
    <row r="1228" spans="1:2" x14ac:dyDescent="0.25">
      <c r="A1228" s="2">
        <v>1223</v>
      </c>
      <c r="B1228" s="3" t="str">
        <f>"00071417"</f>
        <v>00071417</v>
      </c>
    </row>
    <row r="1229" spans="1:2" x14ac:dyDescent="0.25">
      <c r="A1229" s="2">
        <v>1224</v>
      </c>
      <c r="B1229" s="3" t="str">
        <f>"00071523"</f>
        <v>00071523</v>
      </c>
    </row>
    <row r="1230" spans="1:2" x14ac:dyDescent="0.25">
      <c r="A1230" s="2">
        <v>1225</v>
      </c>
      <c r="B1230" s="3" t="str">
        <f>"00071580"</f>
        <v>00071580</v>
      </c>
    </row>
    <row r="1231" spans="1:2" x14ac:dyDescent="0.25">
      <c r="A1231" s="2">
        <v>1226</v>
      </c>
      <c r="B1231" s="3" t="str">
        <f>"00071611"</f>
        <v>00071611</v>
      </c>
    </row>
    <row r="1232" spans="1:2" x14ac:dyDescent="0.25">
      <c r="A1232" s="2">
        <v>1227</v>
      </c>
      <c r="B1232" s="3" t="str">
        <f>"00071873"</f>
        <v>00071873</v>
      </c>
    </row>
    <row r="1233" spans="1:2" x14ac:dyDescent="0.25">
      <c r="A1233" s="2">
        <v>1228</v>
      </c>
      <c r="B1233" s="3" t="str">
        <f>"00072047"</f>
        <v>00072047</v>
      </c>
    </row>
    <row r="1234" spans="1:2" x14ac:dyDescent="0.25">
      <c r="A1234" s="2">
        <v>1229</v>
      </c>
      <c r="B1234" s="3" t="str">
        <f>"00072250"</f>
        <v>00072250</v>
      </c>
    </row>
    <row r="1235" spans="1:2" x14ac:dyDescent="0.25">
      <c r="A1235" s="2">
        <v>1230</v>
      </c>
      <c r="B1235" s="3" t="str">
        <f>"00072788"</f>
        <v>00072788</v>
      </c>
    </row>
    <row r="1236" spans="1:2" x14ac:dyDescent="0.25">
      <c r="A1236" s="2">
        <v>1231</v>
      </c>
      <c r="B1236" s="3" t="str">
        <f>"00072791"</f>
        <v>00072791</v>
      </c>
    </row>
    <row r="1237" spans="1:2" x14ac:dyDescent="0.25">
      <c r="A1237" s="2">
        <v>1232</v>
      </c>
      <c r="B1237" s="3" t="str">
        <f>"00072961"</f>
        <v>00072961</v>
      </c>
    </row>
    <row r="1238" spans="1:2" x14ac:dyDescent="0.25">
      <c r="A1238" s="2">
        <v>1233</v>
      </c>
      <c r="B1238" s="3" t="str">
        <f>"00073046"</f>
        <v>00073046</v>
      </c>
    </row>
    <row r="1239" spans="1:2" x14ac:dyDescent="0.25">
      <c r="A1239" s="2">
        <v>1234</v>
      </c>
      <c r="B1239" s="3" t="str">
        <f>"00073064"</f>
        <v>00073064</v>
      </c>
    </row>
    <row r="1240" spans="1:2" x14ac:dyDescent="0.25">
      <c r="A1240" s="2">
        <v>1235</v>
      </c>
      <c r="B1240" s="3" t="str">
        <f>"00073065"</f>
        <v>00073065</v>
      </c>
    </row>
    <row r="1241" spans="1:2" x14ac:dyDescent="0.25">
      <c r="A1241" s="2">
        <v>1236</v>
      </c>
      <c r="B1241" s="3" t="str">
        <f>"00073068"</f>
        <v>00073068</v>
      </c>
    </row>
    <row r="1242" spans="1:2" x14ac:dyDescent="0.25">
      <c r="A1242" s="2">
        <v>1237</v>
      </c>
      <c r="B1242" s="3" t="str">
        <f>"00073079"</f>
        <v>00073079</v>
      </c>
    </row>
    <row r="1243" spans="1:2" x14ac:dyDescent="0.25">
      <c r="A1243" s="2">
        <v>1238</v>
      </c>
      <c r="B1243" s="3" t="str">
        <f>"00073143"</f>
        <v>00073143</v>
      </c>
    </row>
    <row r="1244" spans="1:2" x14ac:dyDescent="0.25">
      <c r="A1244" s="2">
        <v>1239</v>
      </c>
      <c r="B1244" s="3" t="str">
        <f>"00073221"</f>
        <v>00073221</v>
      </c>
    </row>
    <row r="1245" spans="1:2" x14ac:dyDescent="0.25">
      <c r="A1245" s="2">
        <v>1240</v>
      </c>
      <c r="B1245" s="3" t="str">
        <f>"00073226"</f>
        <v>00073226</v>
      </c>
    </row>
    <row r="1246" spans="1:2" x14ac:dyDescent="0.25">
      <c r="A1246" s="2">
        <v>1241</v>
      </c>
      <c r="B1246" s="3" t="str">
        <f>"00073295"</f>
        <v>00073295</v>
      </c>
    </row>
    <row r="1247" spans="1:2" x14ac:dyDescent="0.25">
      <c r="A1247" s="2">
        <v>1242</v>
      </c>
      <c r="B1247" s="3" t="str">
        <f>"00073319"</f>
        <v>00073319</v>
      </c>
    </row>
    <row r="1248" spans="1:2" x14ac:dyDescent="0.25">
      <c r="A1248" s="2">
        <v>1243</v>
      </c>
      <c r="B1248" s="3" t="str">
        <f>"00073329"</f>
        <v>00073329</v>
      </c>
    </row>
    <row r="1249" spans="1:2" x14ac:dyDescent="0.25">
      <c r="A1249" s="2">
        <v>1244</v>
      </c>
      <c r="B1249" s="3" t="str">
        <f>"00073441"</f>
        <v>00073441</v>
      </c>
    </row>
    <row r="1250" spans="1:2" x14ac:dyDescent="0.25">
      <c r="A1250" s="2">
        <v>1245</v>
      </c>
      <c r="B1250" s="3" t="str">
        <f>"00073568"</f>
        <v>00073568</v>
      </c>
    </row>
    <row r="1251" spans="1:2" x14ac:dyDescent="0.25">
      <c r="A1251" s="2">
        <v>1246</v>
      </c>
      <c r="B1251" s="3" t="str">
        <f>"00073606"</f>
        <v>00073606</v>
      </c>
    </row>
    <row r="1252" spans="1:2" x14ac:dyDescent="0.25">
      <c r="A1252" s="2">
        <v>1247</v>
      </c>
      <c r="B1252" s="3" t="str">
        <f>"00073869"</f>
        <v>00073869</v>
      </c>
    </row>
    <row r="1253" spans="1:2" x14ac:dyDescent="0.25">
      <c r="A1253" s="2">
        <v>1248</v>
      </c>
      <c r="B1253" s="3" t="str">
        <f>"00073878"</f>
        <v>00073878</v>
      </c>
    </row>
    <row r="1254" spans="1:2" x14ac:dyDescent="0.25">
      <c r="A1254" s="2">
        <v>1249</v>
      </c>
      <c r="B1254" s="3" t="str">
        <f>"00073891"</f>
        <v>00073891</v>
      </c>
    </row>
    <row r="1255" spans="1:2" x14ac:dyDescent="0.25">
      <c r="A1255" s="2">
        <v>1250</v>
      </c>
      <c r="B1255" s="3" t="str">
        <f>"00073951"</f>
        <v>00073951</v>
      </c>
    </row>
    <row r="1256" spans="1:2" x14ac:dyDescent="0.25">
      <c r="A1256" s="2">
        <v>1251</v>
      </c>
      <c r="B1256" s="3" t="str">
        <f>"00073978"</f>
        <v>00073978</v>
      </c>
    </row>
    <row r="1257" spans="1:2" x14ac:dyDescent="0.25">
      <c r="A1257" s="2">
        <v>1252</v>
      </c>
      <c r="B1257" s="3" t="str">
        <f>"00074073"</f>
        <v>00074073</v>
      </c>
    </row>
    <row r="1258" spans="1:2" x14ac:dyDescent="0.25">
      <c r="A1258" s="2">
        <v>1253</v>
      </c>
      <c r="B1258" s="3" t="str">
        <f>"00074105"</f>
        <v>00074105</v>
      </c>
    </row>
    <row r="1259" spans="1:2" x14ac:dyDescent="0.25">
      <c r="A1259" s="2">
        <v>1254</v>
      </c>
      <c r="B1259" s="3" t="str">
        <f>"00074306"</f>
        <v>00074306</v>
      </c>
    </row>
    <row r="1260" spans="1:2" x14ac:dyDescent="0.25">
      <c r="A1260" s="2">
        <v>1255</v>
      </c>
      <c r="B1260" s="3" t="str">
        <f>"00074311"</f>
        <v>00074311</v>
      </c>
    </row>
    <row r="1261" spans="1:2" x14ac:dyDescent="0.25">
      <c r="A1261" s="2">
        <v>1256</v>
      </c>
      <c r="B1261" s="3" t="str">
        <f>"00074550"</f>
        <v>00074550</v>
      </c>
    </row>
    <row r="1262" spans="1:2" x14ac:dyDescent="0.25">
      <c r="A1262" s="2">
        <v>1257</v>
      </c>
      <c r="B1262" s="3" t="str">
        <f>"00074568"</f>
        <v>00074568</v>
      </c>
    </row>
    <row r="1263" spans="1:2" x14ac:dyDescent="0.25">
      <c r="A1263" s="2">
        <v>1258</v>
      </c>
      <c r="B1263" s="3" t="str">
        <f>"00074674"</f>
        <v>00074674</v>
      </c>
    </row>
    <row r="1264" spans="1:2" x14ac:dyDescent="0.25">
      <c r="A1264" s="2">
        <v>1259</v>
      </c>
      <c r="B1264" s="3" t="str">
        <f>"00074725"</f>
        <v>00074725</v>
      </c>
    </row>
    <row r="1265" spans="1:2" x14ac:dyDescent="0.25">
      <c r="A1265" s="2">
        <v>1260</v>
      </c>
      <c r="B1265" s="3" t="str">
        <f>"00074761"</f>
        <v>00074761</v>
      </c>
    </row>
    <row r="1266" spans="1:2" x14ac:dyDescent="0.25">
      <c r="A1266" s="2">
        <v>1261</v>
      </c>
      <c r="B1266" s="3" t="str">
        <f>"00074782"</f>
        <v>00074782</v>
      </c>
    </row>
    <row r="1267" spans="1:2" x14ac:dyDescent="0.25">
      <c r="A1267" s="2">
        <v>1262</v>
      </c>
      <c r="B1267" s="3" t="str">
        <f>"00074786"</f>
        <v>00074786</v>
      </c>
    </row>
    <row r="1268" spans="1:2" x14ac:dyDescent="0.25">
      <c r="A1268" s="2">
        <v>1263</v>
      </c>
      <c r="B1268" s="3" t="str">
        <f>"00074815"</f>
        <v>00074815</v>
      </c>
    </row>
    <row r="1269" spans="1:2" x14ac:dyDescent="0.25">
      <c r="A1269" s="2">
        <v>1264</v>
      </c>
      <c r="B1269" s="3" t="str">
        <f>"00075016"</f>
        <v>00075016</v>
      </c>
    </row>
    <row r="1270" spans="1:2" x14ac:dyDescent="0.25">
      <c r="A1270" s="2">
        <v>1265</v>
      </c>
      <c r="B1270" s="3" t="str">
        <f>"00075131"</f>
        <v>00075131</v>
      </c>
    </row>
    <row r="1271" spans="1:2" x14ac:dyDescent="0.25">
      <c r="A1271" s="2">
        <v>1266</v>
      </c>
      <c r="B1271" s="3" t="str">
        <f>"00075214"</f>
        <v>00075214</v>
      </c>
    </row>
    <row r="1272" spans="1:2" x14ac:dyDescent="0.25">
      <c r="A1272" s="2">
        <v>1267</v>
      </c>
      <c r="B1272" s="3" t="str">
        <f>"00075218"</f>
        <v>00075218</v>
      </c>
    </row>
    <row r="1273" spans="1:2" x14ac:dyDescent="0.25">
      <c r="A1273" s="2">
        <v>1268</v>
      </c>
      <c r="B1273" s="3" t="str">
        <f>"00075259"</f>
        <v>00075259</v>
      </c>
    </row>
    <row r="1274" spans="1:2" x14ac:dyDescent="0.25">
      <c r="A1274" s="2">
        <v>1269</v>
      </c>
      <c r="B1274" s="3" t="str">
        <f>"00075281"</f>
        <v>00075281</v>
      </c>
    </row>
    <row r="1275" spans="1:2" x14ac:dyDescent="0.25">
      <c r="A1275" s="2">
        <v>1270</v>
      </c>
      <c r="B1275" s="3" t="str">
        <f>"00075329"</f>
        <v>00075329</v>
      </c>
    </row>
    <row r="1276" spans="1:2" x14ac:dyDescent="0.25">
      <c r="A1276" s="2">
        <v>1271</v>
      </c>
      <c r="B1276" s="3" t="str">
        <f>"00075428"</f>
        <v>00075428</v>
      </c>
    </row>
    <row r="1277" spans="1:2" x14ac:dyDescent="0.25">
      <c r="A1277" s="2">
        <v>1272</v>
      </c>
      <c r="B1277" s="3" t="str">
        <f>"00075493"</f>
        <v>00075493</v>
      </c>
    </row>
    <row r="1278" spans="1:2" x14ac:dyDescent="0.25">
      <c r="A1278" s="2">
        <v>1273</v>
      </c>
      <c r="B1278" s="3" t="str">
        <f>"00075497"</f>
        <v>00075497</v>
      </c>
    </row>
    <row r="1279" spans="1:2" x14ac:dyDescent="0.25">
      <c r="A1279" s="2">
        <v>1274</v>
      </c>
      <c r="B1279" s="3" t="str">
        <f>"00075505"</f>
        <v>00075505</v>
      </c>
    </row>
    <row r="1280" spans="1:2" x14ac:dyDescent="0.25">
      <c r="A1280" s="2">
        <v>1275</v>
      </c>
      <c r="B1280" s="3" t="str">
        <f>"00075538"</f>
        <v>00075538</v>
      </c>
    </row>
    <row r="1281" spans="1:2" x14ac:dyDescent="0.25">
      <c r="A1281" s="2">
        <v>1276</v>
      </c>
      <c r="B1281" s="3" t="str">
        <f>"00075542"</f>
        <v>00075542</v>
      </c>
    </row>
    <row r="1282" spans="1:2" x14ac:dyDescent="0.25">
      <c r="A1282" s="2">
        <v>1277</v>
      </c>
      <c r="B1282" s="3" t="str">
        <f>"00075553"</f>
        <v>00075553</v>
      </c>
    </row>
    <row r="1283" spans="1:2" x14ac:dyDescent="0.25">
      <c r="A1283" s="2">
        <v>1278</v>
      </c>
      <c r="B1283" s="3" t="str">
        <f>"00075583"</f>
        <v>00075583</v>
      </c>
    </row>
    <row r="1284" spans="1:2" x14ac:dyDescent="0.25">
      <c r="A1284" s="2">
        <v>1279</v>
      </c>
      <c r="B1284" s="3" t="str">
        <f>"00075625"</f>
        <v>00075625</v>
      </c>
    </row>
    <row r="1285" spans="1:2" x14ac:dyDescent="0.25">
      <c r="A1285" s="2">
        <v>1280</v>
      </c>
      <c r="B1285" s="3" t="str">
        <f>"00075733"</f>
        <v>00075733</v>
      </c>
    </row>
    <row r="1286" spans="1:2" x14ac:dyDescent="0.25">
      <c r="A1286" s="2">
        <v>1281</v>
      </c>
      <c r="B1286" s="3" t="str">
        <f>"00075789"</f>
        <v>00075789</v>
      </c>
    </row>
    <row r="1287" spans="1:2" x14ac:dyDescent="0.25">
      <c r="A1287" s="2">
        <v>1282</v>
      </c>
      <c r="B1287" s="3" t="str">
        <f>"00075811"</f>
        <v>00075811</v>
      </c>
    </row>
    <row r="1288" spans="1:2" x14ac:dyDescent="0.25">
      <c r="A1288" s="2">
        <v>1283</v>
      </c>
      <c r="B1288" s="3" t="str">
        <f>"00076013"</f>
        <v>00076013</v>
      </c>
    </row>
    <row r="1289" spans="1:2" x14ac:dyDescent="0.25">
      <c r="A1289" s="2">
        <v>1284</v>
      </c>
      <c r="B1289" s="3" t="str">
        <f>"00076075"</f>
        <v>00076075</v>
      </c>
    </row>
    <row r="1290" spans="1:2" x14ac:dyDescent="0.25">
      <c r="A1290" s="2">
        <v>1285</v>
      </c>
      <c r="B1290" s="3" t="str">
        <f>"00076085"</f>
        <v>00076085</v>
      </c>
    </row>
    <row r="1291" spans="1:2" x14ac:dyDescent="0.25">
      <c r="A1291" s="2">
        <v>1286</v>
      </c>
      <c r="B1291" s="3" t="str">
        <f>"00076089"</f>
        <v>00076089</v>
      </c>
    </row>
    <row r="1292" spans="1:2" x14ac:dyDescent="0.25">
      <c r="A1292" s="2">
        <v>1287</v>
      </c>
      <c r="B1292" s="3" t="str">
        <f>"00076184"</f>
        <v>00076184</v>
      </c>
    </row>
    <row r="1293" spans="1:2" x14ac:dyDescent="0.25">
      <c r="A1293" s="2">
        <v>1288</v>
      </c>
      <c r="B1293" s="3" t="str">
        <f>"00076194"</f>
        <v>00076194</v>
      </c>
    </row>
    <row r="1294" spans="1:2" x14ac:dyDescent="0.25">
      <c r="A1294" s="2">
        <v>1289</v>
      </c>
      <c r="B1294" s="3" t="str">
        <f>"00076294"</f>
        <v>00076294</v>
      </c>
    </row>
    <row r="1295" spans="1:2" x14ac:dyDescent="0.25">
      <c r="A1295" s="2">
        <v>1290</v>
      </c>
      <c r="B1295" s="3" t="str">
        <f>"00076314"</f>
        <v>00076314</v>
      </c>
    </row>
    <row r="1296" spans="1:2" x14ac:dyDescent="0.25">
      <c r="A1296" s="2">
        <v>1291</v>
      </c>
      <c r="B1296" s="3" t="str">
        <f>"00076322"</f>
        <v>00076322</v>
      </c>
    </row>
    <row r="1297" spans="1:2" x14ac:dyDescent="0.25">
      <c r="A1297" s="2">
        <v>1292</v>
      </c>
      <c r="B1297" s="3" t="str">
        <f>"00076346"</f>
        <v>00076346</v>
      </c>
    </row>
    <row r="1298" spans="1:2" x14ac:dyDescent="0.25">
      <c r="A1298" s="2">
        <v>1293</v>
      </c>
      <c r="B1298" s="3" t="str">
        <f>"00076353"</f>
        <v>00076353</v>
      </c>
    </row>
    <row r="1299" spans="1:2" x14ac:dyDescent="0.25">
      <c r="A1299" s="2">
        <v>1294</v>
      </c>
      <c r="B1299" s="3" t="str">
        <f>"00076356"</f>
        <v>00076356</v>
      </c>
    </row>
    <row r="1300" spans="1:2" x14ac:dyDescent="0.25">
      <c r="A1300" s="2">
        <v>1295</v>
      </c>
      <c r="B1300" s="3" t="str">
        <f>"00076404"</f>
        <v>00076404</v>
      </c>
    </row>
    <row r="1301" spans="1:2" x14ac:dyDescent="0.25">
      <c r="A1301" s="2">
        <v>1296</v>
      </c>
      <c r="B1301" s="3" t="str">
        <f>"00076464"</f>
        <v>00076464</v>
      </c>
    </row>
    <row r="1302" spans="1:2" x14ac:dyDescent="0.25">
      <c r="A1302" s="2">
        <v>1297</v>
      </c>
      <c r="B1302" s="3" t="str">
        <f>"00076571"</f>
        <v>00076571</v>
      </c>
    </row>
    <row r="1303" spans="1:2" x14ac:dyDescent="0.25">
      <c r="A1303" s="2">
        <v>1298</v>
      </c>
      <c r="B1303" s="3" t="str">
        <f>"00076587"</f>
        <v>00076587</v>
      </c>
    </row>
    <row r="1304" spans="1:2" x14ac:dyDescent="0.25">
      <c r="A1304" s="2">
        <v>1299</v>
      </c>
      <c r="B1304" s="3" t="str">
        <f>"00076705"</f>
        <v>00076705</v>
      </c>
    </row>
    <row r="1305" spans="1:2" x14ac:dyDescent="0.25">
      <c r="A1305" s="2">
        <v>1300</v>
      </c>
      <c r="B1305" s="3" t="str">
        <f>"00076741"</f>
        <v>00076741</v>
      </c>
    </row>
    <row r="1306" spans="1:2" x14ac:dyDescent="0.25">
      <c r="A1306" s="2">
        <v>1301</v>
      </c>
      <c r="B1306" s="3" t="str">
        <f>"00076764"</f>
        <v>00076764</v>
      </c>
    </row>
    <row r="1307" spans="1:2" x14ac:dyDescent="0.25">
      <c r="A1307" s="2">
        <v>1302</v>
      </c>
      <c r="B1307" s="3" t="str">
        <f>"00076810"</f>
        <v>00076810</v>
      </c>
    </row>
    <row r="1308" spans="1:2" x14ac:dyDescent="0.25">
      <c r="A1308" s="2">
        <v>1303</v>
      </c>
      <c r="B1308" s="3" t="str">
        <f>"00077077"</f>
        <v>00077077</v>
      </c>
    </row>
    <row r="1309" spans="1:2" x14ac:dyDescent="0.25">
      <c r="A1309" s="2">
        <v>1304</v>
      </c>
      <c r="B1309" s="3" t="str">
        <f>"00077101"</f>
        <v>00077101</v>
      </c>
    </row>
    <row r="1310" spans="1:2" x14ac:dyDescent="0.25">
      <c r="A1310" s="2">
        <v>1305</v>
      </c>
      <c r="B1310" s="3" t="str">
        <f>"00077104"</f>
        <v>00077104</v>
      </c>
    </row>
    <row r="1311" spans="1:2" x14ac:dyDescent="0.25">
      <c r="A1311" s="2">
        <v>1306</v>
      </c>
      <c r="B1311" s="3" t="str">
        <f>"00077367"</f>
        <v>00077367</v>
      </c>
    </row>
    <row r="1312" spans="1:2" x14ac:dyDescent="0.25">
      <c r="A1312" s="2">
        <v>1307</v>
      </c>
      <c r="B1312" s="3" t="str">
        <f>"00077456"</f>
        <v>00077456</v>
      </c>
    </row>
    <row r="1313" spans="1:2" x14ac:dyDescent="0.25">
      <c r="A1313" s="2">
        <v>1308</v>
      </c>
      <c r="B1313" s="3" t="str">
        <f>"00077505"</f>
        <v>00077505</v>
      </c>
    </row>
    <row r="1314" spans="1:2" x14ac:dyDescent="0.25">
      <c r="A1314" s="2">
        <v>1309</v>
      </c>
      <c r="B1314" s="3" t="str">
        <f>"00077532"</f>
        <v>00077532</v>
      </c>
    </row>
    <row r="1315" spans="1:2" x14ac:dyDescent="0.25">
      <c r="A1315" s="2">
        <v>1310</v>
      </c>
      <c r="B1315" s="3" t="str">
        <f>"00077595"</f>
        <v>00077595</v>
      </c>
    </row>
    <row r="1316" spans="1:2" x14ac:dyDescent="0.25">
      <c r="A1316" s="2">
        <v>1311</v>
      </c>
      <c r="B1316" s="3" t="str">
        <f>"00077614"</f>
        <v>00077614</v>
      </c>
    </row>
    <row r="1317" spans="1:2" x14ac:dyDescent="0.25">
      <c r="A1317" s="2">
        <v>1312</v>
      </c>
      <c r="B1317" s="3" t="str">
        <f>"00077690"</f>
        <v>00077690</v>
      </c>
    </row>
    <row r="1318" spans="1:2" x14ac:dyDescent="0.25">
      <c r="A1318" s="2">
        <v>1313</v>
      </c>
      <c r="B1318" s="3" t="str">
        <f>"00077783"</f>
        <v>00077783</v>
      </c>
    </row>
    <row r="1319" spans="1:2" x14ac:dyDescent="0.25">
      <c r="A1319" s="2">
        <v>1314</v>
      </c>
      <c r="B1319" s="3" t="str">
        <f>"00077816"</f>
        <v>00077816</v>
      </c>
    </row>
    <row r="1320" spans="1:2" x14ac:dyDescent="0.25">
      <c r="A1320" s="2">
        <v>1315</v>
      </c>
      <c r="B1320" s="3" t="str">
        <f>"00077830"</f>
        <v>00077830</v>
      </c>
    </row>
    <row r="1321" spans="1:2" x14ac:dyDescent="0.25">
      <c r="A1321" s="2">
        <v>1316</v>
      </c>
      <c r="B1321" s="3" t="str">
        <f>"00077835"</f>
        <v>00077835</v>
      </c>
    </row>
    <row r="1322" spans="1:2" x14ac:dyDescent="0.25">
      <c r="A1322" s="2">
        <v>1317</v>
      </c>
      <c r="B1322" s="3" t="str">
        <f>"00077907"</f>
        <v>00077907</v>
      </c>
    </row>
    <row r="1323" spans="1:2" x14ac:dyDescent="0.25">
      <c r="A1323" s="2">
        <v>1318</v>
      </c>
      <c r="B1323" s="3" t="str">
        <f>"00077927"</f>
        <v>00077927</v>
      </c>
    </row>
    <row r="1324" spans="1:2" x14ac:dyDescent="0.25">
      <c r="A1324" s="2">
        <v>1319</v>
      </c>
      <c r="B1324" s="3" t="str">
        <f>"00077939"</f>
        <v>00077939</v>
      </c>
    </row>
    <row r="1325" spans="1:2" x14ac:dyDescent="0.25">
      <c r="A1325" s="2">
        <v>1320</v>
      </c>
      <c r="B1325" s="3" t="str">
        <f>"00078009"</f>
        <v>00078009</v>
      </c>
    </row>
    <row r="1326" spans="1:2" x14ac:dyDescent="0.25">
      <c r="A1326" s="2">
        <v>1321</v>
      </c>
      <c r="B1326" s="3" t="str">
        <f>"00078186"</f>
        <v>00078186</v>
      </c>
    </row>
    <row r="1327" spans="1:2" x14ac:dyDescent="0.25">
      <c r="A1327" s="2">
        <v>1322</v>
      </c>
      <c r="B1327" s="3" t="str">
        <f>"00078253"</f>
        <v>00078253</v>
      </c>
    </row>
    <row r="1328" spans="1:2" x14ac:dyDescent="0.25">
      <c r="A1328" s="2">
        <v>1323</v>
      </c>
      <c r="B1328" s="3" t="str">
        <f>"00078254"</f>
        <v>00078254</v>
      </c>
    </row>
    <row r="1329" spans="1:2" x14ac:dyDescent="0.25">
      <c r="A1329" s="2">
        <v>1324</v>
      </c>
      <c r="B1329" s="3" t="str">
        <f>"00078295"</f>
        <v>00078295</v>
      </c>
    </row>
    <row r="1330" spans="1:2" x14ac:dyDescent="0.25">
      <c r="A1330" s="2">
        <v>1325</v>
      </c>
      <c r="B1330" s="3" t="str">
        <f>"00078353"</f>
        <v>00078353</v>
      </c>
    </row>
    <row r="1331" spans="1:2" x14ac:dyDescent="0.25">
      <c r="A1331" s="2">
        <v>1326</v>
      </c>
      <c r="B1331" s="3" t="str">
        <f>"00078580"</f>
        <v>00078580</v>
      </c>
    </row>
    <row r="1332" spans="1:2" x14ac:dyDescent="0.25">
      <c r="A1332" s="2">
        <v>1327</v>
      </c>
      <c r="B1332" s="3" t="str">
        <f>"00078601"</f>
        <v>00078601</v>
      </c>
    </row>
    <row r="1333" spans="1:2" x14ac:dyDescent="0.25">
      <c r="A1333" s="2">
        <v>1328</v>
      </c>
      <c r="B1333" s="3" t="str">
        <f>"00078656"</f>
        <v>00078656</v>
      </c>
    </row>
    <row r="1334" spans="1:2" x14ac:dyDescent="0.25">
      <c r="A1334" s="2">
        <v>1329</v>
      </c>
      <c r="B1334" s="3" t="str">
        <f>"00078771"</f>
        <v>00078771</v>
      </c>
    </row>
    <row r="1335" spans="1:2" x14ac:dyDescent="0.25">
      <c r="A1335" s="2">
        <v>1330</v>
      </c>
      <c r="B1335" s="3" t="str">
        <f>"00078778"</f>
        <v>00078778</v>
      </c>
    </row>
    <row r="1336" spans="1:2" x14ac:dyDescent="0.25">
      <c r="A1336" s="2">
        <v>1331</v>
      </c>
      <c r="B1336" s="3" t="str">
        <f>"00078828"</f>
        <v>00078828</v>
      </c>
    </row>
    <row r="1337" spans="1:2" x14ac:dyDescent="0.25">
      <c r="A1337" s="2">
        <v>1332</v>
      </c>
      <c r="B1337" s="3" t="str">
        <f>"00078833"</f>
        <v>00078833</v>
      </c>
    </row>
    <row r="1338" spans="1:2" x14ac:dyDescent="0.25">
      <c r="A1338" s="2">
        <v>1333</v>
      </c>
      <c r="B1338" s="3" t="str">
        <f>"00078879"</f>
        <v>00078879</v>
      </c>
    </row>
    <row r="1339" spans="1:2" x14ac:dyDescent="0.25">
      <c r="A1339" s="2">
        <v>1334</v>
      </c>
      <c r="B1339" s="3" t="str">
        <f>"00079042"</f>
        <v>00079042</v>
      </c>
    </row>
    <row r="1340" spans="1:2" x14ac:dyDescent="0.25">
      <c r="A1340" s="2">
        <v>1335</v>
      </c>
      <c r="B1340" s="3" t="str">
        <f>"00079146"</f>
        <v>00079146</v>
      </c>
    </row>
    <row r="1341" spans="1:2" x14ac:dyDescent="0.25">
      <c r="A1341" s="2">
        <v>1336</v>
      </c>
      <c r="B1341" s="3" t="str">
        <f>"00079154"</f>
        <v>00079154</v>
      </c>
    </row>
    <row r="1342" spans="1:2" x14ac:dyDescent="0.25">
      <c r="A1342" s="2">
        <v>1337</v>
      </c>
      <c r="B1342" s="3" t="str">
        <f>"00079186"</f>
        <v>00079186</v>
      </c>
    </row>
    <row r="1343" spans="1:2" x14ac:dyDescent="0.25">
      <c r="A1343" s="2">
        <v>1338</v>
      </c>
      <c r="B1343" s="3" t="str">
        <f>"00079236"</f>
        <v>00079236</v>
      </c>
    </row>
    <row r="1344" spans="1:2" x14ac:dyDescent="0.25">
      <c r="A1344" s="2">
        <v>1339</v>
      </c>
      <c r="B1344" s="3" t="str">
        <f>"00079332"</f>
        <v>00079332</v>
      </c>
    </row>
    <row r="1345" spans="1:2" x14ac:dyDescent="0.25">
      <c r="A1345" s="2">
        <v>1340</v>
      </c>
      <c r="B1345" s="3" t="str">
        <f>"00079352"</f>
        <v>00079352</v>
      </c>
    </row>
    <row r="1346" spans="1:2" x14ac:dyDescent="0.25">
      <c r="A1346" s="2">
        <v>1341</v>
      </c>
      <c r="B1346" s="3" t="str">
        <f>"00079392"</f>
        <v>00079392</v>
      </c>
    </row>
    <row r="1347" spans="1:2" x14ac:dyDescent="0.25">
      <c r="A1347" s="2">
        <v>1342</v>
      </c>
      <c r="B1347" s="3" t="str">
        <f>"00079403"</f>
        <v>00079403</v>
      </c>
    </row>
    <row r="1348" spans="1:2" x14ac:dyDescent="0.25">
      <c r="A1348" s="2">
        <v>1343</v>
      </c>
      <c r="B1348" s="3" t="str">
        <f>"00079465"</f>
        <v>00079465</v>
      </c>
    </row>
    <row r="1349" spans="1:2" x14ac:dyDescent="0.25">
      <c r="A1349" s="2">
        <v>1344</v>
      </c>
      <c r="B1349" s="3" t="str">
        <f>"00079562"</f>
        <v>00079562</v>
      </c>
    </row>
    <row r="1350" spans="1:2" x14ac:dyDescent="0.25">
      <c r="A1350" s="2">
        <v>1345</v>
      </c>
      <c r="B1350" s="3" t="str">
        <f>"00079584"</f>
        <v>00079584</v>
      </c>
    </row>
    <row r="1351" spans="1:2" x14ac:dyDescent="0.25">
      <c r="A1351" s="2">
        <v>1346</v>
      </c>
      <c r="B1351" s="3" t="str">
        <f>"00079591"</f>
        <v>00079591</v>
      </c>
    </row>
    <row r="1352" spans="1:2" x14ac:dyDescent="0.25">
      <c r="A1352" s="2">
        <v>1347</v>
      </c>
      <c r="B1352" s="3" t="str">
        <f>"00079604"</f>
        <v>00079604</v>
      </c>
    </row>
    <row r="1353" spans="1:2" x14ac:dyDescent="0.25">
      <c r="A1353" s="2">
        <v>1348</v>
      </c>
      <c r="B1353" s="3" t="str">
        <f>"00079641"</f>
        <v>00079641</v>
      </c>
    </row>
    <row r="1354" spans="1:2" x14ac:dyDescent="0.25">
      <c r="A1354" s="2">
        <v>1349</v>
      </c>
      <c r="B1354" s="3" t="str">
        <f>"00079642"</f>
        <v>00079642</v>
      </c>
    </row>
    <row r="1355" spans="1:2" x14ac:dyDescent="0.25">
      <c r="A1355" s="2">
        <v>1350</v>
      </c>
      <c r="B1355" s="3" t="str">
        <f>"00079643"</f>
        <v>00079643</v>
      </c>
    </row>
    <row r="1356" spans="1:2" x14ac:dyDescent="0.25">
      <c r="A1356" s="2">
        <v>1351</v>
      </c>
      <c r="B1356" s="3" t="str">
        <f>"00079793"</f>
        <v>00079793</v>
      </c>
    </row>
    <row r="1357" spans="1:2" x14ac:dyDescent="0.25">
      <c r="A1357" s="2">
        <v>1352</v>
      </c>
      <c r="B1357" s="3" t="str">
        <f>"00079794"</f>
        <v>00079794</v>
      </c>
    </row>
    <row r="1358" spans="1:2" x14ac:dyDescent="0.25">
      <c r="A1358" s="2">
        <v>1353</v>
      </c>
      <c r="B1358" s="3" t="str">
        <f>"00079797"</f>
        <v>00079797</v>
      </c>
    </row>
    <row r="1359" spans="1:2" x14ac:dyDescent="0.25">
      <c r="A1359" s="2">
        <v>1354</v>
      </c>
      <c r="B1359" s="3" t="str">
        <f>"00079887"</f>
        <v>00079887</v>
      </c>
    </row>
    <row r="1360" spans="1:2" x14ac:dyDescent="0.25">
      <c r="A1360" s="2">
        <v>1355</v>
      </c>
      <c r="B1360" s="3" t="str">
        <f>"00079995"</f>
        <v>00079995</v>
      </c>
    </row>
    <row r="1361" spans="1:2" x14ac:dyDescent="0.25">
      <c r="A1361" s="2">
        <v>1356</v>
      </c>
      <c r="B1361" s="3" t="str">
        <f>"00080026"</f>
        <v>00080026</v>
      </c>
    </row>
    <row r="1362" spans="1:2" x14ac:dyDescent="0.25">
      <c r="A1362" s="2">
        <v>1357</v>
      </c>
      <c r="B1362" s="3" t="str">
        <f>"00080099"</f>
        <v>00080099</v>
      </c>
    </row>
    <row r="1363" spans="1:2" x14ac:dyDescent="0.25">
      <c r="A1363" s="2">
        <v>1358</v>
      </c>
      <c r="B1363" s="3" t="str">
        <f>"00080102"</f>
        <v>00080102</v>
      </c>
    </row>
    <row r="1364" spans="1:2" x14ac:dyDescent="0.25">
      <c r="A1364" s="2">
        <v>1359</v>
      </c>
      <c r="B1364" s="3" t="str">
        <f>"00080184"</f>
        <v>00080184</v>
      </c>
    </row>
    <row r="1365" spans="1:2" x14ac:dyDescent="0.25">
      <c r="A1365" s="2">
        <v>1360</v>
      </c>
      <c r="B1365" s="3" t="str">
        <f>"00080265"</f>
        <v>00080265</v>
      </c>
    </row>
    <row r="1366" spans="1:2" x14ac:dyDescent="0.25">
      <c r="A1366" s="2">
        <v>1361</v>
      </c>
      <c r="B1366" s="3" t="str">
        <f>"00080273"</f>
        <v>00080273</v>
      </c>
    </row>
    <row r="1367" spans="1:2" x14ac:dyDescent="0.25">
      <c r="A1367" s="2">
        <v>1362</v>
      </c>
      <c r="B1367" s="3" t="str">
        <f>"00080347"</f>
        <v>00080347</v>
      </c>
    </row>
    <row r="1368" spans="1:2" x14ac:dyDescent="0.25">
      <c r="A1368" s="2">
        <v>1363</v>
      </c>
      <c r="B1368" s="3" t="str">
        <f>"00080368"</f>
        <v>00080368</v>
      </c>
    </row>
    <row r="1369" spans="1:2" x14ac:dyDescent="0.25">
      <c r="A1369" s="2">
        <v>1364</v>
      </c>
      <c r="B1369" s="3" t="str">
        <f>"00080446"</f>
        <v>00080446</v>
      </c>
    </row>
    <row r="1370" spans="1:2" x14ac:dyDescent="0.25">
      <c r="A1370" s="2">
        <v>1365</v>
      </c>
      <c r="B1370" s="3" t="str">
        <f>"00080461"</f>
        <v>00080461</v>
      </c>
    </row>
    <row r="1371" spans="1:2" x14ac:dyDescent="0.25">
      <c r="A1371" s="2">
        <v>1366</v>
      </c>
      <c r="B1371" s="3" t="str">
        <f>"00080522"</f>
        <v>00080522</v>
      </c>
    </row>
    <row r="1372" spans="1:2" x14ac:dyDescent="0.25">
      <c r="A1372" s="2">
        <v>1367</v>
      </c>
      <c r="B1372" s="3" t="str">
        <f>"00080528"</f>
        <v>00080528</v>
      </c>
    </row>
    <row r="1373" spans="1:2" x14ac:dyDescent="0.25">
      <c r="A1373" s="2">
        <v>1368</v>
      </c>
      <c r="B1373" s="3" t="str">
        <f>"00080578"</f>
        <v>00080578</v>
      </c>
    </row>
    <row r="1374" spans="1:2" x14ac:dyDescent="0.25">
      <c r="A1374" s="2">
        <v>1369</v>
      </c>
      <c r="B1374" s="3" t="str">
        <f>"00080708"</f>
        <v>00080708</v>
      </c>
    </row>
    <row r="1375" spans="1:2" x14ac:dyDescent="0.25">
      <c r="A1375" s="2">
        <v>1370</v>
      </c>
      <c r="B1375" s="3" t="str">
        <f>"00080818"</f>
        <v>00080818</v>
      </c>
    </row>
    <row r="1376" spans="1:2" x14ac:dyDescent="0.25">
      <c r="A1376" s="2">
        <v>1371</v>
      </c>
      <c r="B1376" s="3" t="str">
        <f>"00080836"</f>
        <v>00080836</v>
      </c>
    </row>
    <row r="1377" spans="1:2" x14ac:dyDescent="0.25">
      <c r="A1377" s="2">
        <v>1372</v>
      </c>
      <c r="B1377" s="3" t="str">
        <f>"00080900"</f>
        <v>00080900</v>
      </c>
    </row>
    <row r="1378" spans="1:2" x14ac:dyDescent="0.25">
      <c r="A1378" s="2">
        <v>1373</v>
      </c>
      <c r="B1378" s="3" t="str">
        <f>"00080981"</f>
        <v>00080981</v>
      </c>
    </row>
    <row r="1379" spans="1:2" x14ac:dyDescent="0.25">
      <c r="A1379" s="2">
        <v>1374</v>
      </c>
      <c r="B1379" s="3" t="str">
        <f>"00081023"</f>
        <v>00081023</v>
      </c>
    </row>
    <row r="1380" spans="1:2" x14ac:dyDescent="0.25">
      <c r="A1380" s="2">
        <v>1375</v>
      </c>
      <c r="B1380" s="3" t="str">
        <f>"00081044"</f>
        <v>00081044</v>
      </c>
    </row>
    <row r="1381" spans="1:2" x14ac:dyDescent="0.25">
      <c r="A1381" s="2">
        <v>1376</v>
      </c>
      <c r="B1381" s="3" t="str">
        <f>"00081144"</f>
        <v>00081144</v>
      </c>
    </row>
    <row r="1382" spans="1:2" x14ac:dyDescent="0.25">
      <c r="A1382" s="2">
        <v>1377</v>
      </c>
      <c r="B1382" s="3" t="str">
        <f>"00081199"</f>
        <v>00081199</v>
      </c>
    </row>
    <row r="1383" spans="1:2" x14ac:dyDescent="0.25">
      <c r="A1383" s="2">
        <v>1378</v>
      </c>
      <c r="B1383" s="3" t="str">
        <f>"00081256"</f>
        <v>00081256</v>
      </c>
    </row>
    <row r="1384" spans="1:2" x14ac:dyDescent="0.25">
      <c r="A1384" s="2">
        <v>1379</v>
      </c>
      <c r="B1384" s="3" t="str">
        <f>"00081386"</f>
        <v>00081386</v>
      </c>
    </row>
    <row r="1385" spans="1:2" x14ac:dyDescent="0.25">
      <c r="A1385" s="2">
        <v>1380</v>
      </c>
      <c r="B1385" s="3" t="str">
        <f>"00081395"</f>
        <v>00081395</v>
      </c>
    </row>
    <row r="1386" spans="1:2" x14ac:dyDescent="0.25">
      <c r="A1386" s="2">
        <v>1381</v>
      </c>
      <c r="B1386" s="3" t="str">
        <f>"00081405"</f>
        <v>00081405</v>
      </c>
    </row>
    <row r="1387" spans="1:2" x14ac:dyDescent="0.25">
      <c r="A1387" s="2">
        <v>1382</v>
      </c>
      <c r="B1387" s="3" t="str">
        <f>"00081745"</f>
        <v>00081745</v>
      </c>
    </row>
    <row r="1388" spans="1:2" x14ac:dyDescent="0.25">
      <c r="A1388" s="2">
        <v>1383</v>
      </c>
      <c r="B1388" s="3" t="str">
        <f>"00081812"</f>
        <v>00081812</v>
      </c>
    </row>
    <row r="1389" spans="1:2" x14ac:dyDescent="0.25">
      <c r="A1389" s="2">
        <v>1384</v>
      </c>
      <c r="B1389" s="3" t="str">
        <f>"00081859"</f>
        <v>00081859</v>
      </c>
    </row>
    <row r="1390" spans="1:2" x14ac:dyDescent="0.25">
      <c r="A1390" s="2">
        <v>1385</v>
      </c>
      <c r="B1390" s="3" t="str">
        <f>"00081898"</f>
        <v>00081898</v>
      </c>
    </row>
    <row r="1391" spans="1:2" x14ac:dyDescent="0.25">
      <c r="A1391" s="2">
        <v>1386</v>
      </c>
      <c r="B1391" s="3" t="str">
        <f>"00081947"</f>
        <v>00081947</v>
      </c>
    </row>
    <row r="1392" spans="1:2" x14ac:dyDescent="0.25">
      <c r="A1392" s="2">
        <v>1387</v>
      </c>
      <c r="B1392" s="3" t="str">
        <f>"00081959"</f>
        <v>00081959</v>
      </c>
    </row>
    <row r="1393" spans="1:2" x14ac:dyDescent="0.25">
      <c r="A1393" s="2">
        <v>1388</v>
      </c>
      <c r="B1393" s="3" t="str">
        <f>"00081964"</f>
        <v>00081964</v>
      </c>
    </row>
    <row r="1394" spans="1:2" x14ac:dyDescent="0.25">
      <c r="A1394" s="2">
        <v>1389</v>
      </c>
      <c r="B1394" s="3" t="str">
        <f>"00082110"</f>
        <v>00082110</v>
      </c>
    </row>
    <row r="1395" spans="1:2" x14ac:dyDescent="0.25">
      <c r="A1395" s="2">
        <v>1390</v>
      </c>
      <c r="B1395" s="3" t="str">
        <f>"00082119"</f>
        <v>00082119</v>
      </c>
    </row>
    <row r="1396" spans="1:2" x14ac:dyDescent="0.25">
      <c r="A1396" s="2">
        <v>1391</v>
      </c>
      <c r="B1396" s="3" t="str">
        <f>"00082165"</f>
        <v>00082165</v>
      </c>
    </row>
    <row r="1397" spans="1:2" x14ac:dyDescent="0.25">
      <c r="A1397" s="2">
        <v>1392</v>
      </c>
      <c r="B1397" s="3" t="str">
        <f>"00082885"</f>
        <v>00082885</v>
      </c>
    </row>
    <row r="1398" spans="1:2" x14ac:dyDescent="0.25">
      <c r="A1398" s="2">
        <v>1393</v>
      </c>
      <c r="B1398" s="3" t="str">
        <f>"00082896"</f>
        <v>00082896</v>
      </c>
    </row>
    <row r="1399" spans="1:2" x14ac:dyDescent="0.25">
      <c r="A1399" s="2">
        <v>1394</v>
      </c>
      <c r="B1399" s="3" t="str">
        <f>"00082974"</f>
        <v>00082974</v>
      </c>
    </row>
    <row r="1400" spans="1:2" x14ac:dyDescent="0.25">
      <c r="A1400" s="2">
        <v>1395</v>
      </c>
      <c r="B1400" s="3" t="str">
        <f>"00083216"</f>
        <v>00083216</v>
      </c>
    </row>
    <row r="1401" spans="1:2" x14ac:dyDescent="0.25">
      <c r="A1401" s="2">
        <v>1396</v>
      </c>
      <c r="B1401" s="3" t="str">
        <f>"00083269"</f>
        <v>00083269</v>
      </c>
    </row>
    <row r="1402" spans="1:2" x14ac:dyDescent="0.25">
      <c r="A1402" s="2">
        <v>1397</v>
      </c>
      <c r="B1402" s="3" t="str">
        <f>"00083318"</f>
        <v>00083318</v>
      </c>
    </row>
    <row r="1403" spans="1:2" x14ac:dyDescent="0.25">
      <c r="A1403" s="2">
        <v>1398</v>
      </c>
      <c r="B1403" s="3" t="str">
        <f>"00083432"</f>
        <v>00083432</v>
      </c>
    </row>
    <row r="1404" spans="1:2" x14ac:dyDescent="0.25">
      <c r="A1404" s="2">
        <v>1399</v>
      </c>
      <c r="B1404" s="3" t="str">
        <f>"00083467"</f>
        <v>00083467</v>
      </c>
    </row>
    <row r="1405" spans="1:2" x14ac:dyDescent="0.25">
      <c r="A1405" s="2">
        <v>1400</v>
      </c>
      <c r="B1405" s="3" t="str">
        <f>"00083515"</f>
        <v>00083515</v>
      </c>
    </row>
    <row r="1406" spans="1:2" x14ac:dyDescent="0.25">
      <c r="A1406" s="2">
        <v>1401</v>
      </c>
      <c r="B1406" s="3" t="str">
        <f>"00083518"</f>
        <v>00083518</v>
      </c>
    </row>
    <row r="1407" spans="1:2" x14ac:dyDescent="0.25">
      <c r="A1407" s="2">
        <v>1402</v>
      </c>
      <c r="B1407" s="3" t="str">
        <f>"00083561"</f>
        <v>00083561</v>
      </c>
    </row>
    <row r="1408" spans="1:2" x14ac:dyDescent="0.25">
      <c r="A1408" s="2">
        <v>1403</v>
      </c>
      <c r="B1408" s="3" t="str">
        <f>"00083618"</f>
        <v>00083618</v>
      </c>
    </row>
    <row r="1409" spans="1:2" x14ac:dyDescent="0.25">
      <c r="A1409" s="2">
        <v>1404</v>
      </c>
      <c r="B1409" s="3" t="str">
        <f>"00083619"</f>
        <v>00083619</v>
      </c>
    </row>
    <row r="1410" spans="1:2" x14ac:dyDescent="0.25">
      <c r="A1410" s="2">
        <v>1405</v>
      </c>
      <c r="B1410" s="3" t="str">
        <f>"00083662"</f>
        <v>00083662</v>
      </c>
    </row>
    <row r="1411" spans="1:2" x14ac:dyDescent="0.25">
      <c r="A1411" s="2">
        <v>1406</v>
      </c>
      <c r="B1411" s="3" t="str">
        <f>"00083663"</f>
        <v>00083663</v>
      </c>
    </row>
    <row r="1412" spans="1:2" x14ac:dyDescent="0.25">
      <c r="A1412" s="2">
        <v>1407</v>
      </c>
      <c r="B1412" s="3" t="str">
        <f>"00083798"</f>
        <v>00083798</v>
      </c>
    </row>
    <row r="1413" spans="1:2" x14ac:dyDescent="0.25">
      <c r="A1413" s="2">
        <v>1408</v>
      </c>
      <c r="B1413" s="3" t="str">
        <f>"00083832"</f>
        <v>00083832</v>
      </c>
    </row>
    <row r="1414" spans="1:2" x14ac:dyDescent="0.25">
      <c r="A1414" s="2">
        <v>1409</v>
      </c>
      <c r="B1414" s="3" t="str">
        <f>"00083847"</f>
        <v>00083847</v>
      </c>
    </row>
    <row r="1415" spans="1:2" x14ac:dyDescent="0.25">
      <c r="A1415" s="2">
        <v>1410</v>
      </c>
      <c r="B1415" s="3" t="str">
        <f>"00083850"</f>
        <v>00083850</v>
      </c>
    </row>
    <row r="1416" spans="1:2" x14ac:dyDescent="0.25">
      <c r="A1416" s="2">
        <v>1411</v>
      </c>
      <c r="B1416" s="3" t="str">
        <f>"00083865"</f>
        <v>00083865</v>
      </c>
    </row>
    <row r="1417" spans="1:2" x14ac:dyDescent="0.25">
      <c r="A1417" s="2">
        <v>1412</v>
      </c>
      <c r="B1417" s="3" t="str">
        <f>"00083987"</f>
        <v>00083987</v>
      </c>
    </row>
    <row r="1418" spans="1:2" x14ac:dyDescent="0.25">
      <c r="A1418" s="2">
        <v>1413</v>
      </c>
      <c r="B1418" s="3" t="str">
        <f>"00084000"</f>
        <v>00084000</v>
      </c>
    </row>
    <row r="1419" spans="1:2" x14ac:dyDescent="0.25">
      <c r="A1419" s="2">
        <v>1414</v>
      </c>
      <c r="B1419" s="3" t="str">
        <f>"00084014"</f>
        <v>00084014</v>
      </c>
    </row>
    <row r="1420" spans="1:2" x14ac:dyDescent="0.25">
      <c r="A1420" s="2">
        <v>1415</v>
      </c>
      <c r="B1420" s="3" t="str">
        <f>"00084015"</f>
        <v>00084015</v>
      </c>
    </row>
    <row r="1421" spans="1:2" x14ac:dyDescent="0.25">
      <c r="A1421" s="2">
        <v>1416</v>
      </c>
      <c r="B1421" s="3" t="str">
        <f>"00084068"</f>
        <v>00084068</v>
      </c>
    </row>
    <row r="1422" spans="1:2" x14ac:dyDescent="0.25">
      <c r="A1422" s="2">
        <v>1417</v>
      </c>
      <c r="B1422" s="3" t="str">
        <f>"00084197"</f>
        <v>00084197</v>
      </c>
    </row>
    <row r="1423" spans="1:2" x14ac:dyDescent="0.25">
      <c r="A1423" s="2">
        <v>1418</v>
      </c>
      <c r="B1423" s="3" t="str">
        <f>"00084262"</f>
        <v>00084262</v>
      </c>
    </row>
    <row r="1424" spans="1:2" x14ac:dyDescent="0.25">
      <c r="A1424" s="2">
        <v>1419</v>
      </c>
      <c r="B1424" s="3" t="str">
        <f>"00084426"</f>
        <v>00084426</v>
      </c>
    </row>
    <row r="1425" spans="1:2" x14ac:dyDescent="0.25">
      <c r="A1425" s="2">
        <v>1420</v>
      </c>
      <c r="B1425" s="3" t="str">
        <f>"00084464"</f>
        <v>00084464</v>
      </c>
    </row>
    <row r="1426" spans="1:2" x14ac:dyDescent="0.25">
      <c r="A1426" s="2">
        <v>1421</v>
      </c>
      <c r="B1426" s="3" t="str">
        <f>"00084516"</f>
        <v>00084516</v>
      </c>
    </row>
    <row r="1427" spans="1:2" x14ac:dyDescent="0.25">
      <c r="A1427" s="2">
        <v>1422</v>
      </c>
      <c r="B1427" s="3" t="str">
        <f>"00084529"</f>
        <v>00084529</v>
      </c>
    </row>
    <row r="1428" spans="1:2" x14ac:dyDescent="0.25">
      <c r="A1428" s="2">
        <v>1423</v>
      </c>
      <c r="B1428" s="3" t="str">
        <f>"00084557"</f>
        <v>00084557</v>
      </c>
    </row>
    <row r="1429" spans="1:2" x14ac:dyDescent="0.25">
      <c r="A1429" s="2">
        <v>1424</v>
      </c>
      <c r="B1429" s="3" t="str">
        <f>"00084733"</f>
        <v>00084733</v>
      </c>
    </row>
    <row r="1430" spans="1:2" x14ac:dyDescent="0.25">
      <c r="A1430" s="2">
        <v>1425</v>
      </c>
      <c r="B1430" s="3" t="str">
        <f>"00084769"</f>
        <v>00084769</v>
      </c>
    </row>
    <row r="1431" spans="1:2" x14ac:dyDescent="0.25">
      <c r="A1431" s="2">
        <v>1426</v>
      </c>
      <c r="B1431" s="3" t="str">
        <f>"00084770"</f>
        <v>00084770</v>
      </c>
    </row>
    <row r="1432" spans="1:2" x14ac:dyDescent="0.25">
      <c r="A1432" s="2">
        <v>1427</v>
      </c>
      <c r="B1432" s="3" t="str">
        <f>"00084776"</f>
        <v>00084776</v>
      </c>
    </row>
    <row r="1433" spans="1:2" x14ac:dyDescent="0.25">
      <c r="A1433" s="2">
        <v>1428</v>
      </c>
      <c r="B1433" s="3" t="str">
        <f>"00084892"</f>
        <v>00084892</v>
      </c>
    </row>
    <row r="1434" spans="1:2" x14ac:dyDescent="0.25">
      <c r="A1434" s="2">
        <v>1429</v>
      </c>
      <c r="B1434" s="3" t="str">
        <f>"00084945"</f>
        <v>00084945</v>
      </c>
    </row>
    <row r="1435" spans="1:2" x14ac:dyDescent="0.25">
      <c r="A1435" s="2">
        <v>1430</v>
      </c>
      <c r="B1435" s="3" t="str">
        <f>"00084954"</f>
        <v>00084954</v>
      </c>
    </row>
    <row r="1436" spans="1:2" x14ac:dyDescent="0.25">
      <c r="A1436" s="2">
        <v>1431</v>
      </c>
      <c r="B1436" s="3" t="str">
        <f>"00084963"</f>
        <v>00084963</v>
      </c>
    </row>
    <row r="1437" spans="1:2" x14ac:dyDescent="0.25">
      <c r="A1437" s="2">
        <v>1432</v>
      </c>
      <c r="B1437" s="3" t="str">
        <f>"00085037"</f>
        <v>00085037</v>
      </c>
    </row>
    <row r="1438" spans="1:2" x14ac:dyDescent="0.25">
      <c r="A1438" s="2">
        <v>1433</v>
      </c>
      <c r="B1438" s="3" t="str">
        <f>"00085227"</f>
        <v>00085227</v>
      </c>
    </row>
    <row r="1439" spans="1:2" x14ac:dyDescent="0.25">
      <c r="A1439" s="2">
        <v>1434</v>
      </c>
      <c r="B1439" s="3" t="str">
        <f>"00085298"</f>
        <v>00085298</v>
      </c>
    </row>
    <row r="1440" spans="1:2" x14ac:dyDescent="0.25">
      <c r="A1440" s="2">
        <v>1435</v>
      </c>
      <c r="B1440" s="3" t="str">
        <f>"00085305"</f>
        <v>00085305</v>
      </c>
    </row>
    <row r="1441" spans="1:2" x14ac:dyDescent="0.25">
      <c r="A1441" s="2">
        <v>1436</v>
      </c>
      <c r="B1441" s="3" t="str">
        <f>"00085330"</f>
        <v>00085330</v>
      </c>
    </row>
    <row r="1442" spans="1:2" x14ac:dyDescent="0.25">
      <c r="A1442" s="2">
        <v>1437</v>
      </c>
      <c r="B1442" s="3" t="str">
        <f>"00085417"</f>
        <v>00085417</v>
      </c>
    </row>
    <row r="1443" spans="1:2" x14ac:dyDescent="0.25">
      <c r="A1443" s="2">
        <v>1438</v>
      </c>
      <c r="B1443" s="3" t="str">
        <f>"00085443"</f>
        <v>00085443</v>
      </c>
    </row>
    <row r="1444" spans="1:2" x14ac:dyDescent="0.25">
      <c r="A1444" s="2">
        <v>1439</v>
      </c>
      <c r="B1444" s="3" t="str">
        <f>"00085470"</f>
        <v>00085470</v>
      </c>
    </row>
    <row r="1445" spans="1:2" x14ac:dyDescent="0.25">
      <c r="A1445" s="2">
        <v>1440</v>
      </c>
      <c r="B1445" s="3" t="str">
        <f>"00085504"</f>
        <v>00085504</v>
      </c>
    </row>
    <row r="1446" spans="1:2" x14ac:dyDescent="0.25">
      <c r="A1446" s="2">
        <v>1441</v>
      </c>
      <c r="B1446" s="3" t="str">
        <f>"00085586"</f>
        <v>00085586</v>
      </c>
    </row>
    <row r="1447" spans="1:2" x14ac:dyDescent="0.25">
      <c r="A1447" s="2">
        <v>1442</v>
      </c>
      <c r="B1447" s="3" t="str">
        <f>"00085633"</f>
        <v>00085633</v>
      </c>
    </row>
    <row r="1448" spans="1:2" x14ac:dyDescent="0.25">
      <c r="A1448" s="2">
        <v>1443</v>
      </c>
      <c r="B1448" s="3" t="str">
        <f>"00085642"</f>
        <v>00085642</v>
      </c>
    </row>
    <row r="1449" spans="1:2" x14ac:dyDescent="0.25">
      <c r="A1449" s="2">
        <v>1444</v>
      </c>
      <c r="B1449" s="3" t="str">
        <f>"00085653"</f>
        <v>00085653</v>
      </c>
    </row>
    <row r="1450" spans="1:2" x14ac:dyDescent="0.25">
      <c r="A1450" s="2">
        <v>1445</v>
      </c>
      <c r="B1450" s="3" t="str">
        <f>"00085728"</f>
        <v>00085728</v>
      </c>
    </row>
    <row r="1451" spans="1:2" x14ac:dyDescent="0.25">
      <c r="A1451" s="2">
        <v>1446</v>
      </c>
      <c r="B1451" s="3" t="str">
        <f>"00085736"</f>
        <v>00085736</v>
      </c>
    </row>
    <row r="1452" spans="1:2" x14ac:dyDescent="0.25">
      <c r="A1452" s="2">
        <v>1447</v>
      </c>
      <c r="B1452" s="3" t="str">
        <f>"00085764"</f>
        <v>00085764</v>
      </c>
    </row>
    <row r="1453" spans="1:2" x14ac:dyDescent="0.25">
      <c r="A1453" s="2">
        <v>1448</v>
      </c>
      <c r="B1453" s="3" t="str">
        <f>"00085801"</f>
        <v>00085801</v>
      </c>
    </row>
    <row r="1454" spans="1:2" x14ac:dyDescent="0.25">
      <c r="A1454" s="2">
        <v>1449</v>
      </c>
      <c r="B1454" s="3" t="str">
        <f>"00085884"</f>
        <v>00085884</v>
      </c>
    </row>
    <row r="1455" spans="1:2" x14ac:dyDescent="0.25">
      <c r="A1455" s="2">
        <v>1450</v>
      </c>
      <c r="B1455" s="3" t="str">
        <f>"00085910"</f>
        <v>00085910</v>
      </c>
    </row>
    <row r="1456" spans="1:2" x14ac:dyDescent="0.25">
      <c r="A1456" s="2">
        <v>1451</v>
      </c>
      <c r="B1456" s="3" t="str">
        <f>"00085913"</f>
        <v>00085913</v>
      </c>
    </row>
    <row r="1457" spans="1:2" x14ac:dyDescent="0.25">
      <c r="A1457" s="2">
        <v>1452</v>
      </c>
      <c r="B1457" s="3" t="str">
        <f>"00085965"</f>
        <v>00085965</v>
      </c>
    </row>
    <row r="1458" spans="1:2" x14ac:dyDescent="0.25">
      <c r="A1458" s="2">
        <v>1453</v>
      </c>
      <c r="B1458" s="3" t="str">
        <f>"00085971"</f>
        <v>00085971</v>
      </c>
    </row>
    <row r="1459" spans="1:2" x14ac:dyDescent="0.25">
      <c r="A1459" s="2">
        <v>1454</v>
      </c>
      <c r="B1459" s="3" t="str">
        <f>"00085972"</f>
        <v>00085972</v>
      </c>
    </row>
    <row r="1460" spans="1:2" x14ac:dyDescent="0.25">
      <c r="A1460" s="2">
        <v>1455</v>
      </c>
      <c r="B1460" s="3" t="str">
        <f>"00086026"</f>
        <v>00086026</v>
      </c>
    </row>
    <row r="1461" spans="1:2" x14ac:dyDescent="0.25">
      <c r="A1461" s="2">
        <v>1456</v>
      </c>
      <c r="B1461" s="3" t="str">
        <f>"00086036"</f>
        <v>00086036</v>
      </c>
    </row>
    <row r="1462" spans="1:2" x14ac:dyDescent="0.25">
      <c r="A1462" s="2">
        <v>1457</v>
      </c>
      <c r="B1462" s="3" t="str">
        <f>"00086061"</f>
        <v>00086061</v>
      </c>
    </row>
    <row r="1463" spans="1:2" x14ac:dyDescent="0.25">
      <c r="A1463" s="2">
        <v>1458</v>
      </c>
      <c r="B1463" s="3" t="str">
        <f>"00086084"</f>
        <v>00086084</v>
      </c>
    </row>
    <row r="1464" spans="1:2" x14ac:dyDescent="0.25">
      <c r="A1464" s="2">
        <v>1459</v>
      </c>
      <c r="B1464" s="3" t="str">
        <f>"00086093"</f>
        <v>00086093</v>
      </c>
    </row>
    <row r="1465" spans="1:2" x14ac:dyDescent="0.25">
      <c r="A1465" s="2">
        <v>1460</v>
      </c>
      <c r="B1465" s="3" t="str">
        <f>"00086167"</f>
        <v>00086167</v>
      </c>
    </row>
    <row r="1466" spans="1:2" x14ac:dyDescent="0.25">
      <c r="A1466" s="2">
        <v>1461</v>
      </c>
      <c r="B1466" s="3" t="str">
        <f>"00086175"</f>
        <v>00086175</v>
      </c>
    </row>
    <row r="1467" spans="1:2" x14ac:dyDescent="0.25">
      <c r="A1467" s="2">
        <v>1462</v>
      </c>
      <c r="B1467" s="3" t="str">
        <f>"00086247"</f>
        <v>00086247</v>
      </c>
    </row>
    <row r="1468" spans="1:2" x14ac:dyDescent="0.25">
      <c r="A1468" s="2">
        <v>1463</v>
      </c>
      <c r="B1468" s="3" t="str">
        <f>"00086369"</f>
        <v>00086369</v>
      </c>
    </row>
    <row r="1469" spans="1:2" x14ac:dyDescent="0.25">
      <c r="A1469" s="2">
        <v>1464</v>
      </c>
      <c r="B1469" s="3" t="str">
        <f>"00086387"</f>
        <v>00086387</v>
      </c>
    </row>
    <row r="1470" spans="1:2" x14ac:dyDescent="0.25">
      <c r="A1470" s="2">
        <v>1465</v>
      </c>
      <c r="B1470" s="3" t="str">
        <f>"00086410"</f>
        <v>00086410</v>
      </c>
    </row>
    <row r="1471" spans="1:2" x14ac:dyDescent="0.25">
      <c r="A1471" s="2">
        <v>1466</v>
      </c>
      <c r="B1471" s="3" t="str">
        <f>"00086420"</f>
        <v>00086420</v>
      </c>
    </row>
    <row r="1472" spans="1:2" x14ac:dyDescent="0.25">
      <c r="A1472" s="2">
        <v>1467</v>
      </c>
      <c r="B1472" s="3" t="str">
        <f>"00086426"</f>
        <v>00086426</v>
      </c>
    </row>
    <row r="1473" spans="1:2" x14ac:dyDescent="0.25">
      <c r="A1473" s="2">
        <v>1468</v>
      </c>
      <c r="B1473" s="3" t="str">
        <f>"00086445"</f>
        <v>00086445</v>
      </c>
    </row>
    <row r="1474" spans="1:2" x14ac:dyDescent="0.25">
      <c r="A1474" s="2">
        <v>1469</v>
      </c>
      <c r="B1474" s="3" t="str">
        <f>"00086475"</f>
        <v>00086475</v>
      </c>
    </row>
    <row r="1475" spans="1:2" x14ac:dyDescent="0.25">
      <c r="A1475" s="2">
        <v>1470</v>
      </c>
      <c r="B1475" s="3" t="str">
        <f>"00086490"</f>
        <v>00086490</v>
      </c>
    </row>
    <row r="1476" spans="1:2" x14ac:dyDescent="0.25">
      <c r="A1476" s="2">
        <v>1471</v>
      </c>
      <c r="B1476" s="3" t="str">
        <f>"00086492"</f>
        <v>00086492</v>
      </c>
    </row>
    <row r="1477" spans="1:2" x14ac:dyDescent="0.25">
      <c r="A1477" s="2">
        <v>1472</v>
      </c>
      <c r="B1477" s="3" t="str">
        <f>"00086517"</f>
        <v>00086517</v>
      </c>
    </row>
    <row r="1478" spans="1:2" x14ac:dyDescent="0.25">
      <c r="A1478" s="2">
        <v>1473</v>
      </c>
      <c r="B1478" s="3" t="str">
        <f>"00086519"</f>
        <v>00086519</v>
      </c>
    </row>
    <row r="1479" spans="1:2" x14ac:dyDescent="0.25">
      <c r="A1479" s="2">
        <v>1474</v>
      </c>
      <c r="B1479" s="3" t="str">
        <f>"00086522"</f>
        <v>00086522</v>
      </c>
    </row>
    <row r="1480" spans="1:2" x14ac:dyDescent="0.25">
      <c r="A1480" s="2">
        <v>1475</v>
      </c>
      <c r="B1480" s="3" t="str">
        <f>"00086556"</f>
        <v>00086556</v>
      </c>
    </row>
    <row r="1481" spans="1:2" x14ac:dyDescent="0.25">
      <c r="A1481" s="2">
        <v>1476</v>
      </c>
      <c r="B1481" s="3" t="str">
        <f>"00086600"</f>
        <v>00086600</v>
      </c>
    </row>
    <row r="1482" spans="1:2" x14ac:dyDescent="0.25">
      <c r="A1482" s="2">
        <v>1477</v>
      </c>
      <c r="B1482" s="3" t="str">
        <f>"00086602"</f>
        <v>00086602</v>
      </c>
    </row>
    <row r="1483" spans="1:2" x14ac:dyDescent="0.25">
      <c r="A1483" s="2">
        <v>1478</v>
      </c>
      <c r="B1483" s="3" t="str">
        <f>"00086610"</f>
        <v>00086610</v>
      </c>
    </row>
    <row r="1484" spans="1:2" x14ac:dyDescent="0.25">
      <c r="A1484" s="2">
        <v>1479</v>
      </c>
      <c r="B1484" s="3" t="str">
        <f>"00086633"</f>
        <v>00086633</v>
      </c>
    </row>
    <row r="1485" spans="1:2" x14ac:dyDescent="0.25">
      <c r="A1485" s="2">
        <v>1480</v>
      </c>
      <c r="B1485" s="3" t="str">
        <f>"00086661"</f>
        <v>00086661</v>
      </c>
    </row>
    <row r="1486" spans="1:2" x14ac:dyDescent="0.25">
      <c r="A1486" s="2">
        <v>1481</v>
      </c>
      <c r="B1486" s="3" t="str">
        <f>"00086662"</f>
        <v>00086662</v>
      </c>
    </row>
    <row r="1487" spans="1:2" x14ac:dyDescent="0.25">
      <c r="A1487" s="2">
        <v>1482</v>
      </c>
      <c r="B1487" s="3" t="str">
        <f>"00086677"</f>
        <v>00086677</v>
      </c>
    </row>
    <row r="1488" spans="1:2" x14ac:dyDescent="0.25">
      <c r="A1488" s="2">
        <v>1483</v>
      </c>
      <c r="B1488" s="3" t="str">
        <f>"00086689"</f>
        <v>00086689</v>
      </c>
    </row>
    <row r="1489" spans="1:2" x14ac:dyDescent="0.25">
      <c r="A1489" s="2">
        <v>1484</v>
      </c>
      <c r="B1489" s="3" t="str">
        <f>"00086709"</f>
        <v>00086709</v>
      </c>
    </row>
    <row r="1490" spans="1:2" x14ac:dyDescent="0.25">
      <c r="A1490" s="2">
        <v>1485</v>
      </c>
      <c r="B1490" s="3" t="str">
        <f>"00086763"</f>
        <v>00086763</v>
      </c>
    </row>
    <row r="1491" spans="1:2" x14ac:dyDescent="0.25">
      <c r="A1491" s="2">
        <v>1486</v>
      </c>
      <c r="B1491" s="3" t="str">
        <f>"00086836"</f>
        <v>00086836</v>
      </c>
    </row>
    <row r="1492" spans="1:2" x14ac:dyDescent="0.25">
      <c r="A1492" s="2">
        <v>1487</v>
      </c>
      <c r="B1492" s="3" t="str">
        <f>"00086894"</f>
        <v>00086894</v>
      </c>
    </row>
    <row r="1493" spans="1:2" x14ac:dyDescent="0.25">
      <c r="A1493" s="2">
        <v>1488</v>
      </c>
      <c r="B1493" s="3" t="str">
        <f>"00086902"</f>
        <v>00086902</v>
      </c>
    </row>
    <row r="1494" spans="1:2" x14ac:dyDescent="0.25">
      <c r="A1494" s="2">
        <v>1489</v>
      </c>
      <c r="B1494" s="3" t="str">
        <f>"00086947"</f>
        <v>00086947</v>
      </c>
    </row>
    <row r="1495" spans="1:2" x14ac:dyDescent="0.25">
      <c r="A1495" s="2">
        <v>1490</v>
      </c>
      <c r="B1495" s="3" t="str">
        <f>"00086960"</f>
        <v>00086960</v>
      </c>
    </row>
    <row r="1496" spans="1:2" x14ac:dyDescent="0.25">
      <c r="A1496" s="2">
        <v>1491</v>
      </c>
      <c r="B1496" s="3" t="str">
        <f>"00087017"</f>
        <v>00087017</v>
      </c>
    </row>
    <row r="1497" spans="1:2" x14ac:dyDescent="0.25">
      <c r="A1497" s="2">
        <v>1492</v>
      </c>
      <c r="B1497" s="3" t="str">
        <f>"00087033"</f>
        <v>00087033</v>
      </c>
    </row>
    <row r="1498" spans="1:2" x14ac:dyDescent="0.25">
      <c r="A1498" s="2">
        <v>1493</v>
      </c>
      <c r="B1498" s="3" t="str">
        <f>"00087040"</f>
        <v>00087040</v>
      </c>
    </row>
    <row r="1499" spans="1:2" x14ac:dyDescent="0.25">
      <c r="A1499" s="2">
        <v>1494</v>
      </c>
      <c r="B1499" s="3" t="str">
        <f>"00087074"</f>
        <v>00087074</v>
      </c>
    </row>
    <row r="1500" spans="1:2" x14ac:dyDescent="0.25">
      <c r="A1500" s="2">
        <v>1495</v>
      </c>
      <c r="B1500" s="3" t="str">
        <f>"00087092"</f>
        <v>00087092</v>
      </c>
    </row>
    <row r="1501" spans="1:2" x14ac:dyDescent="0.25">
      <c r="A1501" s="2">
        <v>1496</v>
      </c>
      <c r="B1501" s="3" t="str">
        <f>"00087097"</f>
        <v>00087097</v>
      </c>
    </row>
    <row r="1502" spans="1:2" x14ac:dyDescent="0.25">
      <c r="A1502" s="2">
        <v>1497</v>
      </c>
      <c r="B1502" s="3" t="str">
        <f>"00087222"</f>
        <v>00087222</v>
      </c>
    </row>
    <row r="1503" spans="1:2" x14ac:dyDescent="0.25">
      <c r="A1503" s="2">
        <v>1498</v>
      </c>
      <c r="B1503" s="3" t="str">
        <f>"00087225"</f>
        <v>00087225</v>
      </c>
    </row>
    <row r="1504" spans="1:2" x14ac:dyDescent="0.25">
      <c r="A1504" s="2">
        <v>1499</v>
      </c>
      <c r="B1504" s="3" t="str">
        <f>"00087226"</f>
        <v>00087226</v>
      </c>
    </row>
    <row r="1505" spans="1:2" x14ac:dyDescent="0.25">
      <c r="A1505" s="2">
        <v>1500</v>
      </c>
      <c r="B1505" s="3" t="str">
        <f>"00087246"</f>
        <v>00087246</v>
      </c>
    </row>
    <row r="1506" spans="1:2" x14ac:dyDescent="0.25">
      <c r="A1506" s="2">
        <v>1501</v>
      </c>
      <c r="B1506" s="3" t="str">
        <f>"00087284"</f>
        <v>00087284</v>
      </c>
    </row>
    <row r="1507" spans="1:2" x14ac:dyDescent="0.25">
      <c r="A1507" s="2">
        <v>1502</v>
      </c>
      <c r="B1507" s="3" t="str">
        <f>"00087302"</f>
        <v>00087302</v>
      </c>
    </row>
    <row r="1508" spans="1:2" x14ac:dyDescent="0.25">
      <c r="A1508" s="2">
        <v>1503</v>
      </c>
      <c r="B1508" s="3" t="str">
        <f>"00087335"</f>
        <v>00087335</v>
      </c>
    </row>
    <row r="1509" spans="1:2" x14ac:dyDescent="0.25">
      <c r="A1509" s="2">
        <v>1504</v>
      </c>
      <c r="B1509" s="3" t="str">
        <f>"00087350"</f>
        <v>00087350</v>
      </c>
    </row>
    <row r="1510" spans="1:2" x14ac:dyDescent="0.25">
      <c r="A1510" s="2">
        <v>1505</v>
      </c>
      <c r="B1510" s="3" t="str">
        <f>"00087354"</f>
        <v>00087354</v>
      </c>
    </row>
    <row r="1511" spans="1:2" x14ac:dyDescent="0.25">
      <c r="A1511" s="2">
        <v>1506</v>
      </c>
      <c r="B1511" s="3" t="str">
        <f>"00087435"</f>
        <v>00087435</v>
      </c>
    </row>
    <row r="1512" spans="1:2" x14ac:dyDescent="0.25">
      <c r="A1512" s="2">
        <v>1507</v>
      </c>
      <c r="B1512" s="3" t="str">
        <f>"00087468"</f>
        <v>00087468</v>
      </c>
    </row>
    <row r="1513" spans="1:2" x14ac:dyDescent="0.25">
      <c r="A1513" s="2">
        <v>1508</v>
      </c>
      <c r="B1513" s="3" t="str">
        <f>"00087507"</f>
        <v>00087507</v>
      </c>
    </row>
    <row r="1514" spans="1:2" x14ac:dyDescent="0.25">
      <c r="A1514" s="2">
        <v>1509</v>
      </c>
      <c r="B1514" s="3" t="str">
        <f>"00087594"</f>
        <v>00087594</v>
      </c>
    </row>
    <row r="1515" spans="1:2" x14ac:dyDescent="0.25">
      <c r="A1515" s="2">
        <v>1510</v>
      </c>
      <c r="B1515" s="3" t="str">
        <f>"00087655"</f>
        <v>00087655</v>
      </c>
    </row>
    <row r="1516" spans="1:2" x14ac:dyDescent="0.25">
      <c r="A1516" s="2">
        <v>1511</v>
      </c>
      <c r="B1516" s="3" t="str">
        <f>"00087683"</f>
        <v>00087683</v>
      </c>
    </row>
    <row r="1517" spans="1:2" x14ac:dyDescent="0.25">
      <c r="A1517" s="2">
        <v>1512</v>
      </c>
      <c r="B1517" s="3" t="str">
        <f>"00087902"</f>
        <v>00087902</v>
      </c>
    </row>
    <row r="1518" spans="1:2" x14ac:dyDescent="0.25">
      <c r="A1518" s="2">
        <v>1513</v>
      </c>
      <c r="B1518" s="3" t="str">
        <f>"00087954"</f>
        <v>00087954</v>
      </c>
    </row>
    <row r="1519" spans="1:2" x14ac:dyDescent="0.25">
      <c r="A1519" s="2">
        <v>1514</v>
      </c>
      <c r="B1519" s="3" t="str">
        <f>"00088012"</f>
        <v>00088012</v>
      </c>
    </row>
    <row r="1520" spans="1:2" x14ac:dyDescent="0.25">
      <c r="A1520" s="2">
        <v>1515</v>
      </c>
      <c r="B1520" s="3" t="str">
        <f>"00088021"</f>
        <v>00088021</v>
      </c>
    </row>
    <row r="1521" spans="1:2" x14ac:dyDescent="0.25">
      <c r="A1521" s="2">
        <v>1516</v>
      </c>
      <c r="B1521" s="3" t="str">
        <f>"00088066"</f>
        <v>00088066</v>
      </c>
    </row>
    <row r="1522" spans="1:2" x14ac:dyDescent="0.25">
      <c r="A1522" s="2">
        <v>1517</v>
      </c>
      <c r="B1522" s="3" t="str">
        <f>"00088094"</f>
        <v>00088094</v>
      </c>
    </row>
    <row r="1523" spans="1:2" x14ac:dyDescent="0.25">
      <c r="A1523" s="2">
        <v>1518</v>
      </c>
      <c r="B1523" s="3" t="str">
        <f>"00088099"</f>
        <v>00088099</v>
      </c>
    </row>
    <row r="1524" spans="1:2" x14ac:dyDescent="0.25">
      <c r="A1524" s="2">
        <v>1519</v>
      </c>
      <c r="B1524" s="3" t="str">
        <f>"00088111"</f>
        <v>00088111</v>
      </c>
    </row>
    <row r="1525" spans="1:2" x14ac:dyDescent="0.25">
      <c r="A1525" s="2">
        <v>1520</v>
      </c>
      <c r="B1525" s="3" t="str">
        <f>"00088145"</f>
        <v>00088145</v>
      </c>
    </row>
    <row r="1526" spans="1:2" x14ac:dyDescent="0.25">
      <c r="A1526" s="2">
        <v>1521</v>
      </c>
      <c r="B1526" s="3" t="str">
        <f>"00088197"</f>
        <v>00088197</v>
      </c>
    </row>
    <row r="1527" spans="1:2" x14ac:dyDescent="0.25">
      <c r="A1527" s="2">
        <v>1522</v>
      </c>
      <c r="B1527" s="3" t="str">
        <f>"00088208"</f>
        <v>00088208</v>
      </c>
    </row>
    <row r="1528" spans="1:2" x14ac:dyDescent="0.25">
      <c r="A1528" s="2">
        <v>1523</v>
      </c>
      <c r="B1528" s="3" t="str">
        <f>"00088299"</f>
        <v>00088299</v>
      </c>
    </row>
    <row r="1529" spans="1:2" x14ac:dyDescent="0.25">
      <c r="A1529" s="2">
        <v>1524</v>
      </c>
      <c r="B1529" s="3" t="str">
        <f>"00088383"</f>
        <v>00088383</v>
      </c>
    </row>
    <row r="1530" spans="1:2" x14ac:dyDescent="0.25">
      <c r="A1530" s="2">
        <v>1525</v>
      </c>
      <c r="B1530" s="3" t="str">
        <f>"00088408"</f>
        <v>00088408</v>
      </c>
    </row>
    <row r="1531" spans="1:2" x14ac:dyDescent="0.25">
      <c r="A1531" s="2">
        <v>1526</v>
      </c>
      <c r="B1531" s="3" t="str">
        <f>"00088484"</f>
        <v>00088484</v>
      </c>
    </row>
    <row r="1532" spans="1:2" x14ac:dyDescent="0.25">
      <c r="A1532" s="2">
        <v>1527</v>
      </c>
      <c r="B1532" s="3" t="str">
        <f>"00088506"</f>
        <v>00088506</v>
      </c>
    </row>
    <row r="1533" spans="1:2" x14ac:dyDescent="0.25">
      <c r="A1533" s="2">
        <v>1528</v>
      </c>
      <c r="B1533" s="3" t="str">
        <f>"00088554"</f>
        <v>00088554</v>
      </c>
    </row>
    <row r="1534" spans="1:2" x14ac:dyDescent="0.25">
      <c r="A1534" s="2">
        <v>1529</v>
      </c>
      <c r="B1534" s="3" t="str">
        <f>"00088634"</f>
        <v>00088634</v>
      </c>
    </row>
    <row r="1535" spans="1:2" x14ac:dyDescent="0.25">
      <c r="A1535" s="2">
        <v>1530</v>
      </c>
      <c r="B1535" s="3" t="str">
        <f>"00088639"</f>
        <v>00088639</v>
      </c>
    </row>
    <row r="1536" spans="1:2" x14ac:dyDescent="0.25">
      <c r="A1536" s="2">
        <v>1531</v>
      </c>
      <c r="B1536" s="3" t="str">
        <f>"00088643"</f>
        <v>00088643</v>
      </c>
    </row>
    <row r="1537" spans="1:2" x14ac:dyDescent="0.25">
      <c r="A1537" s="2">
        <v>1532</v>
      </c>
      <c r="B1537" s="3" t="str">
        <f>"00088692"</f>
        <v>00088692</v>
      </c>
    </row>
    <row r="1538" spans="1:2" x14ac:dyDescent="0.25">
      <c r="A1538" s="2">
        <v>1533</v>
      </c>
      <c r="B1538" s="3" t="str">
        <f>"00088727"</f>
        <v>00088727</v>
      </c>
    </row>
    <row r="1539" spans="1:2" x14ac:dyDescent="0.25">
      <c r="A1539" s="2">
        <v>1534</v>
      </c>
      <c r="B1539" s="3" t="str">
        <f>"00088742"</f>
        <v>00088742</v>
      </c>
    </row>
    <row r="1540" spans="1:2" x14ac:dyDescent="0.25">
      <c r="A1540" s="2">
        <v>1535</v>
      </c>
      <c r="B1540" s="3" t="str">
        <f>"00088794"</f>
        <v>00088794</v>
      </c>
    </row>
    <row r="1541" spans="1:2" x14ac:dyDescent="0.25">
      <c r="A1541" s="2">
        <v>1536</v>
      </c>
      <c r="B1541" s="3" t="str">
        <f>"00088825"</f>
        <v>00088825</v>
      </c>
    </row>
    <row r="1542" spans="1:2" x14ac:dyDescent="0.25">
      <c r="A1542" s="2">
        <v>1537</v>
      </c>
      <c r="B1542" s="3" t="str">
        <f>"00088868"</f>
        <v>00088868</v>
      </c>
    </row>
    <row r="1543" spans="1:2" x14ac:dyDescent="0.25">
      <c r="A1543" s="2">
        <v>1538</v>
      </c>
      <c r="B1543" s="3" t="str">
        <f>"00088875"</f>
        <v>00088875</v>
      </c>
    </row>
    <row r="1544" spans="1:2" x14ac:dyDescent="0.25">
      <c r="A1544" s="2">
        <v>1539</v>
      </c>
      <c r="B1544" s="3" t="str">
        <f>"00088880"</f>
        <v>00088880</v>
      </c>
    </row>
    <row r="1545" spans="1:2" x14ac:dyDescent="0.25">
      <c r="A1545" s="2">
        <v>1540</v>
      </c>
      <c r="B1545" s="3" t="str">
        <f>"00088945"</f>
        <v>00088945</v>
      </c>
    </row>
    <row r="1546" spans="1:2" x14ac:dyDescent="0.25">
      <c r="A1546" s="2">
        <v>1541</v>
      </c>
      <c r="B1546" s="3" t="str">
        <f>"00089053"</f>
        <v>00089053</v>
      </c>
    </row>
    <row r="1547" spans="1:2" x14ac:dyDescent="0.25">
      <c r="A1547" s="2">
        <v>1542</v>
      </c>
      <c r="B1547" s="3" t="str">
        <f>"00089075"</f>
        <v>00089075</v>
      </c>
    </row>
    <row r="1548" spans="1:2" x14ac:dyDescent="0.25">
      <c r="A1548" s="2">
        <v>1543</v>
      </c>
      <c r="B1548" s="3" t="str">
        <f>"00089239"</f>
        <v>00089239</v>
      </c>
    </row>
    <row r="1549" spans="1:2" x14ac:dyDescent="0.25">
      <c r="A1549" s="2">
        <v>1544</v>
      </c>
      <c r="B1549" s="3" t="str">
        <f>"00089243"</f>
        <v>00089243</v>
      </c>
    </row>
    <row r="1550" spans="1:2" x14ac:dyDescent="0.25">
      <c r="A1550" s="2">
        <v>1545</v>
      </c>
      <c r="B1550" s="3" t="str">
        <f>"00089292"</f>
        <v>00089292</v>
      </c>
    </row>
    <row r="1551" spans="1:2" x14ac:dyDescent="0.25">
      <c r="A1551" s="2">
        <v>1546</v>
      </c>
      <c r="B1551" s="3" t="str">
        <f>"00089299"</f>
        <v>00089299</v>
      </c>
    </row>
    <row r="1552" spans="1:2" x14ac:dyDescent="0.25">
      <c r="A1552" s="2">
        <v>1547</v>
      </c>
      <c r="B1552" s="3" t="str">
        <f>"00089321"</f>
        <v>00089321</v>
      </c>
    </row>
    <row r="1553" spans="1:2" x14ac:dyDescent="0.25">
      <c r="A1553" s="2">
        <v>1548</v>
      </c>
      <c r="B1553" s="3" t="str">
        <f>"00089354"</f>
        <v>00089354</v>
      </c>
    </row>
    <row r="1554" spans="1:2" x14ac:dyDescent="0.25">
      <c r="A1554" s="2">
        <v>1549</v>
      </c>
      <c r="B1554" s="3" t="str">
        <f>"00089417"</f>
        <v>00089417</v>
      </c>
    </row>
    <row r="1555" spans="1:2" x14ac:dyDescent="0.25">
      <c r="A1555" s="2">
        <v>1550</v>
      </c>
      <c r="B1555" s="3" t="str">
        <f>"00089423"</f>
        <v>00089423</v>
      </c>
    </row>
    <row r="1556" spans="1:2" x14ac:dyDescent="0.25">
      <c r="A1556" s="2">
        <v>1551</v>
      </c>
      <c r="B1556" s="3" t="str">
        <f>"00089494"</f>
        <v>00089494</v>
      </c>
    </row>
    <row r="1557" spans="1:2" x14ac:dyDescent="0.25">
      <c r="A1557" s="2">
        <v>1552</v>
      </c>
      <c r="B1557" s="3" t="str">
        <f>"00089603"</f>
        <v>00089603</v>
      </c>
    </row>
    <row r="1558" spans="1:2" x14ac:dyDescent="0.25">
      <c r="A1558" s="2">
        <v>1553</v>
      </c>
      <c r="B1558" s="3" t="str">
        <f>"00089665"</f>
        <v>00089665</v>
      </c>
    </row>
    <row r="1559" spans="1:2" x14ac:dyDescent="0.25">
      <c r="A1559" s="2">
        <v>1554</v>
      </c>
      <c r="B1559" s="3" t="str">
        <f>"00089668"</f>
        <v>00089668</v>
      </c>
    </row>
    <row r="1560" spans="1:2" x14ac:dyDescent="0.25">
      <c r="A1560" s="2">
        <v>1555</v>
      </c>
      <c r="B1560" s="3" t="str">
        <f>"00089669"</f>
        <v>00089669</v>
      </c>
    </row>
    <row r="1561" spans="1:2" x14ac:dyDescent="0.25">
      <c r="A1561" s="2">
        <v>1556</v>
      </c>
      <c r="B1561" s="3" t="str">
        <f>"00089671"</f>
        <v>00089671</v>
      </c>
    </row>
    <row r="1562" spans="1:2" x14ac:dyDescent="0.25">
      <c r="A1562" s="2">
        <v>1557</v>
      </c>
      <c r="B1562" s="3" t="str">
        <f>"00089673"</f>
        <v>00089673</v>
      </c>
    </row>
    <row r="1563" spans="1:2" x14ac:dyDescent="0.25">
      <c r="A1563" s="2">
        <v>1558</v>
      </c>
      <c r="B1563" s="3" t="str">
        <f>"00089866"</f>
        <v>00089866</v>
      </c>
    </row>
    <row r="1564" spans="1:2" x14ac:dyDescent="0.25">
      <c r="A1564" s="2">
        <v>1559</v>
      </c>
      <c r="B1564" s="3" t="str">
        <f>"00089869"</f>
        <v>00089869</v>
      </c>
    </row>
    <row r="1565" spans="1:2" x14ac:dyDescent="0.25">
      <c r="A1565" s="2">
        <v>1560</v>
      </c>
      <c r="B1565" s="3" t="str">
        <f>"00089884"</f>
        <v>00089884</v>
      </c>
    </row>
    <row r="1566" spans="1:2" x14ac:dyDescent="0.25">
      <c r="A1566" s="2">
        <v>1561</v>
      </c>
      <c r="B1566" s="3" t="str">
        <f>"00089887"</f>
        <v>00089887</v>
      </c>
    </row>
    <row r="1567" spans="1:2" x14ac:dyDescent="0.25">
      <c r="A1567" s="2">
        <v>1562</v>
      </c>
      <c r="B1567" s="3" t="str">
        <f>"00089902"</f>
        <v>00089902</v>
      </c>
    </row>
    <row r="1568" spans="1:2" x14ac:dyDescent="0.25">
      <c r="A1568" s="2">
        <v>1563</v>
      </c>
      <c r="B1568" s="3" t="str">
        <f>"00089987"</f>
        <v>00089987</v>
      </c>
    </row>
    <row r="1569" spans="1:2" x14ac:dyDescent="0.25">
      <c r="A1569" s="2">
        <v>1564</v>
      </c>
      <c r="B1569" s="3" t="str">
        <f>"00090020"</f>
        <v>00090020</v>
      </c>
    </row>
    <row r="1570" spans="1:2" x14ac:dyDescent="0.25">
      <c r="A1570" s="2">
        <v>1565</v>
      </c>
      <c r="B1570" s="3" t="str">
        <f>"00090024"</f>
        <v>00090024</v>
      </c>
    </row>
    <row r="1571" spans="1:2" x14ac:dyDescent="0.25">
      <c r="A1571" s="2">
        <v>1566</v>
      </c>
      <c r="B1571" s="3" t="str">
        <f>"00090041"</f>
        <v>00090041</v>
      </c>
    </row>
    <row r="1572" spans="1:2" x14ac:dyDescent="0.25">
      <c r="A1572" s="2">
        <v>1567</v>
      </c>
      <c r="B1572" s="3" t="str">
        <f>"00090187"</f>
        <v>00090187</v>
      </c>
    </row>
    <row r="1573" spans="1:2" x14ac:dyDescent="0.25">
      <c r="A1573" s="2">
        <v>1568</v>
      </c>
      <c r="B1573" s="3" t="str">
        <f>"00090372"</f>
        <v>00090372</v>
      </c>
    </row>
    <row r="1574" spans="1:2" x14ac:dyDescent="0.25">
      <c r="A1574" s="2">
        <v>1569</v>
      </c>
      <c r="B1574" s="3" t="str">
        <f>"00090449"</f>
        <v>00090449</v>
      </c>
    </row>
    <row r="1575" spans="1:2" x14ac:dyDescent="0.25">
      <c r="A1575" s="2">
        <v>1570</v>
      </c>
      <c r="B1575" s="3" t="str">
        <f>"00090551"</f>
        <v>00090551</v>
      </c>
    </row>
    <row r="1576" spans="1:2" x14ac:dyDescent="0.25">
      <c r="A1576" s="2">
        <v>1571</v>
      </c>
      <c r="B1576" s="3" t="str">
        <f>"00090567"</f>
        <v>00090567</v>
      </c>
    </row>
    <row r="1577" spans="1:2" x14ac:dyDescent="0.25">
      <c r="A1577" s="2">
        <v>1572</v>
      </c>
      <c r="B1577" s="3" t="str">
        <f>"00090570"</f>
        <v>00090570</v>
      </c>
    </row>
    <row r="1578" spans="1:2" x14ac:dyDescent="0.25">
      <c r="A1578" s="2">
        <v>1573</v>
      </c>
      <c r="B1578" s="3" t="str">
        <f>"00090580"</f>
        <v>00090580</v>
      </c>
    </row>
    <row r="1579" spans="1:2" x14ac:dyDescent="0.25">
      <c r="A1579" s="2">
        <v>1574</v>
      </c>
      <c r="B1579" s="3" t="str">
        <f>"00090600"</f>
        <v>00090600</v>
      </c>
    </row>
    <row r="1580" spans="1:2" x14ac:dyDescent="0.25">
      <c r="A1580" s="2">
        <v>1575</v>
      </c>
      <c r="B1580" s="3" t="str">
        <f>"00090638"</f>
        <v>00090638</v>
      </c>
    </row>
    <row r="1581" spans="1:2" x14ac:dyDescent="0.25">
      <c r="A1581" s="2">
        <v>1576</v>
      </c>
      <c r="B1581" s="3" t="str">
        <f>"00090689"</f>
        <v>00090689</v>
      </c>
    </row>
    <row r="1582" spans="1:2" x14ac:dyDescent="0.25">
      <c r="A1582" s="2">
        <v>1577</v>
      </c>
      <c r="B1582" s="3" t="str">
        <f>"00090707"</f>
        <v>00090707</v>
      </c>
    </row>
    <row r="1583" spans="1:2" x14ac:dyDescent="0.25">
      <c r="A1583" s="2">
        <v>1578</v>
      </c>
      <c r="B1583" s="3" t="str">
        <f>"00090729"</f>
        <v>00090729</v>
      </c>
    </row>
    <row r="1584" spans="1:2" x14ac:dyDescent="0.25">
      <c r="A1584" s="2">
        <v>1579</v>
      </c>
      <c r="B1584" s="3" t="str">
        <f>"00090777"</f>
        <v>00090777</v>
      </c>
    </row>
    <row r="1585" spans="1:2" x14ac:dyDescent="0.25">
      <c r="A1585" s="2">
        <v>1580</v>
      </c>
      <c r="B1585" s="3" t="str">
        <f>"00090813"</f>
        <v>00090813</v>
      </c>
    </row>
    <row r="1586" spans="1:2" x14ac:dyDescent="0.25">
      <c r="A1586" s="2">
        <v>1581</v>
      </c>
      <c r="B1586" s="3" t="str">
        <f>"00090889"</f>
        <v>00090889</v>
      </c>
    </row>
    <row r="1587" spans="1:2" x14ac:dyDescent="0.25">
      <c r="A1587" s="2">
        <v>1582</v>
      </c>
      <c r="B1587" s="3" t="str">
        <f>"00090919"</f>
        <v>00090919</v>
      </c>
    </row>
    <row r="1588" spans="1:2" x14ac:dyDescent="0.25">
      <c r="A1588" s="2">
        <v>1583</v>
      </c>
      <c r="B1588" s="3" t="str">
        <f>"00090932"</f>
        <v>00090932</v>
      </c>
    </row>
    <row r="1589" spans="1:2" x14ac:dyDescent="0.25">
      <c r="A1589" s="2">
        <v>1584</v>
      </c>
      <c r="B1589" s="3" t="str">
        <f>"00090946"</f>
        <v>00090946</v>
      </c>
    </row>
    <row r="1590" spans="1:2" x14ac:dyDescent="0.25">
      <c r="A1590" s="2">
        <v>1585</v>
      </c>
      <c r="B1590" s="3" t="str">
        <f>"00090975"</f>
        <v>00090975</v>
      </c>
    </row>
    <row r="1591" spans="1:2" x14ac:dyDescent="0.25">
      <c r="A1591" s="2">
        <v>1586</v>
      </c>
      <c r="B1591" s="3" t="str">
        <f>"00091008"</f>
        <v>00091008</v>
      </c>
    </row>
    <row r="1592" spans="1:2" x14ac:dyDescent="0.25">
      <c r="A1592" s="2">
        <v>1587</v>
      </c>
      <c r="B1592" s="3" t="str">
        <f>"00091067"</f>
        <v>00091067</v>
      </c>
    </row>
    <row r="1593" spans="1:2" x14ac:dyDescent="0.25">
      <c r="A1593" s="2">
        <v>1588</v>
      </c>
      <c r="B1593" s="3" t="str">
        <f>"00091134"</f>
        <v>00091134</v>
      </c>
    </row>
    <row r="1594" spans="1:2" x14ac:dyDescent="0.25">
      <c r="A1594" s="2">
        <v>1589</v>
      </c>
      <c r="B1594" s="3" t="str">
        <f>"00091185"</f>
        <v>00091185</v>
      </c>
    </row>
    <row r="1595" spans="1:2" x14ac:dyDescent="0.25">
      <c r="A1595" s="2">
        <v>1590</v>
      </c>
      <c r="B1595" s="3" t="str">
        <f>"00091210"</f>
        <v>00091210</v>
      </c>
    </row>
    <row r="1596" spans="1:2" x14ac:dyDescent="0.25">
      <c r="A1596" s="2">
        <v>1591</v>
      </c>
      <c r="B1596" s="3" t="str">
        <f>"00091320"</f>
        <v>00091320</v>
      </c>
    </row>
    <row r="1597" spans="1:2" x14ac:dyDescent="0.25">
      <c r="A1597" s="2">
        <v>1592</v>
      </c>
      <c r="B1597" s="3" t="str">
        <f>"00091329"</f>
        <v>00091329</v>
      </c>
    </row>
    <row r="1598" spans="1:2" x14ac:dyDescent="0.25">
      <c r="A1598" s="2">
        <v>1593</v>
      </c>
      <c r="B1598" s="3" t="str">
        <f>"00091353"</f>
        <v>00091353</v>
      </c>
    </row>
    <row r="1599" spans="1:2" x14ac:dyDescent="0.25">
      <c r="A1599" s="2">
        <v>1594</v>
      </c>
      <c r="B1599" s="3" t="str">
        <f>"00091440"</f>
        <v>00091440</v>
      </c>
    </row>
    <row r="1600" spans="1:2" x14ac:dyDescent="0.25">
      <c r="A1600" s="2">
        <v>1595</v>
      </c>
      <c r="B1600" s="3" t="str">
        <f>"00091535"</f>
        <v>00091535</v>
      </c>
    </row>
    <row r="1601" spans="1:2" x14ac:dyDescent="0.25">
      <c r="A1601" s="2">
        <v>1596</v>
      </c>
      <c r="B1601" s="3" t="str">
        <f>"00091566"</f>
        <v>00091566</v>
      </c>
    </row>
    <row r="1602" spans="1:2" x14ac:dyDescent="0.25">
      <c r="A1602" s="2">
        <v>1597</v>
      </c>
      <c r="B1602" s="3" t="str">
        <f>"00091611"</f>
        <v>00091611</v>
      </c>
    </row>
    <row r="1603" spans="1:2" x14ac:dyDescent="0.25">
      <c r="A1603" s="2">
        <v>1598</v>
      </c>
      <c r="B1603" s="3" t="str">
        <f>"00091613"</f>
        <v>00091613</v>
      </c>
    </row>
    <row r="1604" spans="1:2" x14ac:dyDescent="0.25">
      <c r="A1604" s="2">
        <v>1599</v>
      </c>
      <c r="B1604" s="3" t="str">
        <f>"00091667"</f>
        <v>00091667</v>
      </c>
    </row>
    <row r="1605" spans="1:2" x14ac:dyDescent="0.25">
      <c r="A1605" s="2">
        <v>1600</v>
      </c>
      <c r="B1605" s="3" t="str">
        <f>"00091674"</f>
        <v>00091674</v>
      </c>
    </row>
    <row r="1606" spans="1:2" x14ac:dyDescent="0.25">
      <c r="A1606" s="2">
        <v>1601</v>
      </c>
      <c r="B1606" s="3" t="str">
        <f>"00091721"</f>
        <v>00091721</v>
      </c>
    </row>
    <row r="1607" spans="1:2" x14ac:dyDescent="0.25">
      <c r="A1607" s="2">
        <v>1602</v>
      </c>
      <c r="B1607" s="3" t="str">
        <f>"00091731"</f>
        <v>00091731</v>
      </c>
    </row>
    <row r="1608" spans="1:2" x14ac:dyDescent="0.25">
      <c r="A1608" s="2">
        <v>1603</v>
      </c>
      <c r="B1608" s="3" t="str">
        <f>"00091748"</f>
        <v>00091748</v>
      </c>
    </row>
    <row r="1609" spans="1:2" x14ac:dyDescent="0.25">
      <c r="A1609" s="2">
        <v>1604</v>
      </c>
      <c r="B1609" s="3" t="str">
        <f>"00091758"</f>
        <v>00091758</v>
      </c>
    </row>
    <row r="1610" spans="1:2" x14ac:dyDescent="0.25">
      <c r="A1610" s="2">
        <v>1605</v>
      </c>
      <c r="B1610" s="3" t="str">
        <f>"00091875"</f>
        <v>00091875</v>
      </c>
    </row>
    <row r="1611" spans="1:2" x14ac:dyDescent="0.25">
      <c r="A1611" s="2">
        <v>1606</v>
      </c>
      <c r="B1611" s="3" t="str">
        <f>"00091887"</f>
        <v>00091887</v>
      </c>
    </row>
    <row r="1612" spans="1:2" x14ac:dyDescent="0.25">
      <c r="A1612" s="2">
        <v>1607</v>
      </c>
      <c r="B1612" s="3" t="str">
        <f>"00091889"</f>
        <v>00091889</v>
      </c>
    </row>
    <row r="1613" spans="1:2" x14ac:dyDescent="0.25">
      <c r="A1613" s="2">
        <v>1608</v>
      </c>
      <c r="B1613" s="3" t="str">
        <f>"00092003"</f>
        <v>00092003</v>
      </c>
    </row>
    <row r="1614" spans="1:2" x14ac:dyDescent="0.25">
      <c r="A1614" s="2">
        <v>1609</v>
      </c>
      <c r="B1614" s="3" t="str">
        <f>"00092031"</f>
        <v>00092031</v>
      </c>
    </row>
    <row r="1615" spans="1:2" x14ac:dyDescent="0.25">
      <c r="A1615" s="2">
        <v>1610</v>
      </c>
      <c r="B1615" s="3" t="str">
        <f>"00092037"</f>
        <v>00092037</v>
      </c>
    </row>
    <row r="1616" spans="1:2" x14ac:dyDescent="0.25">
      <c r="A1616" s="2">
        <v>1611</v>
      </c>
      <c r="B1616" s="3" t="str">
        <f>"00092071"</f>
        <v>00092071</v>
      </c>
    </row>
    <row r="1617" spans="1:2" x14ac:dyDescent="0.25">
      <c r="A1617" s="2">
        <v>1612</v>
      </c>
      <c r="B1617" s="3" t="str">
        <f>"00092085"</f>
        <v>00092085</v>
      </c>
    </row>
    <row r="1618" spans="1:2" x14ac:dyDescent="0.25">
      <c r="A1618" s="2">
        <v>1613</v>
      </c>
      <c r="B1618" s="3" t="str">
        <f>"00092161"</f>
        <v>00092161</v>
      </c>
    </row>
    <row r="1619" spans="1:2" x14ac:dyDescent="0.25">
      <c r="A1619" s="2">
        <v>1614</v>
      </c>
      <c r="B1619" s="3" t="str">
        <f>"00092214"</f>
        <v>00092214</v>
      </c>
    </row>
    <row r="1620" spans="1:2" x14ac:dyDescent="0.25">
      <c r="A1620" s="2">
        <v>1615</v>
      </c>
      <c r="B1620" s="3" t="str">
        <f>"00092248"</f>
        <v>00092248</v>
      </c>
    </row>
    <row r="1621" spans="1:2" x14ac:dyDescent="0.25">
      <c r="A1621" s="2">
        <v>1616</v>
      </c>
      <c r="B1621" s="3" t="str">
        <f>"00092250"</f>
        <v>00092250</v>
      </c>
    </row>
    <row r="1622" spans="1:2" x14ac:dyDescent="0.25">
      <c r="A1622" s="2">
        <v>1617</v>
      </c>
      <c r="B1622" s="3" t="str">
        <f>"00092276"</f>
        <v>00092276</v>
      </c>
    </row>
    <row r="1623" spans="1:2" x14ac:dyDescent="0.25">
      <c r="A1623" s="2">
        <v>1618</v>
      </c>
      <c r="B1623" s="3" t="str">
        <f>"00092302"</f>
        <v>00092302</v>
      </c>
    </row>
    <row r="1624" spans="1:2" x14ac:dyDescent="0.25">
      <c r="A1624" s="2">
        <v>1619</v>
      </c>
      <c r="B1624" s="3" t="str">
        <f>"00092316"</f>
        <v>00092316</v>
      </c>
    </row>
    <row r="1625" spans="1:2" x14ac:dyDescent="0.25">
      <c r="A1625" s="2">
        <v>1620</v>
      </c>
      <c r="B1625" s="3" t="str">
        <f>"00092319"</f>
        <v>00092319</v>
      </c>
    </row>
    <row r="1626" spans="1:2" x14ac:dyDescent="0.25">
      <c r="A1626" s="2">
        <v>1621</v>
      </c>
      <c r="B1626" s="3" t="str">
        <f>"00092534"</f>
        <v>00092534</v>
      </c>
    </row>
    <row r="1627" spans="1:2" x14ac:dyDescent="0.25">
      <c r="A1627" s="2">
        <v>1622</v>
      </c>
      <c r="B1627" s="3" t="str">
        <f>"00092535"</f>
        <v>00092535</v>
      </c>
    </row>
    <row r="1628" spans="1:2" x14ac:dyDescent="0.25">
      <c r="A1628" s="2">
        <v>1623</v>
      </c>
      <c r="B1628" s="3" t="str">
        <f>"00092553"</f>
        <v>00092553</v>
      </c>
    </row>
    <row r="1629" spans="1:2" x14ac:dyDescent="0.25">
      <c r="A1629" s="2">
        <v>1624</v>
      </c>
      <c r="B1629" s="3" t="str">
        <f>"00092658"</f>
        <v>00092658</v>
      </c>
    </row>
    <row r="1630" spans="1:2" x14ac:dyDescent="0.25">
      <c r="A1630" s="2">
        <v>1625</v>
      </c>
      <c r="B1630" s="3" t="str">
        <f>"00092669"</f>
        <v>00092669</v>
      </c>
    </row>
    <row r="1631" spans="1:2" x14ac:dyDescent="0.25">
      <c r="A1631" s="2">
        <v>1626</v>
      </c>
      <c r="B1631" s="3" t="str">
        <f>"00092686"</f>
        <v>00092686</v>
      </c>
    </row>
    <row r="1632" spans="1:2" x14ac:dyDescent="0.25">
      <c r="A1632" s="2">
        <v>1627</v>
      </c>
      <c r="B1632" s="3" t="str">
        <f>"00092731"</f>
        <v>00092731</v>
      </c>
    </row>
    <row r="1633" spans="1:2" x14ac:dyDescent="0.25">
      <c r="A1633" s="2">
        <v>1628</v>
      </c>
      <c r="B1633" s="3" t="str">
        <f>"00092830"</f>
        <v>00092830</v>
      </c>
    </row>
    <row r="1634" spans="1:2" x14ac:dyDescent="0.25">
      <c r="A1634" s="2">
        <v>1629</v>
      </c>
      <c r="B1634" s="3" t="str">
        <f>"00092848"</f>
        <v>00092848</v>
      </c>
    </row>
    <row r="1635" spans="1:2" x14ac:dyDescent="0.25">
      <c r="A1635" s="2">
        <v>1630</v>
      </c>
      <c r="B1635" s="3" t="str">
        <f>"00093005"</f>
        <v>00093005</v>
      </c>
    </row>
    <row r="1636" spans="1:2" x14ac:dyDescent="0.25">
      <c r="A1636" s="2">
        <v>1631</v>
      </c>
      <c r="B1636" s="3" t="str">
        <f>"00093045"</f>
        <v>00093045</v>
      </c>
    </row>
    <row r="1637" spans="1:2" x14ac:dyDescent="0.25">
      <c r="A1637" s="2">
        <v>1632</v>
      </c>
      <c r="B1637" s="3" t="str">
        <f>"00093047"</f>
        <v>00093047</v>
      </c>
    </row>
    <row r="1638" spans="1:2" x14ac:dyDescent="0.25">
      <c r="A1638" s="2">
        <v>1633</v>
      </c>
      <c r="B1638" s="3" t="str">
        <f>"00093069"</f>
        <v>00093069</v>
      </c>
    </row>
    <row r="1639" spans="1:2" x14ac:dyDescent="0.25">
      <c r="A1639" s="2">
        <v>1634</v>
      </c>
      <c r="B1639" s="3" t="str">
        <f>"00093122"</f>
        <v>00093122</v>
      </c>
    </row>
    <row r="1640" spans="1:2" x14ac:dyDescent="0.25">
      <c r="A1640" s="2">
        <v>1635</v>
      </c>
      <c r="B1640" s="3" t="str">
        <f>"00093133"</f>
        <v>00093133</v>
      </c>
    </row>
    <row r="1641" spans="1:2" x14ac:dyDescent="0.25">
      <c r="A1641" s="2">
        <v>1636</v>
      </c>
      <c r="B1641" s="3" t="str">
        <f>"00093203"</f>
        <v>00093203</v>
      </c>
    </row>
    <row r="1642" spans="1:2" x14ac:dyDescent="0.25">
      <c r="A1642" s="2">
        <v>1637</v>
      </c>
      <c r="B1642" s="3" t="str">
        <f>"00093215"</f>
        <v>00093215</v>
      </c>
    </row>
    <row r="1643" spans="1:2" x14ac:dyDescent="0.25">
      <c r="A1643" s="2">
        <v>1638</v>
      </c>
      <c r="B1643" s="3" t="str">
        <f>"00093220"</f>
        <v>00093220</v>
      </c>
    </row>
    <row r="1644" spans="1:2" x14ac:dyDescent="0.25">
      <c r="A1644" s="2">
        <v>1639</v>
      </c>
      <c r="B1644" s="3" t="str">
        <f>"00093304"</f>
        <v>00093304</v>
      </c>
    </row>
    <row r="1645" spans="1:2" x14ac:dyDescent="0.25">
      <c r="A1645" s="2">
        <v>1640</v>
      </c>
      <c r="B1645" s="3" t="str">
        <f>"00093353"</f>
        <v>00093353</v>
      </c>
    </row>
    <row r="1646" spans="1:2" x14ac:dyDescent="0.25">
      <c r="A1646" s="2">
        <v>1641</v>
      </c>
      <c r="B1646" s="3" t="str">
        <f>"00093382"</f>
        <v>00093382</v>
      </c>
    </row>
    <row r="1647" spans="1:2" x14ac:dyDescent="0.25">
      <c r="A1647" s="2">
        <v>1642</v>
      </c>
      <c r="B1647" s="3" t="str">
        <f>"00093402"</f>
        <v>00093402</v>
      </c>
    </row>
    <row r="1648" spans="1:2" x14ac:dyDescent="0.25">
      <c r="A1648" s="2">
        <v>1643</v>
      </c>
      <c r="B1648" s="3" t="str">
        <f>"00093405"</f>
        <v>00093405</v>
      </c>
    </row>
    <row r="1649" spans="1:2" x14ac:dyDescent="0.25">
      <c r="A1649" s="2">
        <v>1644</v>
      </c>
      <c r="B1649" s="3" t="str">
        <f>"00093479"</f>
        <v>00093479</v>
      </c>
    </row>
    <row r="1650" spans="1:2" x14ac:dyDescent="0.25">
      <c r="A1650" s="2">
        <v>1645</v>
      </c>
      <c r="B1650" s="3" t="str">
        <f>"00093523"</f>
        <v>00093523</v>
      </c>
    </row>
    <row r="1651" spans="1:2" x14ac:dyDescent="0.25">
      <c r="A1651" s="2">
        <v>1646</v>
      </c>
      <c r="B1651" s="3" t="str">
        <f>"00093623"</f>
        <v>00093623</v>
      </c>
    </row>
    <row r="1652" spans="1:2" x14ac:dyDescent="0.25">
      <c r="A1652" s="2">
        <v>1647</v>
      </c>
      <c r="B1652" s="3" t="str">
        <f>"00093652"</f>
        <v>00093652</v>
      </c>
    </row>
    <row r="1653" spans="1:2" x14ac:dyDescent="0.25">
      <c r="A1653" s="2">
        <v>1648</v>
      </c>
      <c r="B1653" s="3" t="str">
        <f>"00093700"</f>
        <v>00093700</v>
      </c>
    </row>
    <row r="1654" spans="1:2" x14ac:dyDescent="0.25">
      <c r="A1654" s="2">
        <v>1649</v>
      </c>
      <c r="B1654" s="3" t="str">
        <f>"00093703"</f>
        <v>00093703</v>
      </c>
    </row>
    <row r="1655" spans="1:2" x14ac:dyDescent="0.25">
      <c r="A1655" s="2">
        <v>1650</v>
      </c>
      <c r="B1655" s="3" t="str">
        <f>"00093802"</f>
        <v>00093802</v>
      </c>
    </row>
    <row r="1656" spans="1:2" x14ac:dyDescent="0.25">
      <c r="A1656" s="2">
        <v>1651</v>
      </c>
      <c r="B1656" s="3" t="str">
        <f>"00093861"</f>
        <v>00093861</v>
      </c>
    </row>
    <row r="1657" spans="1:2" x14ac:dyDescent="0.25">
      <c r="A1657" s="2">
        <v>1652</v>
      </c>
      <c r="B1657" s="3" t="str">
        <f>"00094151"</f>
        <v>00094151</v>
      </c>
    </row>
    <row r="1658" spans="1:2" x14ac:dyDescent="0.25">
      <c r="A1658" s="2">
        <v>1653</v>
      </c>
      <c r="B1658" s="3" t="str">
        <f>"00094224"</f>
        <v>00094224</v>
      </c>
    </row>
    <row r="1659" spans="1:2" x14ac:dyDescent="0.25">
      <c r="A1659" s="2">
        <v>1654</v>
      </c>
      <c r="B1659" s="3" t="str">
        <f>"00094270"</f>
        <v>00094270</v>
      </c>
    </row>
    <row r="1660" spans="1:2" x14ac:dyDescent="0.25">
      <c r="A1660" s="2">
        <v>1655</v>
      </c>
      <c r="B1660" s="3" t="str">
        <f>"00094276"</f>
        <v>00094276</v>
      </c>
    </row>
    <row r="1661" spans="1:2" x14ac:dyDescent="0.25">
      <c r="A1661" s="2">
        <v>1656</v>
      </c>
      <c r="B1661" s="3" t="str">
        <f>"00094300"</f>
        <v>00094300</v>
      </c>
    </row>
    <row r="1662" spans="1:2" x14ac:dyDescent="0.25">
      <c r="A1662" s="2">
        <v>1657</v>
      </c>
      <c r="B1662" s="3" t="str">
        <f>"00094452"</f>
        <v>00094452</v>
      </c>
    </row>
    <row r="1663" spans="1:2" x14ac:dyDescent="0.25">
      <c r="A1663" s="2">
        <v>1658</v>
      </c>
      <c r="B1663" s="3" t="str">
        <f>"00094480"</f>
        <v>00094480</v>
      </c>
    </row>
    <row r="1664" spans="1:2" x14ac:dyDescent="0.25">
      <c r="A1664" s="2">
        <v>1659</v>
      </c>
      <c r="B1664" s="3" t="str">
        <f>"00094535"</f>
        <v>00094535</v>
      </c>
    </row>
    <row r="1665" spans="1:2" x14ac:dyDescent="0.25">
      <c r="A1665" s="2">
        <v>1660</v>
      </c>
      <c r="B1665" s="3" t="str">
        <f>"00094582"</f>
        <v>00094582</v>
      </c>
    </row>
    <row r="1666" spans="1:2" x14ac:dyDescent="0.25">
      <c r="A1666" s="2">
        <v>1661</v>
      </c>
      <c r="B1666" s="3" t="str">
        <f>"00094702"</f>
        <v>00094702</v>
      </c>
    </row>
    <row r="1667" spans="1:2" x14ac:dyDescent="0.25">
      <c r="A1667" s="2">
        <v>1662</v>
      </c>
      <c r="B1667" s="3" t="str">
        <f>"00094730"</f>
        <v>00094730</v>
      </c>
    </row>
    <row r="1668" spans="1:2" x14ac:dyDescent="0.25">
      <c r="A1668" s="2">
        <v>1663</v>
      </c>
      <c r="B1668" s="3" t="str">
        <f>"00094731"</f>
        <v>00094731</v>
      </c>
    </row>
    <row r="1669" spans="1:2" x14ac:dyDescent="0.25">
      <c r="A1669" s="2">
        <v>1664</v>
      </c>
      <c r="B1669" s="3" t="str">
        <f>"00094734"</f>
        <v>00094734</v>
      </c>
    </row>
    <row r="1670" spans="1:2" x14ac:dyDescent="0.25">
      <c r="A1670" s="2">
        <v>1665</v>
      </c>
      <c r="B1670" s="3" t="str">
        <f>"00094765"</f>
        <v>00094765</v>
      </c>
    </row>
    <row r="1671" spans="1:2" x14ac:dyDescent="0.25">
      <c r="A1671" s="2">
        <v>1666</v>
      </c>
      <c r="B1671" s="3" t="str">
        <f>"00094768"</f>
        <v>00094768</v>
      </c>
    </row>
    <row r="1672" spans="1:2" x14ac:dyDescent="0.25">
      <c r="A1672" s="2">
        <v>1667</v>
      </c>
      <c r="B1672" s="3" t="str">
        <f>"00094776"</f>
        <v>00094776</v>
      </c>
    </row>
    <row r="1673" spans="1:2" x14ac:dyDescent="0.25">
      <c r="A1673" s="2">
        <v>1668</v>
      </c>
      <c r="B1673" s="3" t="str">
        <f>"00094778"</f>
        <v>00094778</v>
      </c>
    </row>
    <row r="1674" spans="1:2" x14ac:dyDescent="0.25">
      <c r="A1674" s="2">
        <v>1669</v>
      </c>
      <c r="B1674" s="3" t="str">
        <f>"00094779"</f>
        <v>00094779</v>
      </c>
    </row>
    <row r="1675" spans="1:2" x14ac:dyDescent="0.25">
      <c r="A1675" s="2">
        <v>1670</v>
      </c>
      <c r="B1675" s="3" t="str">
        <f>"00094797"</f>
        <v>00094797</v>
      </c>
    </row>
    <row r="1676" spans="1:2" x14ac:dyDescent="0.25">
      <c r="A1676" s="2">
        <v>1671</v>
      </c>
      <c r="B1676" s="3" t="str">
        <f>"00094813"</f>
        <v>00094813</v>
      </c>
    </row>
    <row r="1677" spans="1:2" x14ac:dyDescent="0.25">
      <c r="A1677" s="2">
        <v>1672</v>
      </c>
      <c r="B1677" s="3" t="str">
        <f>"00094832"</f>
        <v>00094832</v>
      </c>
    </row>
    <row r="1678" spans="1:2" x14ac:dyDescent="0.25">
      <c r="A1678" s="2">
        <v>1673</v>
      </c>
      <c r="B1678" s="3" t="str">
        <f>"00095016"</f>
        <v>00095016</v>
      </c>
    </row>
    <row r="1679" spans="1:2" x14ac:dyDescent="0.25">
      <c r="A1679" s="2">
        <v>1674</v>
      </c>
      <c r="B1679" s="3" t="str">
        <f>"00095103"</f>
        <v>00095103</v>
      </c>
    </row>
    <row r="1680" spans="1:2" x14ac:dyDescent="0.25">
      <c r="A1680" s="2">
        <v>1675</v>
      </c>
      <c r="B1680" s="3" t="str">
        <f>"00095141"</f>
        <v>00095141</v>
      </c>
    </row>
    <row r="1681" spans="1:2" x14ac:dyDescent="0.25">
      <c r="A1681" s="2">
        <v>1676</v>
      </c>
      <c r="B1681" s="3" t="str">
        <f>"00095151"</f>
        <v>00095151</v>
      </c>
    </row>
    <row r="1682" spans="1:2" x14ac:dyDescent="0.25">
      <c r="A1682" s="2">
        <v>1677</v>
      </c>
      <c r="B1682" s="3" t="str">
        <f>"00095197"</f>
        <v>00095197</v>
      </c>
    </row>
    <row r="1683" spans="1:2" x14ac:dyDescent="0.25">
      <c r="A1683" s="2">
        <v>1678</v>
      </c>
      <c r="B1683" s="3" t="str">
        <f>"00095210"</f>
        <v>00095210</v>
      </c>
    </row>
    <row r="1684" spans="1:2" x14ac:dyDescent="0.25">
      <c r="A1684" s="2">
        <v>1679</v>
      </c>
      <c r="B1684" s="3" t="str">
        <f>"00095235"</f>
        <v>00095235</v>
      </c>
    </row>
    <row r="1685" spans="1:2" x14ac:dyDescent="0.25">
      <c r="A1685" s="2">
        <v>1680</v>
      </c>
      <c r="B1685" s="3" t="str">
        <f>"00095239"</f>
        <v>00095239</v>
      </c>
    </row>
    <row r="1686" spans="1:2" x14ac:dyDescent="0.25">
      <c r="A1686" s="2">
        <v>1681</v>
      </c>
      <c r="B1686" s="3" t="str">
        <f>"00095275"</f>
        <v>00095275</v>
      </c>
    </row>
    <row r="1687" spans="1:2" x14ac:dyDescent="0.25">
      <c r="A1687" s="2">
        <v>1682</v>
      </c>
      <c r="B1687" s="3" t="str">
        <f>"00095301"</f>
        <v>00095301</v>
      </c>
    </row>
    <row r="1688" spans="1:2" x14ac:dyDescent="0.25">
      <c r="A1688" s="2">
        <v>1683</v>
      </c>
      <c r="B1688" s="3" t="str">
        <f>"00095359"</f>
        <v>00095359</v>
      </c>
    </row>
    <row r="1689" spans="1:2" x14ac:dyDescent="0.25">
      <c r="A1689" s="2">
        <v>1684</v>
      </c>
      <c r="B1689" s="3" t="str">
        <f>"00095381"</f>
        <v>00095381</v>
      </c>
    </row>
    <row r="1690" spans="1:2" x14ac:dyDescent="0.25">
      <c r="A1690" s="2">
        <v>1685</v>
      </c>
      <c r="B1690" s="3" t="str">
        <f>"00095420"</f>
        <v>00095420</v>
      </c>
    </row>
    <row r="1691" spans="1:2" x14ac:dyDescent="0.25">
      <c r="A1691" s="2">
        <v>1686</v>
      </c>
      <c r="B1691" s="3" t="str">
        <f>"00095425"</f>
        <v>00095425</v>
      </c>
    </row>
    <row r="1692" spans="1:2" x14ac:dyDescent="0.25">
      <c r="A1692" s="2">
        <v>1687</v>
      </c>
      <c r="B1692" s="3" t="str">
        <f>"00095432"</f>
        <v>00095432</v>
      </c>
    </row>
    <row r="1693" spans="1:2" x14ac:dyDescent="0.25">
      <c r="A1693" s="2">
        <v>1688</v>
      </c>
      <c r="B1693" s="3" t="str">
        <f>"00095435"</f>
        <v>00095435</v>
      </c>
    </row>
    <row r="1694" spans="1:2" x14ac:dyDescent="0.25">
      <c r="A1694" s="2">
        <v>1689</v>
      </c>
      <c r="B1694" s="3" t="str">
        <f>"00095444"</f>
        <v>00095444</v>
      </c>
    </row>
    <row r="1695" spans="1:2" x14ac:dyDescent="0.25">
      <c r="A1695" s="2">
        <v>1690</v>
      </c>
      <c r="B1695" s="3" t="str">
        <f>"00095469"</f>
        <v>00095469</v>
      </c>
    </row>
    <row r="1696" spans="1:2" x14ac:dyDescent="0.25">
      <c r="A1696" s="2">
        <v>1691</v>
      </c>
      <c r="B1696" s="3" t="str">
        <f>"00095502"</f>
        <v>00095502</v>
      </c>
    </row>
    <row r="1697" spans="1:2" x14ac:dyDescent="0.25">
      <c r="A1697" s="2">
        <v>1692</v>
      </c>
      <c r="B1697" s="3" t="str">
        <f>"00095515"</f>
        <v>00095515</v>
      </c>
    </row>
    <row r="1698" spans="1:2" x14ac:dyDescent="0.25">
      <c r="A1698" s="2">
        <v>1693</v>
      </c>
      <c r="B1698" s="3" t="str">
        <f>"00095543"</f>
        <v>00095543</v>
      </c>
    </row>
    <row r="1699" spans="1:2" x14ac:dyDescent="0.25">
      <c r="A1699" s="2">
        <v>1694</v>
      </c>
      <c r="B1699" s="3" t="str">
        <f>"00095612"</f>
        <v>00095612</v>
      </c>
    </row>
    <row r="1700" spans="1:2" x14ac:dyDescent="0.25">
      <c r="A1700" s="2">
        <v>1695</v>
      </c>
      <c r="B1700" s="3" t="str">
        <f>"00095660"</f>
        <v>00095660</v>
      </c>
    </row>
    <row r="1701" spans="1:2" x14ac:dyDescent="0.25">
      <c r="A1701" s="2">
        <v>1696</v>
      </c>
      <c r="B1701" s="3" t="str">
        <f>"00095695"</f>
        <v>00095695</v>
      </c>
    </row>
    <row r="1702" spans="1:2" x14ac:dyDescent="0.25">
      <c r="A1702" s="2">
        <v>1697</v>
      </c>
      <c r="B1702" s="3" t="str">
        <f>"00095697"</f>
        <v>00095697</v>
      </c>
    </row>
    <row r="1703" spans="1:2" x14ac:dyDescent="0.25">
      <c r="A1703" s="2">
        <v>1698</v>
      </c>
      <c r="B1703" s="3" t="str">
        <f>"00095722"</f>
        <v>00095722</v>
      </c>
    </row>
    <row r="1704" spans="1:2" x14ac:dyDescent="0.25">
      <c r="A1704" s="2">
        <v>1699</v>
      </c>
      <c r="B1704" s="3" t="str">
        <f>"00095874"</f>
        <v>00095874</v>
      </c>
    </row>
    <row r="1705" spans="1:2" x14ac:dyDescent="0.25">
      <c r="A1705" s="2">
        <v>1700</v>
      </c>
      <c r="B1705" s="3" t="str">
        <f>"00095878"</f>
        <v>00095878</v>
      </c>
    </row>
    <row r="1706" spans="1:2" x14ac:dyDescent="0.25">
      <c r="A1706" s="2">
        <v>1701</v>
      </c>
      <c r="B1706" s="3" t="str">
        <f>"00095947"</f>
        <v>00095947</v>
      </c>
    </row>
    <row r="1707" spans="1:2" x14ac:dyDescent="0.25">
      <c r="A1707" s="2">
        <v>1702</v>
      </c>
      <c r="B1707" s="3" t="str">
        <f>"00095966"</f>
        <v>00095966</v>
      </c>
    </row>
    <row r="1708" spans="1:2" x14ac:dyDescent="0.25">
      <c r="A1708" s="2">
        <v>1703</v>
      </c>
      <c r="B1708" s="3" t="str">
        <f>"00096019"</f>
        <v>00096019</v>
      </c>
    </row>
    <row r="1709" spans="1:2" x14ac:dyDescent="0.25">
      <c r="A1709" s="2">
        <v>1704</v>
      </c>
      <c r="B1709" s="3" t="str">
        <f>"00096042"</f>
        <v>00096042</v>
      </c>
    </row>
    <row r="1710" spans="1:2" x14ac:dyDescent="0.25">
      <c r="A1710" s="2">
        <v>1705</v>
      </c>
      <c r="B1710" s="3" t="str">
        <f>"00096046"</f>
        <v>00096046</v>
      </c>
    </row>
    <row r="1711" spans="1:2" x14ac:dyDescent="0.25">
      <c r="A1711" s="2">
        <v>1706</v>
      </c>
      <c r="B1711" s="3" t="str">
        <f>"00096069"</f>
        <v>00096069</v>
      </c>
    </row>
    <row r="1712" spans="1:2" x14ac:dyDescent="0.25">
      <c r="A1712" s="2">
        <v>1707</v>
      </c>
      <c r="B1712" s="3" t="str">
        <f>"00096151"</f>
        <v>00096151</v>
      </c>
    </row>
    <row r="1713" spans="1:2" x14ac:dyDescent="0.25">
      <c r="A1713" s="2">
        <v>1708</v>
      </c>
      <c r="B1713" s="3" t="str">
        <f>"00096153"</f>
        <v>00096153</v>
      </c>
    </row>
    <row r="1714" spans="1:2" x14ac:dyDescent="0.25">
      <c r="A1714" s="2">
        <v>1709</v>
      </c>
      <c r="B1714" s="3" t="str">
        <f>"00096255"</f>
        <v>00096255</v>
      </c>
    </row>
    <row r="1715" spans="1:2" x14ac:dyDescent="0.25">
      <c r="A1715" s="2">
        <v>1710</v>
      </c>
      <c r="B1715" s="3" t="str">
        <f>"00096257"</f>
        <v>00096257</v>
      </c>
    </row>
    <row r="1716" spans="1:2" x14ac:dyDescent="0.25">
      <c r="A1716" s="2">
        <v>1711</v>
      </c>
      <c r="B1716" s="3" t="str">
        <f>"00096365"</f>
        <v>00096365</v>
      </c>
    </row>
    <row r="1717" spans="1:2" x14ac:dyDescent="0.25">
      <c r="A1717" s="2">
        <v>1712</v>
      </c>
      <c r="B1717" s="3" t="str">
        <f>"00096366"</f>
        <v>00096366</v>
      </c>
    </row>
    <row r="1718" spans="1:2" x14ac:dyDescent="0.25">
      <c r="A1718" s="2">
        <v>1713</v>
      </c>
      <c r="B1718" s="3" t="str">
        <f>"00096442"</f>
        <v>00096442</v>
      </c>
    </row>
    <row r="1719" spans="1:2" x14ac:dyDescent="0.25">
      <c r="A1719" s="2">
        <v>1714</v>
      </c>
      <c r="B1719" s="3" t="str">
        <f>"00096460"</f>
        <v>00096460</v>
      </c>
    </row>
    <row r="1720" spans="1:2" x14ac:dyDescent="0.25">
      <c r="A1720" s="2">
        <v>1715</v>
      </c>
      <c r="B1720" s="3" t="str">
        <f>"00096481"</f>
        <v>00096481</v>
      </c>
    </row>
    <row r="1721" spans="1:2" x14ac:dyDescent="0.25">
      <c r="A1721" s="2">
        <v>1716</v>
      </c>
      <c r="B1721" s="3" t="str">
        <f>"00096545"</f>
        <v>00096545</v>
      </c>
    </row>
    <row r="1722" spans="1:2" x14ac:dyDescent="0.25">
      <c r="A1722" s="2">
        <v>1717</v>
      </c>
      <c r="B1722" s="3" t="str">
        <f>"00096548"</f>
        <v>00096548</v>
      </c>
    </row>
    <row r="1723" spans="1:2" x14ac:dyDescent="0.25">
      <c r="A1723" s="2">
        <v>1718</v>
      </c>
      <c r="B1723" s="3" t="str">
        <f>"00096569"</f>
        <v>00096569</v>
      </c>
    </row>
    <row r="1724" spans="1:2" x14ac:dyDescent="0.25">
      <c r="A1724" s="2">
        <v>1719</v>
      </c>
      <c r="B1724" s="3" t="str">
        <f>"00096635"</f>
        <v>00096635</v>
      </c>
    </row>
    <row r="1725" spans="1:2" x14ac:dyDescent="0.25">
      <c r="A1725" s="2">
        <v>1720</v>
      </c>
      <c r="B1725" s="3" t="str">
        <f>"00096717"</f>
        <v>00096717</v>
      </c>
    </row>
    <row r="1726" spans="1:2" x14ac:dyDescent="0.25">
      <c r="A1726" s="2">
        <v>1721</v>
      </c>
      <c r="B1726" s="3" t="str">
        <f>"00097026"</f>
        <v>00097026</v>
      </c>
    </row>
    <row r="1727" spans="1:2" x14ac:dyDescent="0.25">
      <c r="A1727" s="2">
        <v>1722</v>
      </c>
      <c r="B1727" s="3" t="str">
        <f>"00097112"</f>
        <v>00097112</v>
      </c>
    </row>
    <row r="1728" spans="1:2" x14ac:dyDescent="0.25">
      <c r="A1728" s="2">
        <v>1723</v>
      </c>
      <c r="B1728" s="3" t="str">
        <f>"00097157"</f>
        <v>00097157</v>
      </c>
    </row>
    <row r="1729" spans="1:2" x14ac:dyDescent="0.25">
      <c r="A1729" s="2">
        <v>1724</v>
      </c>
      <c r="B1729" s="3" t="str">
        <f>"00097190"</f>
        <v>00097190</v>
      </c>
    </row>
    <row r="1730" spans="1:2" x14ac:dyDescent="0.25">
      <c r="A1730" s="2">
        <v>1725</v>
      </c>
      <c r="B1730" s="3" t="str">
        <f>"00097315"</f>
        <v>00097315</v>
      </c>
    </row>
    <row r="1731" spans="1:2" x14ac:dyDescent="0.25">
      <c r="A1731" s="2">
        <v>1726</v>
      </c>
      <c r="B1731" s="3" t="str">
        <f>"00097463"</f>
        <v>00097463</v>
      </c>
    </row>
    <row r="1732" spans="1:2" x14ac:dyDescent="0.25">
      <c r="A1732" s="2">
        <v>1727</v>
      </c>
      <c r="B1732" s="3" t="str">
        <f>"00097875"</f>
        <v>00097875</v>
      </c>
    </row>
    <row r="1733" spans="1:2" x14ac:dyDescent="0.25">
      <c r="A1733" s="2">
        <v>1728</v>
      </c>
      <c r="B1733" s="3" t="str">
        <f>"00098185"</f>
        <v>00098185</v>
      </c>
    </row>
    <row r="1734" spans="1:2" x14ac:dyDescent="0.25">
      <c r="A1734" s="2">
        <v>1729</v>
      </c>
      <c r="B1734" s="3" t="str">
        <f>"00098229"</f>
        <v>00098229</v>
      </c>
    </row>
    <row r="1735" spans="1:2" x14ac:dyDescent="0.25">
      <c r="A1735" s="2">
        <v>1730</v>
      </c>
      <c r="B1735" s="3" t="str">
        <f>"00098386"</f>
        <v>00098386</v>
      </c>
    </row>
    <row r="1736" spans="1:2" x14ac:dyDescent="0.25">
      <c r="A1736" s="2">
        <v>1731</v>
      </c>
      <c r="B1736" s="3" t="str">
        <f>"00098657"</f>
        <v>00098657</v>
      </c>
    </row>
    <row r="1737" spans="1:2" x14ac:dyDescent="0.25">
      <c r="A1737" s="2">
        <v>1732</v>
      </c>
      <c r="B1737" s="3" t="str">
        <f>"00098782"</f>
        <v>00098782</v>
      </c>
    </row>
    <row r="1738" spans="1:2" x14ac:dyDescent="0.25">
      <c r="A1738" s="2">
        <v>1733</v>
      </c>
      <c r="B1738" s="3" t="str">
        <f>"00098783"</f>
        <v>00098783</v>
      </c>
    </row>
    <row r="1739" spans="1:2" x14ac:dyDescent="0.25">
      <c r="A1739" s="2">
        <v>1734</v>
      </c>
      <c r="B1739" s="3" t="str">
        <f>"00099753"</f>
        <v>00099753</v>
      </c>
    </row>
    <row r="1740" spans="1:2" x14ac:dyDescent="0.25">
      <c r="A1740" s="2">
        <v>1735</v>
      </c>
      <c r="B1740" s="3" t="str">
        <f>"00100163"</f>
        <v>00100163</v>
      </c>
    </row>
    <row r="1741" spans="1:2" x14ac:dyDescent="0.25">
      <c r="A1741" s="2">
        <v>1736</v>
      </c>
      <c r="B1741" s="3" t="str">
        <f>"00100168"</f>
        <v>00100168</v>
      </c>
    </row>
    <row r="1742" spans="1:2" x14ac:dyDescent="0.25">
      <c r="A1742" s="2">
        <v>1737</v>
      </c>
      <c r="B1742" s="3" t="str">
        <f>"00100224"</f>
        <v>00100224</v>
      </c>
    </row>
    <row r="1743" spans="1:2" x14ac:dyDescent="0.25">
      <c r="A1743" s="2">
        <v>1738</v>
      </c>
      <c r="B1743" s="3" t="str">
        <f>"00100399"</f>
        <v>00100399</v>
      </c>
    </row>
    <row r="1744" spans="1:2" x14ac:dyDescent="0.25">
      <c r="A1744" s="2">
        <v>1739</v>
      </c>
      <c r="B1744" s="3" t="str">
        <f>"00100425"</f>
        <v>00100425</v>
      </c>
    </row>
    <row r="1745" spans="1:2" x14ac:dyDescent="0.25">
      <c r="A1745" s="2">
        <v>1740</v>
      </c>
      <c r="B1745" s="3" t="str">
        <f>"00100426"</f>
        <v>00100426</v>
      </c>
    </row>
    <row r="1746" spans="1:2" x14ac:dyDescent="0.25">
      <c r="A1746" s="2">
        <v>1741</v>
      </c>
      <c r="B1746" s="3" t="str">
        <f>"00100541"</f>
        <v>00100541</v>
      </c>
    </row>
    <row r="1747" spans="1:2" x14ac:dyDescent="0.25">
      <c r="A1747" s="2">
        <v>1742</v>
      </c>
      <c r="B1747" s="3" t="str">
        <f>"00100587"</f>
        <v>00100587</v>
      </c>
    </row>
    <row r="1748" spans="1:2" x14ac:dyDescent="0.25">
      <c r="A1748" s="2">
        <v>1743</v>
      </c>
      <c r="B1748" s="3" t="str">
        <f>"00100604"</f>
        <v>00100604</v>
      </c>
    </row>
    <row r="1749" spans="1:2" x14ac:dyDescent="0.25">
      <c r="A1749" s="2">
        <v>1744</v>
      </c>
      <c r="B1749" s="3" t="str">
        <f>"00100656"</f>
        <v>00100656</v>
      </c>
    </row>
    <row r="1750" spans="1:2" x14ac:dyDescent="0.25">
      <c r="A1750" s="2">
        <v>1745</v>
      </c>
      <c r="B1750" s="3" t="str">
        <f>"00100670"</f>
        <v>00100670</v>
      </c>
    </row>
    <row r="1751" spans="1:2" x14ac:dyDescent="0.25">
      <c r="A1751" s="2">
        <v>1746</v>
      </c>
      <c r="B1751" s="3" t="str">
        <f>"00100786"</f>
        <v>00100786</v>
      </c>
    </row>
    <row r="1752" spans="1:2" x14ac:dyDescent="0.25">
      <c r="A1752" s="2">
        <v>1747</v>
      </c>
      <c r="B1752" s="3" t="str">
        <f>"00100905"</f>
        <v>00100905</v>
      </c>
    </row>
    <row r="1753" spans="1:2" x14ac:dyDescent="0.25">
      <c r="A1753" s="2">
        <v>1748</v>
      </c>
      <c r="B1753" s="3" t="str">
        <f>"00101096"</f>
        <v>00101096</v>
      </c>
    </row>
    <row r="1754" spans="1:2" x14ac:dyDescent="0.25">
      <c r="A1754" s="2">
        <v>1749</v>
      </c>
      <c r="B1754" s="3" t="str">
        <f>"00101230"</f>
        <v>00101230</v>
      </c>
    </row>
    <row r="1755" spans="1:2" x14ac:dyDescent="0.25">
      <c r="A1755" s="2">
        <v>1750</v>
      </c>
      <c r="B1755" s="3" t="str">
        <f>"00101399"</f>
        <v>00101399</v>
      </c>
    </row>
    <row r="1756" spans="1:2" x14ac:dyDescent="0.25">
      <c r="A1756" s="2">
        <v>1751</v>
      </c>
      <c r="B1756" s="3" t="str">
        <f>"00101409"</f>
        <v>00101409</v>
      </c>
    </row>
    <row r="1757" spans="1:2" x14ac:dyDescent="0.25">
      <c r="A1757" s="2">
        <v>1752</v>
      </c>
      <c r="B1757" s="3" t="str">
        <f>"00101415"</f>
        <v>00101415</v>
      </c>
    </row>
    <row r="1758" spans="1:2" x14ac:dyDescent="0.25">
      <c r="A1758" s="2">
        <v>1753</v>
      </c>
      <c r="B1758" s="3" t="str">
        <f>"00101419"</f>
        <v>00101419</v>
      </c>
    </row>
    <row r="1759" spans="1:2" x14ac:dyDescent="0.25">
      <c r="A1759" s="2">
        <v>1754</v>
      </c>
      <c r="B1759" s="3" t="str">
        <f>"00101439"</f>
        <v>00101439</v>
      </c>
    </row>
    <row r="1760" spans="1:2" x14ac:dyDescent="0.25">
      <c r="A1760" s="2">
        <v>1755</v>
      </c>
      <c r="B1760" s="3" t="str">
        <f>"00101460"</f>
        <v>00101460</v>
      </c>
    </row>
    <row r="1761" spans="1:2" x14ac:dyDescent="0.25">
      <c r="A1761" s="2">
        <v>1756</v>
      </c>
      <c r="B1761" s="3" t="str">
        <f>"00101523"</f>
        <v>00101523</v>
      </c>
    </row>
    <row r="1762" spans="1:2" x14ac:dyDescent="0.25">
      <c r="A1762" s="2">
        <v>1757</v>
      </c>
      <c r="B1762" s="3" t="str">
        <f>"00101531"</f>
        <v>00101531</v>
      </c>
    </row>
    <row r="1763" spans="1:2" x14ac:dyDescent="0.25">
      <c r="A1763" s="2">
        <v>1758</v>
      </c>
      <c r="B1763" s="3" t="str">
        <f>"00101578"</f>
        <v>00101578</v>
      </c>
    </row>
    <row r="1764" spans="1:2" x14ac:dyDescent="0.25">
      <c r="A1764" s="2">
        <v>1759</v>
      </c>
      <c r="B1764" s="3" t="str">
        <f>"00101660"</f>
        <v>00101660</v>
      </c>
    </row>
    <row r="1765" spans="1:2" x14ac:dyDescent="0.25">
      <c r="A1765" s="2">
        <v>1760</v>
      </c>
      <c r="B1765" s="3" t="str">
        <f>"00101668"</f>
        <v>00101668</v>
      </c>
    </row>
    <row r="1766" spans="1:2" x14ac:dyDescent="0.25">
      <c r="A1766" s="2">
        <v>1761</v>
      </c>
      <c r="B1766" s="3" t="str">
        <f>"00101685"</f>
        <v>00101685</v>
      </c>
    </row>
    <row r="1767" spans="1:2" x14ac:dyDescent="0.25">
      <c r="A1767" s="2">
        <v>1762</v>
      </c>
      <c r="B1767" s="3" t="str">
        <f>"00101690"</f>
        <v>00101690</v>
      </c>
    </row>
    <row r="1768" spans="1:2" x14ac:dyDescent="0.25">
      <c r="A1768" s="2">
        <v>1763</v>
      </c>
      <c r="B1768" s="3" t="str">
        <f>"00101751"</f>
        <v>00101751</v>
      </c>
    </row>
    <row r="1769" spans="1:2" x14ac:dyDescent="0.25">
      <c r="A1769" s="2">
        <v>1764</v>
      </c>
      <c r="B1769" s="3" t="str">
        <f>"00101791"</f>
        <v>00101791</v>
      </c>
    </row>
    <row r="1770" spans="1:2" x14ac:dyDescent="0.25">
      <c r="A1770" s="2">
        <v>1765</v>
      </c>
      <c r="B1770" s="3" t="str">
        <f>"00101792"</f>
        <v>00101792</v>
      </c>
    </row>
    <row r="1771" spans="1:2" x14ac:dyDescent="0.25">
      <c r="A1771" s="2">
        <v>1766</v>
      </c>
      <c r="B1771" s="3" t="str">
        <f>"00101794"</f>
        <v>00101794</v>
      </c>
    </row>
    <row r="1772" spans="1:2" x14ac:dyDescent="0.25">
      <c r="A1772" s="2">
        <v>1767</v>
      </c>
      <c r="B1772" s="3" t="str">
        <f>"00101872"</f>
        <v>00101872</v>
      </c>
    </row>
    <row r="1773" spans="1:2" x14ac:dyDescent="0.25">
      <c r="A1773" s="2">
        <v>1768</v>
      </c>
      <c r="B1773" s="3" t="str">
        <f>"00101912"</f>
        <v>00101912</v>
      </c>
    </row>
    <row r="1774" spans="1:2" x14ac:dyDescent="0.25">
      <c r="A1774" s="2">
        <v>1769</v>
      </c>
      <c r="B1774" s="3" t="str">
        <f>"00101935"</f>
        <v>00101935</v>
      </c>
    </row>
    <row r="1775" spans="1:2" x14ac:dyDescent="0.25">
      <c r="A1775" s="2">
        <v>1770</v>
      </c>
      <c r="B1775" s="3" t="str">
        <f>"00102111"</f>
        <v>00102111</v>
      </c>
    </row>
    <row r="1776" spans="1:2" x14ac:dyDescent="0.25">
      <c r="A1776" s="2">
        <v>1771</v>
      </c>
      <c r="B1776" s="3" t="str">
        <f>"00102157"</f>
        <v>00102157</v>
      </c>
    </row>
    <row r="1777" spans="1:2" x14ac:dyDescent="0.25">
      <c r="A1777" s="2">
        <v>1772</v>
      </c>
      <c r="B1777" s="3" t="str">
        <f>"00102187"</f>
        <v>00102187</v>
      </c>
    </row>
    <row r="1778" spans="1:2" x14ac:dyDescent="0.25">
      <c r="A1778" s="2">
        <v>1773</v>
      </c>
      <c r="B1778" s="3" t="str">
        <f>"00102246"</f>
        <v>00102246</v>
      </c>
    </row>
    <row r="1779" spans="1:2" x14ac:dyDescent="0.25">
      <c r="A1779" s="2">
        <v>1774</v>
      </c>
      <c r="B1779" s="3" t="str">
        <f>"00102297"</f>
        <v>00102297</v>
      </c>
    </row>
    <row r="1780" spans="1:2" x14ac:dyDescent="0.25">
      <c r="A1780" s="2">
        <v>1775</v>
      </c>
      <c r="B1780" s="3" t="str">
        <f>"00102298"</f>
        <v>00102298</v>
      </c>
    </row>
    <row r="1781" spans="1:2" x14ac:dyDescent="0.25">
      <c r="A1781" s="2">
        <v>1776</v>
      </c>
      <c r="B1781" s="3" t="str">
        <f>"00102306"</f>
        <v>00102306</v>
      </c>
    </row>
    <row r="1782" spans="1:2" x14ac:dyDescent="0.25">
      <c r="A1782" s="2">
        <v>1777</v>
      </c>
      <c r="B1782" s="3" t="str">
        <f>"00102344"</f>
        <v>00102344</v>
      </c>
    </row>
    <row r="1783" spans="1:2" x14ac:dyDescent="0.25">
      <c r="A1783" s="2">
        <v>1778</v>
      </c>
      <c r="B1783" s="3" t="str">
        <f>"00102347"</f>
        <v>00102347</v>
      </c>
    </row>
    <row r="1784" spans="1:2" x14ac:dyDescent="0.25">
      <c r="A1784" s="2">
        <v>1779</v>
      </c>
      <c r="B1784" s="3" t="str">
        <f>"00102358"</f>
        <v>00102358</v>
      </c>
    </row>
    <row r="1785" spans="1:2" x14ac:dyDescent="0.25">
      <c r="A1785" s="2">
        <v>1780</v>
      </c>
      <c r="B1785" s="3" t="str">
        <f>"00102376"</f>
        <v>00102376</v>
      </c>
    </row>
    <row r="1786" spans="1:2" x14ac:dyDescent="0.25">
      <c r="A1786" s="2">
        <v>1781</v>
      </c>
      <c r="B1786" s="3" t="str">
        <f>"00102396"</f>
        <v>00102396</v>
      </c>
    </row>
    <row r="1787" spans="1:2" x14ac:dyDescent="0.25">
      <c r="A1787" s="2">
        <v>1782</v>
      </c>
      <c r="B1787" s="3" t="str">
        <f>"00102482"</f>
        <v>00102482</v>
      </c>
    </row>
    <row r="1788" spans="1:2" x14ac:dyDescent="0.25">
      <c r="A1788" s="2">
        <v>1783</v>
      </c>
      <c r="B1788" s="3" t="str">
        <f>"00102506"</f>
        <v>00102506</v>
      </c>
    </row>
    <row r="1789" spans="1:2" x14ac:dyDescent="0.25">
      <c r="A1789" s="2">
        <v>1784</v>
      </c>
      <c r="B1789" s="3" t="str">
        <f>"00102507"</f>
        <v>00102507</v>
      </c>
    </row>
    <row r="1790" spans="1:2" x14ac:dyDescent="0.25">
      <c r="A1790" s="2">
        <v>1785</v>
      </c>
      <c r="B1790" s="3" t="str">
        <f>"00102510"</f>
        <v>00102510</v>
      </c>
    </row>
    <row r="1791" spans="1:2" x14ac:dyDescent="0.25">
      <c r="A1791" s="2">
        <v>1786</v>
      </c>
      <c r="B1791" s="3" t="str">
        <f>"00102539"</f>
        <v>00102539</v>
      </c>
    </row>
    <row r="1792" spans="1:2" x14ac:dyDescent="0.25">
      <c r="A1792" s="2">
        <v>1787</v>
      </c>
      <c r="B1792" s="3" t="str">
        <f>"00102541"</f>
        <v>00102541</v>
      </c>
    </row>
    <row r="1793" spans="1:2" x14ac:dyDescent="0.25">
      <c r="A1793" s="2">
        <v>1788</v>
      </c>
      <c r="B1793" s="3" t="str">
        <f>"00102655"</f>
        <v>00102655</v>
      </c>
    </row>
    <row r="1794" spans="1:2" x14ac:dyDescent="0.25">
      <c r="A1794" s="2">
        <v>1789</v>
      </c>
      <c r="B1794" s="3" t="str">
        <f>"00102657"</f>
        <v>00102657</v>
      </c>
    </row>
    <row r="1795" spans="1:2" x14ac:dyDescent="0.25">
      <c r="A1795" s="2">
        <v>1790</v>
      </c>
      <c r="B1795" s="3" t="str">
        <f>"00102671"</f>
        <v>00102671</v>
      </c>
    </row>
    <row r="1796" spans="1:2" x14ac:dyDescent="0.25">
      <c r="A1796" s="2">
        <v>1791</v>
      </c>
      <c r="B1796" s="3" t="str">
        <f>"00102743"</f>
        <v>00102743</v>
      </c>
    </row>
    <row r="1797" spans="1:2" x14ac:dyDescent="0.25">
      <c r="A1797" s="2">
        <v>1792</v>
      </c>
      <c r="B1797" s="3" t="str">
        <f>"00102752"</f>
        <v>00102752</v>
      </c>
    </row>
    <row r="1798" spans="1:2" x14ac:dyDescent="0.25">
      <c r="A1798" s="2">
        <v>1793</v>
      </c>
      <c r="B1798" s="3" t="str">
        <f>"00102798"</f>
        <v>00102798</v>
      </c>
    </row>
    <row r="1799" spans="1:2" x14ac:dyDescent="0.25">
      <c r="A1799" s="2">
        <v>1794</v>
      </c>
      <c r="B1799" s="3" t="str">
        <f>"00102807"</f>
        <v>00102807</v>
      </c>
    </row>
    <row r="1800" spans="1:2" x14ac:dyDescent="0.25">
      <c r="A1800" s="2">
        <v>1795</v>
      </c>
      <c r="B1800" s="3" t="str">
        <f>"00102816"</f>
        <v>00102816</v>
      </c>
    </row>
    <row r="1801" spans="1:2" x14ac:dyDescent="0.25">
      <c r="A1801" s="2">
        <v>1796</v>
      </c>
      <c r="B1801" s="3" t="str">
        <f>"00102907"</f>
        <v>00102907</v>
      </c>
    </row>
    <row r="1802" spans="1:2" x14ac:dyDescent="0.25">
      <c r="A1802" s="2">
        <v>1797</v>
      </c>
      <c r="B1802" s="3" t="str">
        <f>"00102916"</f>
        <v>00102916</v>
      </c>
    </row>
    <row r="1803" spans="1:2" x14ac:dyDescent="0.25">
      <c r="A1803" s="2">
        <v>1798</v>
      </c>
      <c r="B1803" s="3" t="str">
        <f>"00102976"</f>
        <v>00102976</v>
      </c>
    </row>
    <row r="1804" spans="1:2" x14ac:dyDescent="0.25">
      <c r="A1804" s="2">
        <v>1799</v>
      </c>
      <c r="B1804" s="3" t="str">
        <f>"00102991"</f>
        <v>00102991</v>
      </c>
    </row>
    <row r="1805" spans="1:2" x14ac:dyDescent="0.25">
      <c r="A1805" s="2">
        <v>1800</v>
      </c>
      <c r="B1805" s="3" t="str">
        <f>"00102997"</f>
        <v>00102997</v>
      </c>
    </row>
    <row r="1806" spans="1:2" x14ac:dyDescent="0.25">
      <c r="A1806" s="2">
        <v>1801</v>
      </c>
      <c r="B1806" s="3" t="str">
        <f>"00103008"</f>
        <v>00103008</v>
      </c>
    </row>
    <row r="1807" spans="1:2" x14ac:dyDescent="0.25">
      <c r="A1807" s="2">
        <v>1802</v>
      </c>
      <c r="B1807" s="3" t="str">
        <f>"00103058"</f>
        <v>00103058</v>
      </c>
    </row>
    <row r="1808" spans="1:2" x14ac:dyDescent="0.25">
      <c r="A1808" s="2">
        <v>1803</v>
      </c>
      <c r="B1808" s="3" t="str">
        <f>"00103069"</f>
        <v>00103069</v>
      </c>
    </row>
    <row r="1809" spans="1:2" x14ac:dyDescent="0.25">
      <c r="A1809" s="2">
        <v>1804</v>
      </c>
      <c r="B1809" s="3" t="str">
        <f>"00103070"</f>
        <v>00103070</v>
      </c>
    </row>
    <row r="1810" spans="1:2" x14ac:dyDescent="0.25">
      <c r="A1810" s="2">
        <v>1805</v>
      </c>
      <c r="B1810" s="3" t="str">
        <f>"00103080"</f>
        <v>00103080</v>
      </c>
    </row>
    <row r="1811" spans="1:2" x14ac:dyDescent="0.25">
      <c r="A1811" s="2">
        <v>1806</v>
      </c>
      <c r="B1811" s="3" t="str">
        <f>"00103082"</f>
        <v>00103082</v>
      </c>
    </row>
    <row r="1812" spans="1:2" x14ac:dyDescent="0.25">
      <c r="A1812" s="2">
        <v>1807</v>
      </c>
      <c r="B1812" s="3" t="str">
        <f>"00103104"</f>
        <v>00103104</v>
      </c>
    </row>
    <row r="1813" spans="1:2" x14ac:dyDescent="0.25">
      <c r="A1813" s="2">
        <v>1808</v>
      </c>
      <c r="B1813" s="3" t="str">
        <f>"00103106"</f>
        <v>00103106</v>
      </c>
    </row>
    <row r="1814" spans="1:2" x14ac:dyDescent="0.25">
      <c r="A1814" s="2">
        <v>1809</v>
      </c>
      <c r="B1814" s="3" t="str">
        <f>"00103109"</f>
        <v>00103109</v>
      </c>
    </row>
    <row r="1815" spans="1:2" x14ac:dyDescent="0.25">
      <c r="A1815" s="2">
        <v>1810</v>
      </c>
      <c r="B1815" s="3" t="str">
        <f>"00103185"</f>
        <v>00103185</v>
      </c>
    </row>
    <row r="1816" spans="1:2" x14ac:dyDescent="0.25">
      <c r="A1816" s="2">
        <v>1811</v>
      </c>
      <c r="B1816" s="3" t="str">
        <f>"00103189"</f>
        <v>00103189</v>
      </c>
    </row>
    <row r="1817" spans="1:2" x14ac:dyDescent="0.25">
      <c r="A1817" s="2">
        <v>1812</v>
      </c>
      <c r="B1817" s="3" t="str">
        <f>"00103224"</f>
        <v>00103224</v>
      </c>
    </row>
    <row r="1818" spans="1:2" x14ac:dyDescent="0.25">
      <c r="A1818" s="2">
        <v>1813</v>
      </c>
      <c r="B1818" s="3" t="str">
        <f>"00103312"</f>
        <v>00103312</v>
      </c>
    </row>
    <row r="1819" spans="1:2" x14ac:dyDescent="0.25">
      <c r="A1819" s="2">
        <v>1814</v>
      </c>
      <c r="B1819" s="3" t="str">
        <f>"00103335"</f>
        <v>00103335</v>
      </c>
    </row>
    <row r="1820" spans="1:2" x14ac:dyDescent="0.25">
      <c r="A1820" s="2">
        <v>1815</v>
      </c>
      <c r="B1820" s="3" t="str">
        <f>"00103353"</f>
        <v>00103353</v>
      </c>
    </row>
    <row r="1821" spans="1:2" x14ac:dyDescent="0.25">
      <c r="A1821" s="2">
        <v>1816</v>
      </c>
      <c r="B1821" s="3" t="str">
        <f>"00103380"</f>
        <v>00103380</v>
      </c>
    </row>
    <row r="1822" spans="1:2" x14ac:dyDescent="0.25">
      <c r="A1822" s="2">
        <v>1817</v>
      </c>
      <c r="B1822" s="3" t="str">
        <f>"00103391"</f>
        <v>00103391</v>
      </c>
    </row>
    <row r="1823" spans="1:2" x14ac:dyDescent="0.25">
      <c r="A1823" s="2">
        <v>1818</v>
      </c>
      <c r="B1823" s="3" t="str">
        <f>"00103422"</f>
        <v>00103422</v>
      </c>
    </row>
    <row r="1824" spans="1:2" x14ac:dyDescent="0.25">
      <c r="A1824" s="2">
        <v>1819</v>
      </c>
      <c r="B1824" s="3" t="str">
        <f>"00103459"</f>
        <v>00103459</v>
      </c>
    </row>
    <row r="1825" spans="1:2" x14ac:dyDescent="0.25">
      <c r="A1825" s="2">
        <v>1820</v>
      </c>
      <c r="B1825" s="3" t="str">
        <f>"00103501"</f>
        <v>00103501</v>
      </c>
    </row>
    <row r="1826" spans="1:2" x14ac:dyDescent="0.25">
      <c r="A1826" s="2">
        <v>1821</v>
      </c>
      <c r="B1826" s="3" t="str">
        <f>"00103554"</f>
        <v>00103554</v>
      </c>
    </row>
    <row r="1827" spans="1:2" x14ac:dyDescent="0.25">
      <c r="A1827" s="2">
        <v>1822</v>
      </c>
      <c r="B1827" s="3" t="str">
        <f>"00103562"</f>
        <v>00103562</v>
      </c>
    </row>
    <row r="1828" spans="1:2" x14ac:dyDescent="0.25">
      <c r="A1828" s="2">
        <v>1823</v>
      </c>
      <c r="B1828" s="3" t="str">
        <f>"00103608"</f>
        <v>00103608</v>
      </c>
    </row>
    <row r="1829" spans="1:2" x14ac:dyDescent="0.25">
      <c r="A1829" s="2">
        <v>1824</v>
      </c>
      <c r="B1829" s="3" t="str">
        <f>"00103697"</f>
        <v>00103697</v>
      </c>
    </row>
    <row r="1830" spans="1:2" x14ac:dyDescent="0.25">
      <c r="A1830" s="2">
        <v>1825</v>
      </c>
      <c r="B1830" s="3" t="str">
        <f>"00103726"</f>
        <v>00103726</v>
      </c>
    </row>
    <row r="1831" spans="1:2" x14ac:dyDescent="0.25">
      <c r="A1831" s="2">
        <v>1826</v>
      </c>
      <c r="B1831" s="3" t="str">
        <f>"00103750"</f>
        <v>00103750</v>
      </c>
    </row>
    <row r="1832" spans="1:2" x14ac:dyDescent="0.25">
      <c r="A1832" s="2">
        <v>1827</v>
      </c>
      <c r="B1832" s="3" t="str">
        <f>"00103765"</f>
        <v>00103765</v>
      </c>
    </row>
    <row r="1833" spans="1:2" x14ac:dyDescent="0.25">
      <c r="A1833" s="2">
        <v>1828</v>
      </c>
      <c r="B1833" s="3" t="str">
        <f>"00103770"</f>
        <v>00103770</v>
      </c>
    </row>
    <row r="1834" spans="1:2" x14ac:dyDescent="0.25">
      <c r="A1834" s="2">
        <v>1829</v>
      </c>
      <c r="B1834" s="3" t="str">
        <f>"00103817"</f>
        <v>00103817</v>
      </c>
    </row>
    <row r="1835" spans="1:2" x14ac:dyDescent="0.25">
      <c r="A1835" s="2">
        <v>1830</v>
      </c>
      <c r="B1835" s="3" t="str">
        <f>"00103819"</f>
        <v>00103819</v>
      </c>
    </row>
    <row r="1836" spans="1:2" x14ac:dyDescent="0.25">
      <c r="A1836" s="2">
        <v>1831</v>
      </c>
      <c r="B1836" s="3" t="str">
        <f>"00103831"</f>
        <v>00103831</v>
      </c>
    </row>
    <row r="1837" spans="1:2" x14ac:dyDescent="0.25">
      <c r="A1837" s="2">
        <v>1832</v>
      </c>
      <c r="B1837" s="3" t="str">
        <f>"00103865"</f>
        <v>00103865</v>
      </c>
    </row>
    <row r="1838" spans="1:2" x14ac:dyDescent="0.25">
      <c r="A1838" s="2">
        <v>1833</v>
      </c>
      <c r="B1838" s="3" t="str">
        <f>"00104035"</f>
        <v>00104035</v>
      </c>
    </row>
    <row r="1839" spans="1:2" x14ac:dyDescent="0.25">
      <c r="A1839" s="2">
        <v>1834</v>
      </c>
      <c r="B1839" s="3" t="str">
        <f>"00104086"</f>
        <v>00104086</v>
      </c>
    </row>
    <row r="1840" spans="1:2" x14ac:dyDescent="0.25">
      <c r="A1840" s="2">
        <v>1835</v>
      </c>
      <c r="B1840" s="3" t="str">
        <f>"00104130"</f>
        <v>00104130</v>
      </c>
    </row>
    <row r="1841" spans="1:2" x14ac:dyDescent="0.25">
      <c r="A1841" s="2">
        <v>1836</v>
      </c>
      <c r="B1841" s="3" t="str">
        <f>"00104232"</f>
        <v>00104232</v>
      </c>
    </row>
    <row r="1842" spans="1:2" x14ac:dyDescent="0.25">
      <c r="A1842" s="2">
        <v>1837</v>
      </c>
      <c r="B1842" s="3" t="str">
        <f>"00104270"</f>
        <v>00104270</v>
      </c>
    </row>
    <row r="1843" spans="1:2" x14ac:dyDescent="0.25">
      <c r="A1843" s="2">
        <v>1838</v>
      </c>
      <c r="B1843" s="3" t="str">
        <f>"00104309"</f>
        <v>00104309</v>
      </c>
    </row>
    <row r="1844" spans="1:2" x14ac:dyDescent="0.25">
      <c r="A1844" s="2">
        <v>1839</v>
      </c>
      <c r="B1844" s="3" t="str">
        <f>"00104324"</f>
        <v>00104324</v>
      </c>
    </row>
    <row r="1845" spans="1:2" x14ac:dyDescent="0.25">
      <c r="A1845" s="2">
        <v>1840</v>
      </c>
      <c r="B1845" s="3" t="str">
        <f>"00104363"</f>
        <v>00104363</v>
      </c>
    </row>
    <row r="1846" spans="1:2" x14ac:dyDescent="0.25">
      <c r="A1846" s="2">
        <v>1841</v>
      </c>
      <c r="B1846" s="3" t="str">
        <f>"00104404"</f>
        <v>00104404</v>
      </c>
    </row>
    <row r="1847" spans="1:2" x14ac:dyDescent="0.25">
      <c r="A1847" s="2">
        <v>1842</v>
      </c>
      <c r="B1847" s="3" t="str">
        <f>"00104449"</f>
        <v>00104449</v>
      </c>
    </row>
    <row r="1848" spans="1:2" x14ac:dyDescent="0.25">
      <c r="A1848" s="2">
        <v>1843</v>
      </c>
      <c r="B1848" s="3" t="str">
        <f>"00104476"</f>
        <v>00104476</v>
      </c>
    </row>
    <row r="1849" spans="1:2" x14ac:dyDescent="0.25">
      <c r="A1849" s="2">
        <v>1844</v>
      </c>
      <c r="B1849" s="3" t="str">
        <f>"00104483"</f>
        <v>00104483</v>
      </c>
    </row>
    <row r="1850" spans="1:2" x14ac:dyDescent="0.25">
      <c r="A1850" s="2">
        <v>1845</v>
      </c>
      <c r="B1850" s="3" t="str">
        <f>"00104557"</f>
        <v>00104557</v>
      </c>
    </row>
    <row r="1851" spans="1:2" x14ac:dyDescent="0.25">
      <c r="A1851" s="2">
        <v>1846</v>
      </c>
      <c r="B1851" s="3" t="str">
        <f>"00104625"</f>
        <v>00104625</v>
      </c>
    </row>
    <row r="1852" spans="1:2" x14ac:dyDescent="0.25">
      <c r="A1852" s="2">
        <v>1847</v>
      </c>
      <c r="B1852" s="3" t="str">
        <f>"00104707"</f>
        <v>00104707</v>
      </c>
    </row>
    <row r="1853" spans="1:2" x14ac:dyDescent="0.25">
      <c r="A1853" s="2">
        <v>1848</v>
      </c>
      <c r="B1853" s="3" t="str">
        <f>"00104721"</f>
        <v>00104721</v>
      </c>
    </row>
    <row r="1854" spans="1:2" x14ac:dyDescent="0.25">
      <c r="A1854" s="2">
        <v>1849</v>
      </c>
      <c r="B1854" s="3" t="str">
        <f>"00104742"</f>
        <v>00104742</v>
      </c>
    </row>
    <row r="1855" spans="1:2" x14ac:dyDescent="0.25">
      <c r="A1855" s="2">
        <v>1850</v>
      </c>
      <c r="B1855" s="3" t="str">
        <f>"00104744"</f>
        <v>00104744</v>
      </c>
    </row>
    <row r="1856" spans="1:2" x14ac:dyDescent="0.25">
      <c r="A1856" s="2">
        <v>1851</v>
      </c>
      <c r="B1856" s="3" t="str">
        <f>"00104785"</f>
        <v>00104785</v>
      </c>
    </row>
    <row r="1857" spans="1:2" x14ac:dyDescent="0.25">
      <c r="A1857" s="2">
        <v>1852</v>
      </c>
      <c r="B1857" s="3" t="str">
        <f>"00104867"</f>
        <v>00104867</v>
      </c>
    </row>
    <row r="1858" spans="1:2" x14ac:dyDescent="0.25">
      <c r="A1858" s="2">
        <v>1853</v>
      </c>
      <c r="B1858" s="3" t="str">
        <f>"00104952"</f>
        <v>00104952</v>
      </c>
    </row>
    <row r="1859" spans="1:2" x14ac:dyDescent="0.25">
      <c r="A1859" s="2">
        <v>1854</v>
      </c>
      <c r="B1859" s="3" t="str">
        <f>"00105119"</f>
        <v>00105119</v>
      </c>
    </row>
    <row r="1860" spans="1:2" x14ac:dyDescent="0.25">
      <c r="A1860" s="2">
        <v>1855</v>
      </c>
      <c r="B1860" s="3" t="str">
        <f>"00105182"</f>
        <v>00105182</v>
      </c>
    </row>
    <row r="1861" spans="1:2" x14ac:dyDescent="0.25">
      <c r="A1861" s="2">
        <v>1856</v>
      </c>
      <c r="B1861" s="3" t="str">
        <f>"00105188"</f>
        <v>00105188</v>
      </c>
    </row>
    <row r="1862" spans="1:2" x14ac:dyDescent="0.25">
      <c r="A1862" s="2">
        <v>1857</v>
      </c>
      <c r="B1862" s="3" t="str">
        <f>"00105238"</f>
        <v>00105238</v>
      </c>
    </row>
    <row r="1863" spans="1:2" x14ac:dyDescent="0.25">
      <c r="A1863" s="2">
        <v>1858</v>
      </c>
      <c r="B1863" s="3" t="str">
        <f>"00105262"</f>
        <v>00105262</v>
      </c>
    </row>
    <row r="1864" spans="1:2" x14ac:dyDescent="0.25">
      <c r="A1864" s="2">
        <v>1859</v>
      </c>
      <c r="B1864" s="3" t="str">
        <f>"00105315"</f>
        <v>00105315</v>
      </c>
    </row>
    <row r="1865" spans="1:2" x14ac:dyDescent="0.25">
      <c r="A1865" s="2">
        <v>1860</v>
      </c>
      <c r="B1865" s="3" t="str">
        <f>"00105322"</f>
        <v>00105322</v>
      </c>
    </row>
    <row r="1866" spans="1:2" x14ac:dyDescent="0.25">
      <c r="A1866" s="2">
        <v>1861</v>
      </c>
      <c r="B1866" s="3" t="str">
        <f>"00105329"</f>
        <v>00105329</v>
      </c>
    </row>
    <row r="1867" spans="1:2" x14ac:dyDescent="0.25">
      <c r="A1867" s="2">
        <v>1862</v>
      </c>
      <c r="B1867" s="3" t="str">
        <f>"00105356"</f>
        <v>00105356</v>
      </c>
    </row>
    <row r="1868" spans="1:2" x14ac:dyDescent="0.25">
      <c r="A1868" s="2">
        <v>1863</v>
      </c>
      <c r="B1868" s="3" t="str">
        <f>"00105369"</f>
        <v>00105369</v>
      </c>
    </row>
    <row r="1869" spans="1:2" x14ac:dyDescent="0.25">
      <c r="A1869" s="2">
        <v>1864</v>
      </c>
      <c r="B1869" s="3" t="str">
        <f>"00105418"</f>
        <v>00105418</v>
      </c>
    </row>
    <row r="1870" spans="1:2" x14ac:dyDescent="0.25">
      <c r="A1870" s="2">
        <v>1865</v>
      </c>
      <c r="B1870" s="3" t="str">
        <f>"00105428"</f>
        <v>00105428</v>
      </c>
    </row>
    <row r="1871" spans="1:2" x14ac:dyDescent="0.25">
      <c r="A1871" s="2">
        <v>1866</v>
      </c>
      <c r="B1871" s="3" t="str">
        <f>"00105437"</f>
        <v>00105437</v>
      </c>
    </row>
    <row r="1872" spans="1:2" x14ac:dyDescent="0.25">
      <c r="A1872" s="2">
        <v>1867</v>
      </c>
      <c r="B1872" s="3" t="str">
        <f>"00105458"</f>
        <v>00105458</v>
      </c>
    </row>
    <row r="1873" spans="1:2" x14ac:dyDescent="0.25">
      <c r="A1873" s="2">
        <v>1868</v>
      </c>
      <c r="B1873" s="3" t="str">
        <f>"00105518"</f>
        <v>00105518</v>
      </c>
    </row>
    <row r="1874" spans="1:2" x14ac:dyDescent="0.25">
      <c r="A1874" s="2">
        <v>1869</v>
      </c>
      <c r="B1874" s="3" t="str">
        <f>"00105542"</f>
        <v>00105542</v>
      </c>
    </row>
    <row r="1875" spans="1:2" x14ac:dyDescent="0.25">
      <c r="A1875" s="2">
        <v>1870</v>
      </c>
      <c r="B1875" s="3" t="str">
        <f>"00105564"</f>
        <v>00105564</v>
      </c>
    </row>
    <row r="1876" spans="1:2" x14ac:dyDescent="0.25">
      <c r="A1876" s="2">
        <v>1871</v>
      </c>
      <c r="B1876" s="3" t="str">
        <f>"00105588"</f>
        <v>00105588</v>
      </c>
    </row>
    <row r="1877" spans="1:2" x14ac:dyDescent="0.25">
      <c r="A1877" s="2">
        <v>1872</v>
      </c>
      <c r="B1877" s="3" t="str">
        <f>"00105594"</f>
        <v>00105594</v>
      </c>
    </row>
    <row r="1878" spans="1:2" x14ac:dyDescent="0.25">
      <c r="A1878" s="2">
        <v>1873</v>
      </c>
      <c r="B1878" s="3" t="str">
        <f>"00105600"</f>
        <v>00105600</v>
      </c>
    </row>
    <row r="1879" spans="1:2" x14ac:dyDescent="0.25">
      <c r="A1879" s="2">
        <v>1874</v>
      </c>
      <c r="B1879" s="3" t="str">
        <f>"00105639"</f>
        <v>00105639</v>
      </c>
    </row>
    <row r="1880" spans="1:2" x14ac:dyDescent="0.25">
      <c r="A1880" s="2">
        <v>1875</v>
      </c>
      <c r="B1880" s="3" t="str">
        <f>"00105640"</f>
        <v>00105640</v>
      </c>
    </row>
    <row r="1881" spans="1:2" x14ac:dyDescent="0.25">
      <c r="A1881" s="2">
        <v>1876</v>
      </c>
      <c r="B1881" s="3" t="str">
        <f>"00105693"</f>
        <v>00105693</v>
      </c>
    </row>
    <row r="1882" spans="1:2" x14ac:dyDescent="0.25">
      <c r="A1882" s="2">
        <v>1877</v>
      </c>
      <c r="B1882" s="3" t="str">
        <f>"00105709"</f>
        <v>00105709</v>
      </c>
    </row>
    <row r="1883" spans="1:2" x14ac:dyDescent="0.25">
      <c r="A1883" s="2">
        <v>1878</v>
      </c>
      <c r="B1883" s="3" t="str">
        <f>"00105822"</f>
        <v>00105822</v>
      </c>
    </row>
    <row r="1884" spans="1:2" x14ac:dyDescent="0.25">
      <c r="A1884" s="2">
        <v>1879</v>
      </c>
      <c r="B1884" s="3" t="str">
        <f>"00106532"</f>
        <v>00106532</v>
      </c>
    </row>
    <row r="1885" spans="1:2" x14ac:dyDescent="0.25">
      <c r="A1885" s="2">
        <v>1880</v>
      </c>
      <c r="B1885" s="3" t="str">
        <f>"00106608"</f>
        <v>00106608</v>
      </c>
    </row>
    <row r="1886" spans="1:2" x14ac:dyDescent="0.25">
      <c r="A1886" s="2">
        <v>1881</v>
      </c>
      <c r="B1886" s="3" t="str">
        <f>"00106650"</f>
        <v>00106650</v>
      </c>
    </row>
    <row r="1887" spans="1:2" x14ac:dyDescent="0.25">
      <c r="A1887" s="2">
        <v>1882</v>
      </c>
      <c r="B1887" s="3" t="str">
        <f>"00106911"</f>
        <v>00106911</v>
      </c>
    </row>
    <row r="1888" spans="1:2" x14ac:dyDescent="0.25">
      <c r="A1888" s="2">
        <v>1883</v>
      </c>
      <c r="B1888" s="3" t="str">
        <f>"00106912"</f>
        <v>00106912</v>
      </c>
    </row>
    <row r="1889" spans="1:2" x14ac:dyDescent="0.25">
      <c r="A1889" s="2">
        <v>1884</v>
      </c>
      <c r="B1889" s="3" t="str">
        <f>"00106938"</f>
        <v>00106938</v>
      </c>
    </row>
    <row r="1890" spans="1:2" x14ac:dyDescent="0.25">
      <c r="A1890" s="2">
        <v>1885</v>
      </c>
      <c r="B1890" s="3" t="str">
        <f>"00106946"</f>
        <v>00106946</v>
      </c>
    </row>
    <row r="1891" spans="1:2" x14ac:dyDescent="0.25">
      <c r="A1891" s="2">
        <v>1886</v>
      </c>
      <c r="B1891" s="3" t="str">
        <f>"00106948"</f>
        <v>00106948</v>
      </c>
    </row>
    <row r="1892" spans="1:2" x14ac:dyDescent="0.25">
      <c r="A1892" s="2">
        <v>1887</v>
      </c>
      <c r="B1892" s="3" t="str">
        <f>"00106955"</f>
        <v>00106955</v>
      </c>
    </row>
    <row r="1893" spans="1:2" x14ac:dyDescent="0.25">
      <c r="A1893" s="2">
        <v>1888</v>
      </c>
      <c r="B1893" s="3" t="str">
        <f>"00107185"</f>
        <v>00107185</v>
      </c>
    </row>
    <row r="1894" spans="1:2" x14ac:dyDescent="0.25">
      <c r="A1894" s="2">
        <v>1889</v>
      </c>
      <c r="B1894" s="3" t="str">
        <f>"00107238"</f>
        <v>00107238</v>
      </c>
    </row>
    <row r="1895" spans="1:2" x14ac:dyDescent="0.25">
      <c r="A1895" s="2">
        <v>1890</v>
      </c>
      <c r="B1895" s="3" t="str">
        <f>"00107258"</f>
        <v>00107258</v>
      </c>
    </row>
    <row r="1896" spans="1:2" x14ac:dyDescent="0.25">
      <c r="A1896" s="2">
        <v>1891</v>
      </c>
      <c r="B1896" s="3" t="str">
        <f>"00107302"</f>
        <v>00107302</v>
      </c>
    </row>
    <row r="1897" spans="1:2" x14ac:dyDescent="0.25">
      <c r="A1897" s="2">
        <v>1892</v>
      </c>
      <c r="B1897" s="3" t="str">
        <f>"00107493"</f>
        <v>00107493</v>
      </c>
    </row>
    <row r="1898" spans="1:2" x14ac:dyDescent="0.25">
      <c r="A1898" s="2">
        <v>1893</v>
      </c>
      <c r="B1898" s="3" t="str">
        <f>"00107667"</f>
        <v>00107667</v>
      </c>
    </row>
    <row r="1899" spans="1:2" x14ac:dyDescent="0.25">
      <c r="A1899" s="2">
        <v>1894</v>
      </c>
      <c r="B1899" s="3" t="str">
        <f>"00107693"</f>
        <v>00107693</v>
      </c>
    </row>
    <row r="1900" spans="1:2" x14ac:dyDescent="0.25">
      <c r="A1900" s="2">
        <v>1895</v>
      </c>
      <c r="B1900" s="3" t="str">
        <f>"00107738"</f>
        <v>00107738</v>
      </c>
    </row>
    <row r="1901" spans="1:2" x14ac:dyDescent="0.25">
      <c r="A1901" s="2">
        <v>1896</v>
      </c>
      <c r="B1901" s="3" t="str">
        <f>"00107750"</f>
        <v>00107750</v>
      </c>
    </row>
    <row r="1902" spans="1:2" x14ac:dyDescent="0.25">
      <c r="A1902" s="2">
        <v>1897</v>
      </c>
      <c r="B1902" s="3" t="str">
        <f>"00108050"</f>
        <v>00108050</v>
      </c>
    </row>
    <row r="1903" spans="1:2" x14ac:dyDescent="0.25">
      <c r="A1903" s="2">
        <v>1898</v>
      </c>
      <c r="B1903" s="3" t="str">
        <f>"00108094"</f>
        <v>00108094</v>
      </c>
    </row>
    <row r="1904" spans="1:2" x14ac:dyDescent="0.25">
      <c r="A1904" s="2">
        <v>1899</v>
      </c>
      <c r="B1904" s="3" t="str">
        <f>"00108162"</f>
        <v>00108162</v>
      </c>
    </row>
    <row r="1905" spans="1:2" x14ac:dyDescent="0.25">
      <c r="A1905" s="2">
        <v>1900</v>
      </c>
      <c r="B1905" s="3" t="str">
        <f>"00108254"</f>
        <v>00108254</v>
      </c>
    </row>
    <row r="1906" spans="1:2" x14ac:dyDescent="0.25">
      <c r="A1906" s="2">
        <v>1901</v>
      </c>
      <c r="B1906" s="3" t="str">
        <f>"00108263"</f>
        <v>00108263</v>
      </c>
    </row>
    <row r="1907" spans="1:2" x14ac:dyDescent="0.25">
      <c r="A1907" s="2">
        <v>1902</v>
      </c>
      <c r="B1907" s="3" t="str">
        <f>"00108287"</f>
        <v>00108287</v>
      </c>
    </row>
    <row r="1908" spans="1:2" x14ac:dyDescent="0.25">
      <c r="A1908" s="2">
        <v>1903</v>
      </c>
      <c r="B1908" s="3" t="str">
        <f>"00108417"</f>
        <v>00108417</v>
      </c>
    </row>
    <row r="1909" spans="1:2" x14ac:dyDescent="0.25">
      <c r="A1909" s="2">
        <v>1904</v>
      </c>
      <c r="B1909" s="3" t="str">
        <f>"00108471"</f>
        <v>00108471</v>
      </c>
    </row>
    <row r="1910" spans="1:2" x14ac:dyDescent="0.25">
      <c r="A1910" s="2">
        <v>1905</v>
      </c>
      <c r="B1910" s="3" t="str">
        <f>"00108475"</f>
        <v>00108475</v>
      </c>
    </row>
    <row r="1911" spans="1:2" x14ac:dyDescent="0.25">
      <c r="A1911" s="2">
        <v>1906</v>
      </c>
      <c r="B1911" s="3" t="str">
        <f>"00108674"</f>
        <v>00108674</v>
      </c>
    </row>
    <row r="1912" spans="1:2" x14ac:dyDescent="0.25">
      <c r="A1912" s="2">
        <v>1907</v>
      </c>
      <c r="B1912" s="3" t="str">
        <f>"00108732"</f>
        <v>00108732</v>
      </c>
    </row>
    <row r="1913" spans="1:2" x14ac:dyDescent="0.25">
      <c r="A1913" s="2">
        <v>1908</v>
      </c>
      <c r="B1913" s="3" t="str">
        <f>"00108765"</f>
        <v>00108765</v>
      </c>
    </row>
    <row r="1914" spans="1:2" x14ac:dyDescent="0.25">
      <c r="A1914" s="2">
        <v>1909</v>
      </c>
      <c r="B1914" s="3" t="str">
        <f>"00108789"</f>
        <v>00108789</v>
      </c>
    </row>
    <row r="1915" spans="1:2" x14ac:dyDescent="0.25">
      <c r="A1915" s="2">
        <v>1910</v>
      </c>
      <c r="B1915" s="3" t="str">
        <f>"00108824"</f>
        <v>00108824</v>
      </c>
    </row>
    <row r="1916" spans="1:2" x14ac:dyDescent="0.25">
      <c r="A1916" s="2">
        <v>1911</v>
      </c>
      <c r="B1916" s="3" t="str">
        <f>"00108880"</f>
        <v>00108880</v>
      </c>
    </row>
    <row r="1917" spans="1:2" x14ac:dyDescent="0.25">
      <c r="A1917" s="2">
        <v>1912</v>
      </c>
      <c r="B1917" s="3" t="str">
        <f>"00108906"</f>
        <v>00108906</v>
      </c>
    </row>
    <row r="1918" spans="1:2" x14ac:dyDescent="0.25">
      <c r="A1918" s="2">
        <v>1913</v>
      </c>
      <c r="B1918" s="3" t="str">
        <f>"00108912"</f>
        <v>00108912</v>
      </c>
    </row>
    <row r="1919" spans="1:2" x14ac:dyDescent="0.25">
      <c r="A1919" s="2">
        <v>1914</v>
      </c>
      <c r="B1919" s="3" t="str">
        <f>"00108953"</f>
        <v>00108953</v>
      </c>
    </row>
    <row r="1920" spans="1:2" x14ac:dyDescent="0.25">
      <c r="A1920" s="2">
        <v>1915</v>
      </c>
      <c r="B1920" s="3" t="str">
        <f>"00108980"</f>
        <v>00108980</v>
      </c>
    </row>
    <row r="1921" spans="1:2" x14ac:dyDescent="0.25">
      <c r="A1921" s="2">
        <v>1916</v>
      </c>
      <c r="B1921" s="3" t="str">
        <f>"00108987"</f>
        <v>00108987</v>
      </c>
    </row>
    <row r="1922" spans="1:2" x14ac:dyDescent="0.25">
      <c r="A1922" s="2">
        <v>1917</v>
      </c>
      <c r="B1922" s="3" t="str">
        <f>"00109096"</f>
        <v>00109096</v>
      </c>
    </row>
    <row r="1923" spans="1:2" x14ac:dyDescent="0.25">
      <c r="A1923" s="2">
        <v>1918</v>
      </c>
      <c r="B1923" s="3" t="str">
        <f>"00109098"</f>
        <v>00109098</v>
      </c>
    </row>
    <row r="1924" spans="1:2" x14ac:dyDescent="0.25">
      <c r="A1924" s="2">
        <v>1919</v>
      </c>
      <c r="B1924" s="3" t="str">
        <f>"00109129"</f>
        <v>00109129</v>
      </c>
    </row>
    <row r="1925" spans="1:2" x14ac:dyDescent="0.25">
      <c r="A1925" s="2">
        <v>1920</v>
      </c>
      <c r="B1925" s="3" t="str">
        <f>"00109132"</f>
        <v>00109132</v>
      </c>
    </row>
    <row r="1926" spans="1:2" x14ac:dyDescent="0.25">
      <c r="A1926" s="2">
        <v>1921</v>
      </c>
      <c r="B1926" s="3" t="str">
        <f>"00109149"</f>
        <v>00109149</v>
      </c>
    </row>
    <row r="1927" spans="1:2" x14ac:dyDescent="0.25">
      <c r="A1927" s="2">
        <v>1922</v>
      </c>
      <c r="B1927" s="3" t="str">
        <f>"00109276"</f>
        <v>00109276</v>
      </c>
    </row>
    <row r="1928" spans="1:2" x14ac:dyDescent="0.25">
      <c r="A1928" s="2">
        <v>1923</v>
      </c>
      <c r="B1928" s="3" t="str">
        <f>"00109295"</f>
        <v>00109295</v>
      </c>
    </row>
    <row r="1929" spans="1:2" x14ac:dyDescent="0.25">
      <c r="A1929" s="2">
        <v>1924</v>
      </c>
      <c r="B1929" s="3" t="str">
        <f>"00109395"</f>
        <v>00109395</v>
      </c>
    </row>
    <row r="1930" spans="1:2" x14ac:dyDescent="0.25">
      <c r="A1930" s="2">
        <v>1925</v>
      </c>
      <c r="B1930" s="3" t="str">
        <f>"00109444"</f>
        <v>00109444</v>
      </c>
    </row>
    <row r="1931" spans="1:2" x14ac:dyDescent="0.25">
      <c r="A1931" s="2">
        <v>1926</v>
      </c>
      <c r="B1931" s="3" t="str">
        <f>"00109497"</f>
        <v>00109497</v>
      </c>
    </row>
    <row r="1932" spans="1:2" x14ac:dyDescent="0.25">
      <c r="A1932" s="2">
        <v>1927</v>
      </c>
      <c r="B1932" s="3" t="str">
        <f>"00109505"</f>
        <v>00109505</v>
      </c>
    </row>
    <row r="1933" spans="1:2" x14ac:dyDescent="0.25">
      <c r="A1933" s="2">
        <v>1928</v>
      </c>
      <c r="B1933" s="3" t="str">
        <f>"00109511"</f>
        <v>00109511</v>
      </c>
    </row>
    <row r="1934" spans="1:2" x14ac:dyDescent="0.25">
      <c r="A1934" s="2">
        <v>1929</v>
      </c>
      <c r="B1934" s="3" t="str">
        <f>"00109589"</f>
        <v>00109589</v>
      </c>
    </row>
    <row r="1935" spans="1:2" x14ac:dyDescent="0.25">
      <c r="A1935" s="2">
        <v>1930</v>
      </c>
      <c r="B1935" s="3" t="str">
        <f>"00109606"</f>
        <v>00109606</v>
      </c>
    </row>
    <row r="1936" spans="1:2" x14ac:dyDescent="0.25">
      <c r="A1936" s="2">
        <v>1931</v>
      </c>
      <c r="B1936" s="3" t="str">
        <f>"00109648"</f>
        <v>00109648</v>
      </c>
    </row>
    <row r="1937" spans="1:2" x14ac:dyDescent="0.25">
      <c r="A1937" s="2">
        <v>1932</v>
      </c>
      <c r="B1937" s="3" t="str">
        <f>"00109681"</f>
        <v>00109681</v>
      </c>
    </row>
    <row r="1938" spans="1:2" x14ac:dyDescent="0.25">
      <c r="A1938" s="2">
        <v>1933</v>
      </c>
      <c r="B1938" s="3" t="str">
        <f>"00109700"</f>
        <v>00109700</v>
      </c>
    </row>
    <row r="1939" spans="1:2" x14ac:dyDescent="0.25">
      <c r="A1939" s="2">
        <v>1934</v>
      </c>
      <c r="B1939" s="3" t="str">
        <f>"00109705"</f>
        <v>00109705</v>
      </c>
    </row>
    <row r="1940" spans="1:2" x14ac:dyDescent="0.25">
      <c r="A1940" s="2">
        <v>1935</v>
      </c>
      <c r="B1940" s="3" t="str">
        <f>"00109731"</f>
        <v>00109731</v>
      </c>
    </row>
    <row r="1941" spans="1:2" x14ac:dyDescent="0.25">
      <c r="A1941" s="2">
        <v>1936</v>
      </c>
      <c r="B1941" s="3" t="str">
        <f>"00109752"</f>
        <v>00109752</v>
      </c>
    </row>
    <row r="1942" spans="1:2" x14ac:dyDescent="0.25">
      <c r="A1942" s="2">
        <v>1937</v>
      </c>
      <c r="B1942" s="3" t="str">
        <f>"00109806"</f>
        <v>00109806</v>
      </c>
    </row>
    <row r="1943" spans="1:2" x14ac:dyDescent="0.25">
      <c r="A1943" s="2">
        <v>1938</v>
      </c>
      <c r="B1943" s="3" t="str">
        <f>"00109828"</f>
        <v>00109828</v>
      </c>
    </row>
    <row r="1944" spans="1:2" x14ac:dyDescent="0.25">
      <c r="A1944" s="2">
        <v>1939</v>
      </c>
      <c r="B1944" s="3" t="str">
        <f>"00109906"</f>
        <v>00109906</v>
      </c>
    </row>
    <row r="1945" spans="1:2" x14ac:dyDescent="0.25">
      <c r="A1945" s="2">
        <v>1940</v>
      </c>
      <c r="B1945" s="3" t="str">
        <f>"00109911"</f>
        <v>00109911</v>
      </c>
    </row>
    <row r="1946" spans="1:2" x14ac:dyDescent="0.25">
      <c r="A1946" s="2">
        <v>1941</v>
      </c>
      <c r="B1946" s="3" t="str">
        <f>"00109970"</f>
        <v>00109970</v>
      </c>
    </row>
    <row r="1947" spans="1:2" x14ac:dyDescent="0.25">
      <c r="A1947" s="2">
        <v>1942</v>
      </c>
      <c r="B1947" s="3" t="str">
        <f>"00110019"</f>
        <v>00110019</v>
      </c>
    </row>
    <row r="1948" spans="1:2" x14ac:dyDescent="0.25">
      <c r="A1948" s="2">
        <v>1943</v>
      </c>
      <c r="B1948" s="3" t="str">
        <f>"00110055"</f>
        <v>00110055</v>
      </c>
    </row>
    <row r="1949" spans="1:2" x14ac:dyDescent="0.25">
      <c r="A1949" s="2">
        <v>1944</v>
      </c>
      <c r="B1949" s="3" t="str">
        <f>"00110170"</f>
        <v>00110170</v>
      </c>
    </row>
    <row r="1950" spans="1:2" x14ac:dyDescent="0.25">
      <c r="A1950" s="2">
        <v>1945</v>
      </c>
      <c r="B1950" s="3" t="str">
        <f>"00110183"</f>
        <v>00110183</v>
      </c>
    </row>
    <row r="1951" spans="1:2" x14ac:dyDescent="0.25">
      <c r="A1951" s="2">
        <v>1946</v>
      </c>
      <c r="B1951" s="3" t="str">
        <f>"00110185"</f>
        <v>00110185</v>
      </c>
    </row>
    <row r="1952" spans="1:2" x14ac:dyDescent="0.25">
      <c r="A1952" s="2">
        <v>1947</v>
      </c>
      <c r="B1952" s="3" t="str">
        <f>"00110262"</f>
        <v>00110262</v>
      </c>
    </row>
    <row r="1953" spans="1:2" x14ac:dyDescent="0.25">
      <c r="A1953" s="2">
        <v>1948</v>
      </c>
      <c r="B1953" s="3" t="str">
        <f>"00110301"</f>
        <v>00110301</v>
      </c>
    </row>
    <row r="1954" spans="1:2" x14ac:dyDescent="0.25">
      <c r="A1954" s="2">
        <v>1949</v>
      </c>
      <c r="B1954" s="3" t="str">
        <f>"00110408"</f>
        <v>00110408</v>
      </c>
    </row>
    <row r="1955" spans="1:2" x14ac:dyDescent="0.25">
      <c r="A1955" s="2">
        <v>1950</v>
      </c>
      <c r="B1955" s="3" t="str">
        <f>"00110430"</f>
        <v>00110430</v>
      </c>
    </row>
    <row r="1956" spans="1:2" x14ac:dyDescent="0.25">
      <c r="A1956" s="2">
        <v>1951</v>
      </c>
      <c r="B1956" s="3" t="str">
        <f>"00110473"</f>
        <v>00110473</v>
      </c>
    </row>
    <row r="1957" spans="1:2" x14ac:dyDescent="0.25">
      <c r="A1957" s="2">
        <v>1952</v>
      </c>
      <c r="B1957" s="3" t="str">
        <f>"00110495"</f>
        <v>00110495</v>
      </c>
    </row>
    <row r="1958" spans="1:2" x14ac:dyDescent="0.25">
      <c r="A1958" s="2">
        <v>1953</v>
      </c>
      <c r="B1958" s="3" t="str">
        <f>"00110527"</f>
        <v>00110527</v>
      </c>
    </row>
    <row r="1959" spans="1:2" x14ac:dyDescent="0.25">
      <c r="A1959" s="2">
        <v>1954</v>
      </c>
      <c r="B1959" s="3" t="str">
        <f>"00110586"</f>
        <v>00110586</v>
      </c>
    </row>
    <row r="1960" spans="1:2" x14ac:dyDescent="0.25">
      <c r="A1960" s="2">
        <v>1955</v>
      </c>
      <c r="B1960" s="3" t="str">
        <f>"00110611"</f>
        <v>00110611</v>
      </c>
    </row>
    <row r="1961" spans="1:2" x14ac:dyDescent="0.25">
      <c r="A1961" s="2">
        <v>1956</v>
      </c>
      <c r="B1961" s="3" t="str">
        <f>"00110655"</f>
        <v>00110655</v>
      </c>
    </row>
    <row r="1962" spans="1:2" x14ac:dyDescent="0.25">
      <c r="A1962" s="2">
        <v>1957</v>
      </c>
      <c r="B1962" s="3" t="str">
        <f>"00110674"</f>
        <v>00110674</v>
      </c>
    </row>
    <row r="1963" spans="1:2" x14ac:dyDescent="0.25">
      <c r="A1963" s="2">
        <v>1958</v>
      </c>
      <c r="B1963" s="3" t="str">
        <f>"00110681"</f>
        <v>00110681</v>
      </c>
    </row>
    <row r="1964" spans="1:2" x14ac:dyDescent="0.25">
      <c r="A1964" s="2">
        <v>1959</v>
      </c>
      <c r="B1964" s="3" t="str">
        <f>"00110731"</f>
        <v>00110731</v>
      </c>
    </row>
    <row r="1965" spans="1:2" x14ac:dyDescent="0.25">
      <c r="A1965" s="2">
        <v>1960</v>
      </c>
      <c r="B1965" s="3" t="str">
        <f>"00110737"</f>
        <v>00110737</v>
      </c>
    </row>
    <row r="1966" spans="1:2" x14ac:dyDescent="0.25">
      <c r="A1966" s="2">
        <v>1961</v>
      </c>
      <c r="B1966" s="3" t="str">
        <f>"00110769"</f>
        <v>00110769</v>
      </c>
    </row>
    <row r="1967" spans="1:2" x14ac:dyDescent="0.25">
      <c r="A1967" s="2">
        <v>1962</v>
      </c>
      <c r="B1967" s="3" t="str">
        <f>"00110773"</f>
        <v>00110773</v>
      </c>
    </row>
    <row r="1968" spans="1:2" x14ac:dyDescent="0.25">
      <c r="A1968" s="2">
        <v>1963</v>
      </c>
      <c r="B1968" s="3" t="str">
        <f>"00110801"</f>
        <v>00110801</v>
      </c>
    </row>
    <row r="1969" spans="1:2" x14ac:dyDescent="0.25">
      <c r="A1969" s="2">
        <v>1964</v>
      </c>
      <c r="B1969" s="3" t="str">
        <f>"00110831"</f>
        <v>00110831</v>
      </c>
    </row>
    <row r="1970" spans="1:2" x14ac:dyDescent="0.25">
      <c r="A1970" s="2">
        <v>1965</v>
      </c>
      <c r="B1970" s="3" t="str">
        <f>"00110854"</f>
        <v>00110854</v>
      </c>
    </row>
    <row r="1971" spans="1:2" x14ac:dyDescent="0.25">
      <c r="A1971" s="2">
        <v>1966</v>
      </c>
      <c r="B1971" s="3" t="str">
        <f>"00110876"</f>
        <v>00110876</v>
      </c>
    </row>
    <row r="1972" spans="1:2" x14ac:dyDescent="0.25">
      <c r="A1972" s="2">
        <v>1967</v>
      </c>
      <c r="B1972" s="3" t="str">
        <f>"00110882"</f>
        <v>00110882</v>
      </c>
    </row>
    <row r="1973" spans="1:2" x14ac:dyDescent="0.25">
      <c r="A1973" s="2">
        <v>1968</v>
      </c>
      <c r="B1973" s="3" t="str">
        <f>"00110909"</f>
        <v>00110909</v>
      </c>
    </row>
    <row r="1974" spans="1:2" x14ac:dyDescent="0.25">
      <c r="A1974" s="2">
        <v>1969</v>
      </c>
      <c r="B1974" s="3" t="str">
        <f>"00110949"</f>
        <v>00110949</v>
      </c>
    </row>
    <row r="1975" spans="1:2" x14ac:dyDescent="0.25">
      <c r="A1975" s="2">
        <v>1970</v>
      </c>
      <c r="B1975" s="3" t="str">
        <f>"00110960"</f>
        <v>00110960</v>
      </c>
    </row>
    <row r="1976" spans="1:2" x14ac:dyDescent="0.25">
      <c r="A1976" s="2">
        <v>1971</v>
      </c>
      <c r="B1976" s="3" t="str">
        <f>"00110977"</f>
        <v>00110977</v>
      </c>
    </row>
    <row r="1977" spans="1:2" x14ac:dyDescent="0.25">
      <c r="A1977" s="2">
        <v>1972</v>
      </c>
      <c r="B1977" s="3" t="str">
        <f>"00111011"</f>
        <v>00111011</v>
      </c>
    </row>
    <row r="1978" spans="1:2" x14ac:dyDescent="0.25">
      <c r="A1978" s="2">
        <v>1973</v>
      </c>
      <c r="B1978" s="3" t="str">
        <f>"00111256"</f>
        <v>00111256</v>
      </c>
    </row>
    <row r="1979" spans="1:2" x14ac:dyDescent="0.25">
      <c r="A1979" s="2">
        <v>1974</v>
      </c>
      <c r="B1979" s="3" t="str">
        <f>"00111301"</f>
        <v>00111301</v>
      </c>
    </row>
    <row r="1980" spans="1:2" x14ac:dyDescent="0.25">
      <c r="A1980" s="2">
        <v>1975</v>
      </c>
      <c r="B1980" s="3" t="str">
        <f>"00111381"</f>
        <v>00111381</v>
      </c>
    </row>
    <row r="1981" spans="1:2" x14ac:dyDescent="0.25">
      <c r="A1981" s="2">
        <v>1976</v>
      </c>
      <c r="B1981" s="3" t="str">
        <f>"00111404"</f>
        <v>00111404</v>
      </c>
    </row>
    <row r="1982" spans="1:2" x14ac:dyDescent="0.25">
      <c r="A1982" s="2">
        <v>1977</v>
      </c>
      <c r="B1982" s="3" t="str">
        <f>"00111485"</f>
        <v>00111485</v>
      </c>
    </row>
    <row r="1983" spans="1:2" x14ac:dyDescent="0.25">
      <c r="A1983" s="2">
        <v>1978</v>
      </c>
      <c r="B1983" s="3" t="str">
        <f>"00111489"</f>
        <v>00111489</v>
      </c>
    </row>
    <row r="1984" spans="1:2" x14ac:dyDescent="0.25">
      <c r="A1984" s="2">
        <v>1979</v>
      </c>
      <c r="B1984" s="3" t="str">
        <f>"00111607"</f>
        <v>00111607</v>
      </c>
    </row>
    <row r="1985" spans="1:2" x14ac:dyDescent="0.25">
      <c r="A1985" s="2">
        <v>1980</v>
      </c>
      <c r="B1985" s="3" t="str">
        <f>"00111691"</f>
        <v>00111691</v>
      </c>
    </row>
    <row r="1986" spans="1:2" x14ac:dyDescent="0.25">
      <c r="A1986" s="2">
        <v>1981</v>
      </c>
      <c r="B1986" s="3" t="str">
        <f>"00111709"</f>
        <v>00111709</v>
      </c>
    </row>
    <row r="1987" spans="1:2" x14ac:dyDescent="0.25">
      <c r="A1987" s="2">
        <v>1982</v>
      </c>
      <c r="B1987" s="3" t="str">
        <f>"00111744"</f>
        <v>00111744</v>
      </c>
    </row>
    <row r="1988" spans="1:2" x14ac:dyDescent="0.25">
      <c r="A1988" s="2">
        <v>1983</v>
      </c>
      <c r="B1988" s="3" t="str">
        <f>"00111759"</f>
        <v>00111759</v>
      </c>
    </row>
    <row r="1989" spans="1:2" x14ac:dyDescent="0.25">
      <c r="A1989" s="2">
        <v>1984</v>
      </c>
      <c r="B1989" s="3" t="str">
        <f>"00111813"</f>
        <v>00111813</v>
      </c>
    </row>
    <row r="1990" spans="1:2" x14ac:dyDescent="0.25">
      <c r="A1990" s="2">
        <v>1985</v>
      </c>
      <c r="B1990" s="3" t="str">
        <f>"00111927"</f>
        <v>00111927</v>
      </c>
    </row>
    <row r="1991" spans="1:2" x14ac:dyDescent="0.25">
      <c r="A1991" s="2">
        <v>1986</v>
      </c>
      <c r="B1991" s="3" t="str">
        <f>"00111994"</f>
        <v>00111994</v>
      </c>
    </row>
    <row r="1992" spans="1:2" x14ac:dyDescent="0.25">
      <c r="A1992" s="2">
        <v>1987</v>
      </c>
      <c r="B1992" s="3" t="str">
        <f>"00112019"</f>
        <v>00112019</v>
      </c>
    </row>
    <row r="1993" spans="1:2" x14ac:dyDescent="0.25">
      <c r="A1993" s="2">
        <v>1988</v>
      </c>
      <c r="B1993" s="3" t="str">
        <f>"00112108"</f>
        <v>00112108</v>
      </c>
    </row>
    <row r="1994" spans="1:2" x14ac:dyDescent="0.25">
      <c r="A1994" s="2">
        <v>1989</v>
      </c>
      <c r="B1994" s="3" t="str">
        <f>"00112119"</f>
        <v>00112119</v>
      </c>
    </row>
    <row r="1995" spans="1:2" x14ac:dyDescent="0.25">
      <c r="A1995" s="2">
        <v>1990</v>
      </c>
      <c r="B1995" s="3" t="str">
        <f>"00112160"</f>
        <v>00112160</v>
      </c>
    </row>
    <row r="1996" spans="1:2" x14ac:dyDescent="0.25">
      <c r="A1996" s="2">
        <v>1991</v>
      </c>
      <c r="B1996" s="3" t="str">
        <f>"00112161"</f>
        <v>00112161</v>
      </c>
    </row>
    <row r="1997" spans="1:2" x14ac:dyDescent="0.25">
      <c r="A1997" s="2">
        <v>1992</v>
      </c>
      <c r="B1997" s="3" t="str">
        <f>"00112167"</f>
        <v>00112167</v>
      </c>
    </row>
    <row r="1998" spans="1:2" x14ac:dyDescent="0.25">
      <c r="A1998" s="2">
        <v>1993</v>
      </c>
      <c r="B1998" s="3" t="str">
        <f>"00112186"</f>
        <v>00112186</v>
      </c>
    </row>
    <row r="1999" spans="1:2" x14ac:dyDescent="0.25">
      <c r="A1999" s="2">
        <v>1994</v>
      </c>
      <c r="B1999" s="3" t="str">
        <f>"00112187"</f>
        <v>00112187</v>
      </c>
    </row>
    <row r="2000" spans="1:2" x14ac:dyDescent="0.25">
      <c r="A2000" s="2">
        <v>1995</v>
      </c>
      <c r="B2000" s="3" t="str">
        <f>"00112194"</f>
        <v>00112194</v>
      </c>
    </row>
    <row r="2001" spans="1:2" x14ac:dyDescent="0.25">
      <c r="A2001" s="2">
        <v>1996</v>
      </c>
      <c r="B2001" s="3" t="str">
        <f>"00112228"</f>
        <v>00112228</v>
      </c>
    </row>
    <row r="2002" spans="1:2" x14ac:dyDescent="0.25">
      <c r="A2002" s="2">
        <v>1997</v>
      </c>
      <c r="B2002" s="3" t="str">
        <f>"00112233"</f>
        <v>00112233</v>
      </c>
    </row>
    <row r="2003" spans="1:2" x14ac:dyDescent="0.25">
      <c r="A2003" s="2">
        <v>1998</v>
      </c>
      <c r="B2003" s="3" t="str">
        <f>"00112293"</f>
        <v>00112293</v>
      </c>
    </row>
    <row r="2004" spans="1:2" x14ac:dyDescent="0.25">
      <c r="A2004" s="2">
        <v>1999</v>
      </c>
      <c r="B2004" s="3" t="str">
        <f>"00112331"</f>
        <v>00112331</v>
      </c>
    </row>
    <row r="2005" spans="1:2" x14ac:dyDescent="0.25">
      <c r="A2005" s="2">
        <v>2000</v>
      </c>
      <c r="B2005" s="3" t="str">
        <f>"00112359"</f>
        <v>00112359</v>
      </c>
    </row>
    <row r="2006" spans="1:2" x14ac:dyDescent="0.25">
      <c r="A2006" s="2">
        <v>2001</v>
      </c>
      <c r="B2006" s="3" t="str">
        <f>"00112385"</f>
        <v>00112385</v>
      </c>
    </row>
    <row r="2007" spans="1:2" x14ac:dyDescent="0.25">
      <c r="A2007" s="2">
        <v>2002</v>
      </c>
      <c r="B2007" s="3" t="str">
        <f>"00112418"</f>
        <v>00112418</v>
      </c>
    </row>
    <row r="2008" spans="1:2" x14ac:dyDescent="0.25">
      <c r="A2008" s="2">
        <v>2003</v>
      </c>
      <c r="B2008" s="3" t="str">
        <f>"00112421"</f>
        <v>00112421</v>
      </c>
    </row>
    <row r="2009" spans="1:2" x14ac:dyDescent="0.25">
      <c r="A2009" s="2">
        <v>2004</v>
      </c>
      <c r="B2009" s="3" t="str">
        <f>"00112434"</f>
        <v>00112434</v>
      </c>
    </row>
    <row r="2010" spans="1:2" x14ac:dyDescent="0.25">
      <c r="A2010" s="2">
        <v>2005</v>
      </c>
      <c r="B2010" s="3" t="str">
        <f>"00112453"</f>
        <v>00112453</v>
      </c>
    </row>
    <row r="2011" spans="1:2" x14ac:dyDescent="0.25">
      <c r="A2011" s="2">
        <v>2006</v>
      </c>
      <c r="B2011" s="3" t="str">
        <f>"00112468"</f>
        <v>00112468</v>
      </c>
    </row>
    <row r="2012" spans="1:2" x14ac:dyDescent="0.25">
      <c r="A2012" s="2">
        <v>2007</v>
      </c>
      <c r="B2012" s="3" t="str">
        <f>"00112511"</f>
        <v>00112511</v>
      </c>
    </row>
    <row r="2013" spans="1:2" x14ac:dyDescent="0.25">
      <c r="A2013" s="2">
        <v>2008</v>
      </c>
      <c r="B2013" s="3" t="str">
        <f>"00112523"</f>
        <v>00112523</v>
      </c>
    </row>
    <row r="2014" spans="1:2" x14ac:dyDescent="0.25">
      <c r="A2014" s="2">
        <v>2009</v>
      </c>
      <c r="B2014" s="3" t="str">
        <f>"00112551"</f>
        <v>00112551</v>
      </c>
    </row>
    <row r="2015" spans="1:2" x14ac:dyDescent="0.25">
      <c r="A2015" s="2">
        <v>2010</v>
      </c>
      <c r="B2015" s="3" t="str">
        <f>"00112559"</f>
        <v>00112559</v>
      </c>
    </row>
    <row r="2016" spans="1:2" x14ac:dyDescent="0.25">
      <c r="A2016" s="2">
        <v>2011</v>
      </c>
      <c r="B2016" s="3" t="str">
        <f>"00112560"</f>
        <v>00112560</v>
      </c>
    </row>
    <row r="2017" spans="1:2" x14ac:dyDescent="0.25">
      <c r="A2017" s="2">
        <v>2012</v>
      </c>
      <c r="B2017" s="3" t="str">
        <f>"00112605"</f>
        <v>00112605</v>
      </c>
    </row>
    <row r="2018" spans="1:2" x14ac:dyDescent="0.25">
      <c r="A2018" s="2">
        <v>2013</v>
      </c>
      <c r="B2018" s="3" t="str">
        <f>"00112653"</f>
        <v>00112653</v>
      </c>
    </row>
    <row r="2019" spans="1:2" x14ac:dyDescent="0.25">
      <c r="A2019" s="2">
        <v>2014</v>
      </c>
      <c r="B2019" s="3" t="str">
        <f>"00112699"</f>
        <v>00112699</v>
      </c>
    </row>
    <row r="2020" spans="1:2" x14ac:dyDescent="0.25">
      <c r="A2020" s="2">
        <v>2015</v>
      </c>
      <c r="B2020" s="3" t="str">
        <f>"00112711"</f>
        <v>00112711</v>
      </c>
    </row>
    <row r="2021" spans="1:2" x14ac:dyDescent="0.25">
      <c r="A2021" s="2">
        <v>2016</v>
      </c>
      <c r="B2021" s="3" t="str">
        <f>"00112859"</f>
        <v>00112859</v>
      </c>
    </row>
    <row r="2022" spans="1:2" x14ac:dyDescent="0.25">
      <c r="A2022" s="2">
        <v>2017</v>
      </c>
      <c r="B2022" s="3" t="str">
        <f>"00112878"</f>
        <v>00112878</v>
      </c>
    </row>
    <row r="2023" spans="1:2" x14ac:dyDescent="0.25">
      <c r="A2023" s="2">
        <v>2018</v>
      </c>
      <c r="B2023" s="3" t="str">
        <f>"00112892"</f>
        <v>00112892</v>
      </c>
    </row>
    <row r="2024" spans="1:2" x14ac:dyDescent="0.25">
      <c r="A2024" s="2">
        <v>2019</v>
      </c>
      <c r="B2024" s="3" t="str">
        <f>"00112896"</f>
        <v>00112896</v>
      </c>
    </row>
    <row r="2025" spans="1:2" x14ac:dyDescent="0.25">
      <c r="A2025" s="2">
        <v>2020</v>
      </c>
      <c r="B2025" s="3" t="str">
        <f>"00113109"</f>
        <v>00113109</v>
      </c>
    </row>
    <row r="2026" spans="1:2" x14ac:dyDescent="0.25">
      <c r="A2026" s="2">
        <v>2021</v>
      </c>
      <c r="B2026" s="3" t="str">
        <f>"00113247"</f>
        <v>00113247</v>
      </c>
    </row>
    <row r="2027" spans="1:2" x14ac:dyDescent="0.25">
      <c r="A2027" s="2">
        <v>2022</v>
      </c>
      <c r="B2027" s="3" t="str">
        <f>"00113327"</f>
        <v>00113327</v>
      </c>
    </row>
    <row r="2028" spans="1:2" x14ac:dyDescent="0.25">
      <c r="A2028" s="2">
        <v>2023</v>
      </c>
      <c r="B2028" s="3" t="str">
        <f>"00113345"</f>
        <v>00113345</v>
      </c>
    </row>
    <row r="2029" spans="1:2" x14ac:dyDescent="0.25">
      <c r="A2029" s="2">
        <v>2024</v>
      </c>
      <c r="B2029" s="3" t="str">
        <f>"00113359"</f>
        <v>00113359</v>
      </c>
    </row>
    <row r="2030" spans="1:2" x14ac:dyDescent="0.25">
      <c r="A2030" s="2">
        <v>2025</v>
      </c>
      <c r="B2030" s="3" t="str">
        <f>"00113394"</f>
        <v>00113394</v>
      </c>
    </row>
    <row r="2031" spans="1:2" x14ac:dyDescent="0.25">
      <c r="A2031" s="2">
        <v>2026</v>
      </c>
      <c r="B2031" s="3" t="str">
        <f>"00113403"</f>
        <v>00113403</v>
      </c>
    </row>
    <row r="2032" spans="1:2" x14ac:dyDescent="0.25">
      <c r="A2032" s="2">
        <v>2027</v>
      </c>
      <c r="B2032" s="3" t="str">
        <f>"00113404"</f>
        <v>00113404</v>
      </c>
    </row>
    <row r="2033" spans="1:2" x14ac:dyDescent="0.25">
      <c r="A2033" s="2">
        <v>2028</v>
      </c>
      <c r="B2033" s="3" t="str">
        <f>"00113428"</f>
        <v>00113428</v>
      </c>
    </row>
    <row r="2034" spans="1:2" x14ac:dyDescent="0.25">
      <c r="A2034" s="2">
        <v>2029</v>
      </c>
      <c r="B2034" s="3" t="str">
        <f>"00113481"</f>
        <v>00113481</v>
      </c>
    </row>
    <row r="2035" spans="1:2" x14ac:dyDescent="0.25">
      <c r="A2035" s="2">
        <v>2030</v>
      </c>
      <c r="B2035" s="3" t="str">
        <f>"00113582"</f>
        <v>00113582</v>
      </c>
    </row>
    <row r="2036" spans="1:2" x14ac:dyDescent="0.25">
      <c r="A2036" s="2">
        <v>2031</v>
      </c>
      <c r="B2036" s="3" t="str">
        <f>"00113585"</f>
        <v>00113585</v>
      </c>
    </row>
    <row r="2037" spans="1:2" x14ac:dyDescent="0.25">
      <c r="A2037" s="2">
        <v>2032</v>
      </c>
      <c r="B2037" s="3" t="str">
        <f>"00113631"</f>
        <v>00113631</v>
      </c>
    </row>
    <row r="2038" spans="1:2" x14ac:dyDescent="0.25">
      <c r="A2038" s="2">
        <v>2033</v>
      </c>
      <c r="B2038" s="3" t="str">
        <f>"00113645"</f>
        <v>00113645</v>
      </c>
    </row>
    <row r="2039" spans="1:2" x14ac:dyDescent="0.25">
      <c r="A2039" s="2">
        <v>2034</v>
      </c>
      <c r="B2039" s="3" t="str">
        <f>"00113750"</f>
        <v>00113750</v>
      </c>
    </row>
    <row r="2040" spans="1:2" x14ac:dyDescent="0.25">
      <c r="A2040" s="2">
        <v>2035</v>
      </c>
      <c r="B2040" s="3" t="str">
        <f>"00113762"</f>
        <v>00113762</v>
      </c>
    </row>
    <row r="2041" spans="1:2" x14ac:dyDescent="0.25">
      <c r="A2041" s="2">
        <v>2036</v>
      </c>
      <c r="B2041" s="3" t="str">
        <f>"00113770"</f>
        <v>00113770</v>
      </c>
    </row>
    <row r="2042" spans="1:2" x14ac:dyDescent="0.25">
      <c r="A2042" s="2">
        <v>2037</v>
      </c>
      <c r="B2042" s="3" t="str">
        <f>"00113838"</f>
        <v>00113838</v>
      </c>
    </row>
    <row r="2043" spans="1:2" x14ac:dyDescent="0.25">
      <c r="A2043" s="2">
        <v>2038</v>
      </c>
      <c r="B2043" s="3" t="str">
        <f>"00113840"</f>
        <v>00113840</v>
      </c>
    </row>
    <row r="2044" spans="1:2" x14ac:dyDescent="0.25">
      <c r="A2044" s="2">
        <v>2039</v>
      </c>
      <c r="B2044" s="3" t="str">
        <f>"00113898"</f>
        <v>00113898</v>
      </c>
    </row>
    <row r="2045" spans="1:2" x14ac:dyDescent="0.25">
      <c r="A2045" s="2">
        <v>2040</v>
      </c>
      <c r="B2045" s="3" t="str">
        <f>"00113931"</f>
        <v>00113931</v>
      </c>
    </row>
    <row r="2046" spans="1:2" x14ac:dyDescent="0.25">
      <c r="A2046" s="2">
        <v>2041</v>
      </c>
      <c r="B2046" s="3" t="str">
        <f>"00113969"</f>
        <v>00113969</v>
      </c>
    </row>
    <row r="2047" spans="1:2" x14ac:dyDescent="0.25">
      <c r="A2047" s="2">
        <v>2042</v>
      </c>
      <c r="B2047" s="3" t="str">
        <f>"00113999"</f>
        <v>00113999</v>
      </c>
    </row>
    <row r="2048" spans="1:2" x14ac:dyDescent="0.25">
      <c r="A2048" s="2">
        <v>2043</v>
      </c>
      <c r="B2048" s="3" t="str">
        <f>"00114000"</f>
        <v>00114000</v>
      </c>
    </row>
    <row r="2049" spans="1:2" x14ac:dyDescent="0.25">
      <c r="A2049" s="2">
        <v>2044</v>
      </c>
      <c r="B2049" s="3" t="str">
        <f>"00114003"</f>
        <v>00114003</v>
      </c>
    </row>
    <row r="2050" spans="1:2" x14ac:dyDescent="0.25">
      <c r="A2050" s="2">
        <v>2045</v>
      </c>
      <c r="B2050" s="3" t="str">
        <f>"00114030"</f>
        <v>00114030</v>
      </c>
    </row>
    <row r="2051" spans="1:2" x14ac:dyDescent="0.25">
      <c r="A2051" s="2">
        <v>2046</v>
      </c>
      <c r="B2051" s="3" t="str">
        <f>"00114046"</f>
        <v>00114046</v>
      </c>
    </row>
    <row r="2052" spans="1:2" x14ac:dyDescent="0.25">
      <c r="A2052" s="2">
        <v>2047</v>
      </c>
      <c r="B2052" s="3" t="str">
        <f>"00114086"</f>
        <v>00114086</v>
      </c>
    </row>
    <row r="2053" spans="1:2" x14ac:dyDescent="0.25">
      <c r="A2053" s="2">
        <v>2048</v>
      </c>
      <c r="B2053" s="3" t="str">
        <f>"00114123"</f>
        <v>00114123</v>
      </c>
    </row>
    <row r="2054" spans="1:2" x14ac:dyDescent="0.25">
      <c r="A2054" s="2">
        <v>2049</v>
      </c>
      <c r="B2054" s="3" t="str">
        <f>"00114210"</f>
        <v>00114210</v>
      </c>
    </row>
    <row r="2055" spans="1:2" x14ac:dyDescent="0.25">
      <c r="A2055" s="2">
        <v>2050</v>
      </c>
      <c r="B2055" s="3" t="str">
        <f>"00114211"</f>
        <v>00114211</v>
      </c>
    </row>
    <row r="2056" spans="1:2" x14ac:dyDescent="0.25">
      <c r="A2056" s="2">
        <v>2051</v>
      </c>
      <c r="B2056" s="3" t="str">
        <f>"00114291"</f>
        <v>00114291</v>
      </c>
    </row>
    <row r="2057" spans="1:2" x14ac:dyDescent="0.25">
      <c r="A2057" s="2">
        <v>2052</v>
      </c>
      <c r="B2057" s="3" t="str">
        <f>"00114295"</f>
        <v>00114295</v>
      </c>
    </row>
    <row r="2058" spans="1:2" x14ac:dyDescent="0.25">
      <c r="A2058" s="2">
        <v>2053</v>
      </c>
      <c r="B2058" s="3" t="str">
        <f>"00114309"</f>
        <v>00114309</v>
      </c>
    </row>
    <row r="2059" spans="1:2" x14ac:dyDescent="0.25">
      <c r="A2059" s="2">
        <v>2054</v>
      </c>
      <c r="B2059" s="3" t="str">
        <f>"00114311"</f>
        <v>00114311</v>
      </c>
    </row>
    <row r="2060" spans="1:2" x14ac:dyDescent="0.25">
      <c r="A2060" s="2">
        <v>2055</v>
      </c>
      <c r="B2060" s="3" t="str">
        <f>"00114322"</f>
        <v>00114322</v>
      </c>
    </row>
    <row r="2061" spans="1:2" x14ac:dyDescent="0.25">
      <c r="A2061" s="2">
        <v>2056</v>
      </c>
      <c r="B2061" s="3" t="str">
        <f>"00114337"</f>
        <v>00114337</v>
      </c>
    </row>
    <row r="2062" spans="1:2" x14ac:dyDescent="0.25">
      <c r="A2062" s="2">
        <v>2057</v>
      </c>
      <c r="B2062" s="3" t="str">
        <f>"00114443"</f>
        <v>00114443</v>
      </c>
    </row>
    <row r="2063" spans="1:2" x14ac:dyDescent="0.25">
      <c r="A2063" s="2">
        <v>2058</v>
      </c>
      <c r="B2063" s="3" t="str">
        <f>"00114445"</f>
        <v>00114445</v>
      </c>
    </row>
    <row r="2064" spans="1:2" x14ac:dyDescent="0.25">
      <c r="A2064" s="2">
        <v>2059</v>
      </c>
      <c r="B2064" s="3" t="str">
        <f>"00114489"</f>
        <v>00114489</v>
      </c>
    </row>
    <row r="2065" spans="1:2" x14ac:dyDescent="0.25">
      <c r="A2065" s="2">
        <v>2060</v>
      </c>
      <c r="B2065" s="3" t="str">
        <f>"00114550"</f>
        <v>00114550</v>
      </c>
    </row>
    <row r="2066" spans="1:2" x14ac:dyDescent="0.25">
      <c r="A2066" s="2">
        <v>2061</v>
      </c>
      <c r="B2066" s="3" t="str">
        <f>"00114590"</f>
        <v>00114590</v>
      </c>
    </row>
    <row r="2067" spans="1:2" x14ac:dyDescent="0.25">
      <c r="A2067" s="2">
        <v>2062</v>
      </c>
      <c r="B2067" s="3" t="str">
        <f>"00114598"</f>
        <v>00114598</v>
      </c>
    </row>
    <row r="2068" spans="1:2" x14ac:dyDescent="0.25">
      <c r="A2068" s="2">
        <v>2063</v>
      </c>
      <c r="B2068" s="3" t="str">
        <f>"00114618"</f>
        <v>00114618</v>
      </c>
    </row>
    <row r="2069" spans="1:2" x14ac:dyDescent="0.25">
      <c r="A2069" s="2">
        <v>2064</v>
      </c>
      <c r="B2069" s="3" t="str">
        <f>"00114673"</f>
        <v>00114673</v>
      </c>
    </row>
    <row r="2070" spans="1:2" x14ac:dyDescent="0.25">
      <c r="A2070" s="2">
        <v>2065</v>
      </c>
      <c r="B2070" s="3" t="str">
        <f>"00114703"</f>
        <v>00114703</v>
      </c>
    </row>
    <row r="2071" spans="1:2" x14ac:dyDescent="0.25">
      <c r="A2071" s="2">
        <v>2066</v>
      </c>
      <c r="B2071" s="3" t="str">
        <f>"00114743"</f>
        <v>00114743</v>
      </c>
    </row>
    <row r="2072" spans="1:2" x14ac:dyDescent="0.25">
      <c r="A2072" s="2">
        <v>2067</v>
      </c>
      <c r="B2072" s="3" t="str">
        <f>"00114751"</f>
        <v>00114751</v>
      </c>
    </row>
    <row r="2073" spans="1:2" x14ac:dyDescent="0.25">
      <c r="A2073" s="2">
        <v>2068</v>
      </c>
      <c r="B2073" s="3" t="str">
        <f>"00114770"</f>
        <v>00114770</v>
      </c>
    </row>
    <row r="2074" spans="1:2" x14ac:dyDescent="0.25">
      <c r="A2074" s="2">
        <v>2069</v>
      </c>
      <c r="B2074" s="3" t="str">
        <f>"00114804"</f>
        <v>00114804</v>
      </c>
    </row>
    <row r="2075" spans="1:2" x14ac:dyDescent="0.25">
      <c r="A2075" s="2">
        <v>2070</v>
      </c>
      <c r="B2075" s="3" t="str">
        <f>"00114819"</f>
        <v>00114819</v>
      </c>
    </row>
    <row r="2076" spans="1:2" x14ac:dyDescent="0.25">
      <c r="A2076" s="2">
        <v>2071</v>
      </c>
      <c r="B2076" s="3" t="str">
        <f>"00114837"</f>
        <v>00114837</v>
      </c>
    </row>
    <row r="2077" spans="1:2" x14ac:dyDescent="0.25">
      <c r="A2077" s="2">
        <v>2072</v>
      </c>
      <c r="B2077" s="3" t="str">
        <f>"00115049"</f>
        <v>00115049</v>
      </c>
    </row>
    <row r="2078" spans="1:2" x14ac:dyDescent="0.25">
      <c r="A2078" s="2">
        <v>2073</v>
      </c>
      <c r="B2078" s="3" t="str">
        <f>"00115100"</f>
        <v>00115100</v>
      </c>
    </row>
    <row r="2079" spans="1:2" x14ac:dyDescent="0.25">
      <c r="A2079" s="2">
        <v>2074</v>
      </c>
      <c r="B2079" s="3" t="str">
        <f>"00115163"</f>
        <v>00115163</v>
      </c>
    </row>
    <row r="2080" spans="1:2" x14ac:dyDescent="0.25">
      <c r="A2080" s="2">
        <v>2075</v>
      </c>
      <c r="B2080" s="3" t="str">
        <f>"00115218"</f>
        <v>00115218</v>
      </c>
    </row>
    <row r="2081" spans="1:2" x14ac:dyDescent="0.25">
      <c r="A2081" s="2">
        <v>2076</v>
      </c>
      <c r="B2081" s="3" t="str">
        <f>"00115219"</f>
        <v>00115219</v>
      </c>
    </row>
    <row r="2082" spans="1:2" x14ac:dyDescent="0.25">
      <c r="A2082" s="2">
        <v>2077</v>
      </c>
      <c r="B2082" s="3" t="str">
        <f>"00115236"</f>
        <v>00115236</v>
      </c>
    </row>
    <row r="2083" spans="1:2" x14ac:dyDescent="0.25">
      <c r="A2083" s="2">
        <v>2078</v>
      </c>
      <c r="B2083" s="3" t="str">
        <f>"00115238"</f>
        <v>00115238</v>
      </c>
    </row>
    <row r="2084" spans="1:2" x14ac:dyDescent="0.25">
      <c r="A2084" s="2">
        <v>2079</v>
      </c>
      <c r="B2084" s="3" t="str">
        <f>"00115286"</f>
        <v>00115286</v>
      </c>
    </row>
    <row r="2085" spans="1:2" x14ac:dyDescent="0.25">
      <c r="A2085" s="2">
        <v>2080</v>
      </c>
      <c r="B2085" s="3" t="str">
        <f>"00115339"</f>
        <v>00115339</v>
      </c>
    </row>
    <row r="2086" spans="1:2" x14ac:dyDescent="0.25">
      <c r="A2086" s="2">
        <v>2081</v>
      </c>
      <c r="B2086" s="3" t="str">
        <f>"00115418"</f>
        <v>00115418</v>
      </c>
    </row>
    <row r="2087" spans="1:2" x14ac:dyDescent="0.25">
      <c r="A2087" s="2">
        <v>2082</v>
      </c>
      <c r="B2087" s="3" t="str">
        <f>"00115530"</f>
        <v>00115530</v>
      </c>
    </row>
    <row r="2088" spans="1:2" x14ac:dyDescent="0.25">
      <c r="A2088" s="2">
        <v>2083</v>
      </c>
      <c r="B2088" s="3" t="str">
        <f>"00115544"</f>
        <v>00115544</v>
      </c>
    </row>
    <row r="2089" spans="1:2" x14ac:dyDescent="0.25">
      <c r="A2089" s="2">
        <v>2084</v>
      </c>
      <c r="B2089" s="3" t="str">
        <f>"00115566"</f>
        <v>00115566</v>
      </c>
    </row>
    <row r="2090" spans="1:2" x14ac:dyDescent="0.25">
      <c r="A2090" s="2">
        <v>2085</v>
      </c>
      <c r="B2090" s="3" t="str">
        <f>"00115622"</f>
        <v>00115622</v>
      </c>
    </row>
    <row r="2091" spans="1:2" x14ac:dyDescent="0.25">
      <c r="A2091" s="2">
        <v>2086</v>
      </c>
      <c r="B2091" s="3" t="str">
        <f>"00115644"</f>
        <v>00115644</v>
      </c>
    </row>
    <row r="2092" spans="1:2" x14ac:dyDescent="0.25">
      <c r="A2092" s="2">
        <v>2087</v>
      </c>
      <c r="B2092" s="3" t="str">
        <f>"00115694"</f>
        <v>00115694</v>
      </c>
    </row>
    <row r="2093" spans="1:2" x14ac:dyDescent="0.25">
      <c r="A2093" s="2">
        <v>2088</v>
      </c>
      <c r="B2093" s="3" t="str">
        <f>"00115774"</f>
        <v>00115774</v>
      </c>
    </row>
    <row r="2094" spans="1:2" x14ac:dyDescent="0.25">
      <c r="A2094" s="2">
        <v>2089</v>
      </c>
      <c r="B2094" s="3" t="str">
        <f>"00115795"</f>
        <v>00115795</v>
      </c>
    </row>
    <row r="2095" spans="1:2" x14ac:dyDescent="0.25">
      <c r="A2095" s="2">
        <v>2090</v>
      </c>
      <c r="B2095" s="3" t="str">
        <f>"00115889"</f>
        <v>00115889</v>
      </c>
    </row>
    <row r="2096" spans="1:2" x14ac:dyDescent="0.25">
      <c r="A2096" s="2">
        <v>2091</v>
      </c>
      <c r="B2096" s="3" t="str">
        <f>"00115982"</f>
        <v>00115982</v>
      </c>
    </row>
    <row r="2097" spans="1:2" x14ac:dyDescent="0.25">
      <c r="A2097" s="2">
        <v>2092</v>
      </c>
      <c r="B2097" s="3" t="str">
        <f>"00116106"</f>
        <v>00116106</v>
      </c>
    </row>
    <row r="2098" spans="1:2" x14ac:dyDescent="0.25">
      <c r="A2098" s="2">
        <v>2093</v>
      </c>
      <c r="B2098" s="3" t="str">
        <f>"00116154"</f>
        <v>00116154</v>
      </c>
    </row>
    <row r="2099" spans="1:2" x14ac:dyDescent="0.25">
      <c r="A2099" s="2">
        <v>2094</v>
      </c>
      <c r="B2099" s="3" t="str">
        <f>"00116369"</f>
        <v>00116369</v>
      </c>
    </row>
    <row r="2100" spans="1:2" x14ac:dyDescent="0.25">
      <c r="A2100" s="2">
        <v>2095</v>
      </c>
      <c r="B2100" s="3" t="str">
        <f>"00116393"</f>
        <v>00116393</v>
      </c>
    </row>
    <row r="2101" spans="1:2" x14ac:dyDescent="0.25">
      <c r="A2101" s="2">
        <v>2096</v>
      </c>
      <c r="B2101" s="3" t="str">
        <f>"00116429"</f>
        <v>00116429</v>
      </c>
    </row>
    <row r="2102" spans="1:2" x14ac:dyDescent="0.25">
      <c r="A2102" s="2">
        <v>2097</v>
      </c>
      <c r="B2102" s="3" t="str">
        <f>"00116445"</f>
        <v>00116445</v>
      </c>
    </row>
    <row r="2103" spans="1:2" x14ac:dyDescent="0.25">
      <c r="A2103" s="2">
        <v>2098</v>
      </c>
      <c r="B2103" s="3" t="str">
        <f>"00116463"</f>
        <v>00116463</v>
      </c>
    </row>
    <row r="2104" spans="1:2" x14ac:dyDescent="0.25">
      <c r="A2104" s="2">
        <v>2099</v>
      </c>
      <c r="B2104" s="3" t="str">
        <f>"00116467"</f>
        <v>00116467</v>
      </c>
    </row>
    <row r="2105" spans="1:2" x14ac:dyDescent="0.25">
      <c r="A2105" s="2">
        <v>2100</v>
      </c>
      <c r="B2105" s="3" t="str">
        <f>"00116509"</f>
        <v>00116509</v>
      </c>
    </row>
    <row r="2106" spans="1:2" x14ac:dyDescent="0.25">
      <c r="A2106" s="2">
        <v>2101</v>
      </c>
      <c r="B2106" s="3" t="str">
        <f>"00116576"</f>
        <v>00116576</v>
      </c>
    </row>
    <row r="2107" spans="1:2" x14ac:dyDescent="0.25">
      <c r="A2107" s="2">
        <v>2102</v>
      </c>
      <c r="B2107" s="3" t="str">
        <f>"00116606"</f>
        <v>00116606</v>
      </c>
    </row>
    <row r="2108" spans="1:2" x14ac:dyDescent="0.25">
      <c r="A2108" s="2">
        <v>2103</v>
      </c>
      <c r="B2108" s="3" t="str">
        <f>"00116610"</f>
        <v>00116610</v>
      </c>
    </row>
    <row r="2109" spans="1:2" x14ac:dyDescent="0.25">
      <c r="A2109" s="2">
        <v>2104</v>
      </c>
      <c r="B2109" s="3" t="str">
        <f>"00116633"</f>
        <v>00116633</v>
      </c>
    </row>
    <row r="2110" spans="1:2" x14ac:dyDescent="0.25">
      <c r="A2110" s="2">
        <v>2105</v>
      </c>
      <c r="B2110" s="3" t="str">
        <f>"00116724"</f>
        <v>00116724</v>
      </c>
    </row>
    <row r="2111" spans="1:2" x14ac:dyDescent="0.25">
      <c r="A2111" s="2">
        <v>2106</v>
      </c>
      <c r="B2111" s="3" t="str">
        <f>"00116728"</f>
        <v>00116728</v>
      </c>
    </row>
    <row r="2112" spans="1:2" x14ac:dyDescent="0.25">
      <c r="A2112" s="2">
        <v>2107</v>
      </c>
      <c r="B2112" s="3" t="str">
        <f>"00116847"</f>
        <v>00116847</v>
      </c>
    </row>
    <row r="2113" spans="1:2" x14ac:dyDescent="0.25">
      <c r="A2113" s="2">
        <v>2108</v>
      </c>
      <c r="B2113" s="3" t="str">
        <f>"00116852"</f>
        <v>00116852</v>
      </c>
    </row>
    <row r="2114" spans="1:2" x14ac:dyDescent="0.25">
      <c r="A2114" s="2">
        <v>2109</v>
      </c>
      <c r="B2114" s="3" t="str">
        <f>"00116882"</f>
        <v>00116882</v>
      </c>
    </row>
    <row r="2115" spans="1:2" x14ac:dyDescent="0.25">
      <c r="A2115" s="2">
        <v>2110</v>
      </c>
      <c r="B2115" s="3" t="str">
        <f>"00116899"</f>
        <v>00116899</v>
      </c>
    </row>
    <row r="2116" spans="1:2" x14ac:dyDescent="0.25">
      <c r="A2116" s="2">
        <v>2111</v>
      </c>
      <c r="B2116" s="3" t="str">
        <f>"00116951"</f>
        <v>00116951</v>
      </c>
    </row>
    <row r="2117" spans="1:2" x14ac:dyDescent="0.25">
      <c r="A2117" s="2">
        <v>2112</v>
      </c>
      <c r="B2117" s="3" t="str">
        <f>"00117019"</f>
        <v>00117019</v>
      </c>
    </row>
    <row r="2118" spans="1:2" x14ac:dyDescent="0.25">
      <c r="A2118" s="2">
        <v>2113</v>
      </c>
      <c r="B2118" s="3" t="str">
        <f>"00117061"</f>
        <v>00117061</v>
      </c>
    </row>
    <row r="2119" spans="1:2" x14ac:dyDescent="0.25">
      <c r="A2119" s="2">
        <v>2114</v>
      </c>
      <c r="B2119" s="3" t="str">
        <f>"00117140"</f>
        <v>00117140</v>
      </c>
    </row>
    <row r="2120" spans="1:2" x14ac:dyDescent="0.25">
      <c r="A2120" s="2">
        <v>2115</v>
      </c>
      <c r="B2120" s="3" t="str">
        <f>"00117185"</f>
        <v>00117185</v>
      </c>
    </row>
    <row r="2121" spans="1:2" x14ac:dyDescent="0.25">
      <c r="A2121" s="2">
        <v>2116</v>
      </c>
      <c r="B2121" s="3" t="str">
        <f>"00117223"</f>
        <v>00117223</v>
      </c>
    </row>
    <row r="2122" spans="1:2" x14ac:dyDescent="0.25">
      <c r="A2122" s="2">
        <v>2117</v>
      </c>
      <c r="B2122" s="3" t="str">
        <f>"00117260"</f>
        <v>00117260</v>
      </c>
    </row>
    <row r="2123" spans="1:2" x14ac:dyDescent="0.25">
      <c r="A2123" s="2">
        <v>2118</v>
      </c>
      <c r="B2123" s="3" t="str">
        <f>"00117267"</f>
        <v>00117267</v>
      </c>
    </row>
    <row r="2124" spans="1:2" x14ac:dyDescent="0.25">
      <c r="A2124" s="2">
        <v>2119</v>
      </c>
      <c r="B2124" s="3" t="str">
        <f>"00117308"</f>
        <v>00117308</v>
      </c>
    </row>
    <row r="2125" spans="1:2" x14ac:dyDescent="0.25">
      <c r="A2125" s="2">
        <v>2120</v>
      </c>
      <c r="B2125" s="3" t="str">
        <f>"00117332"</f>
        <v>00117332</v>
      </c>
    </row>
    <row r="2126" spans="1:2" x14ac:dyDescent="0.25">
      <c r="A2126" s="2">
        <v>2121</v>
      </c>
      <c r="B2126" s="3" t="str">
        <f>"00117343"</f>
        <v>00117343</v>
      </c>
    </row>
    <row r="2127" spans="1:2" x14ac:dyDescent="0.25">
      <c r="A2127" s="2">
        <v>2122</v>
      </c>
      <c r="B2127" s="3" t="str">
        <f>"00117350"</f>
        <v>00117350</v>
      </c>
    </row>
    <row r="2128" spans="1:2" x14ac:dyDescent="0.25">
      <c r="A2128" s="2">
        <v>2123</v>
      </c>
      <c r="B2128" s="3" t="str">
        <f>"00117356"</f>
        <v>00117356</v>
      </c>
    </row>
    <row r="2129" spans="1:2" x14ac:dyDescent="0.25">
      <c r="A2129" s="2">
        <v>2124</v>
      </c>
      <c r="B2129" s="3" t="str">
        <f>"00117402"</f>
        <v>00117402</v>
      </c>
    </row>
    <row r="2130" spans="1:2" x14ac:dyDescent="0.25">
      <c r="A2130" s="2">
        <v>2125</v>
      </c>
      <c r="B2130" s="3" t="str">
        <f>"00117454"</f>
        <v>00117454</v>
      </c>
    </row>
    <row r="2131" spans="1:2" x14ac:dyDescent="0.25">
      <c r="A2131" s="2">
        <v>2126</v>
      </c>
      <c r="B2131" s="3" t="str">
        <f>"00117464"</f>
        <v>00117464</v>
      </c>
    </row>
    <row r="2132" spans="1:2" x14ac:dyDescent="0.25">
      <c r="A2132" s="2">
        <v>2127</v>
      </c>
      <c r="B2132" s="3" t="str">
        <f>"00117490"</f>
        <v>00117490</v>
      </c>
    </row>
    <row r="2133" spans="1:2" x14ac:dyDescent="0.25">
      <c r="A2133" s="2">
        <v>2128</v>
      </c>
      <c r="B2133" s="3" t="str">
        <f>"00117533"</f>
        <v>00117533</v>
      </c>
    </row>
    <row r="2134" spans="1:2" x14ac:dyDescent="0.25">
      <c r="A2134" s="2">
        <v>2129</v>
      </c>
      <c r="B2134" s="3" t="str">
        <f>"00117541"</f>
        <v>00117541</v>
      </c>
    </row>
    <row r="2135" spans="1:2" x14ac:dyDescent="0.25">
      <c r="A2135" s="2">
        <v>2130</v>
      </c>
      <c r="B2135" s="3" t="str">
        <f>"00117578"</f>
        <v>00117578</v>
      </c>
    </row>
    <row r="2136" spans="1:2" x14ac:dyDescent="0.25">
      <c r="A2136" s="2">
        <v>2131</v>
      </c>
      <c r="B2136" s="3" t="str">
        <f>"00117650"</f>
        <v>00117650</v>
      </c>
    </row>
    <row r="2137" spans="1:2" x14ac:dyDescent="0.25">
      <c r="A2137" s="2">
        <v>2132</v>
      </c>
      <c r="B2137" s="3" t="str">
        <f>"00117716"</f>
        <v>00117716</v>
      </c>
    </row>
    <row r="2138" spans="1:2" x14ac:dyDescent="0.25">
      <c r="A2138" s="2">
        <v>2133</v>
      </c>
      <c r="B2138" s="3" t="str">
        <f>"00117735"</f>
        <v>00117735</v>
      </c>
    </row>
    <row r="2139" spans="1:2" x14ac:dyDescent="0.25">
      <c r="A2139" s="2">
        <v>2134</v>
      </c>
      <c r="B2139" s="3" t="str">
        <f>"00117736"</f>
        <v>00117736</v>
      </c>
    </row>
    <row r="2140" spans="1:2" x14ac:dyDescent="0.25">
      <c r="A2140" s="2">
        <v>2135</v>
      </c>
      <c r="B2140" s="3" t="str">
        <f>"00117756"</f>
        <v>00117756</v>
      </c>
    </row>
    <row r="2141" spans="1:2" x14ac:dyDescent="0.25">
      <c r="A2141" s="2">
        <v>2136</v>
      </c>
      <c r="B2141" s="3" t="str">
        <f>"00117792"</f>
        <v>00117792</v>
      </c>
    </row>
    <row r="2142" spans="1:2" x14ac:dyDescent="0.25">
      <c r="A2142" s="2">
        <v>2137</v>
      </c>
      <c r="B2142" s="3" t="str">
        <f>"00117820"</f>
        <v>00117820</v>
      </c>
    </row>
    <row r="2143" spans="1:2" x14ac:dyDescent="0.25">
      <c r="A2143" s="2">
        <v>2138</v>
      </c>
      <c r="B2143" s="3" t="str">
        <f>"00117826"</f>
        <v>00117826</v>
      </c>
    </row>
    <row r="2144" spans="1:2" x14ac:dyDescent="0.25">
      <c r="A2144" s="2">
        <v>2139</v>
      </c>
      <c r="B2144" s="3" t="str">
        <f>"00117848"</f>
        <v>00117848</v>
      </c>
    </row>
    <row r="2145" spans="1:2" x14ac:dyDescent="0.25">
      <c r="A2145" s="2">
        <v>2140</v>
      </c>
      <c r="B2145" s="3" t="str">
        <f>"00117851"</f>
        <v>00117851</v>
      </c>
    </row>
    <row r="2146" spans="1:2" x14ac:dyDescent="0.25">
      <c r="A2146" s="2">
        <v>2141</v>
      </c>
      <c r="B2146" s="3" t="str">
        <f>"00117917"</f>
        <v>00117917</v>
      </c>
    </row>
    <row r="2147" spans="1:2" x14ac:dyDescent="0.25">
      <c r="A2147" s="2">
        <v>2142</v>
      </c>
      <c r="B2147" s="3" t="str">
        <f>"00117928"</f>
        <v>00117928</v>
      </c>
    </row>
    <row r="2148" spans="1:2" x14ac:dyDescent="0.25">
      <c r="A2148" s="2">
        <v>2143</v>
      </c>
      <c r="B2148" s="3" t="str">
        <f>"00117946"</f>
        <v>00117946</v>
      </c>
    </row>
    <row r="2149" spans="1:2" x14ac:dyDescent="0.25">
      <c r="A2149" s="2">
        <v>2144</v>
      </c>
      <c r="B2149" s="3" t="str">
        <f>"00117976"</f>
        <v>00117976</v>
      </c>
    </row>
    <row r="2150" spans="1:2" x14ac:dyDescent="0.25">
      <c r="A2150" s="2">
        <v>2145</v>
      </c>
      <c r="B2150" s="3" t="str">
        <f>"00118042"</f>
        <v>00118042</v>
      </c>
    </row>
    <row r="2151" spans="1:2" x14ac:dyDescent="0.25">
      <c r="A2151" s="2">
        <v>2146</v>
      </c>
      <c r="B2151" s="3" t="str">
        <f>"00118063"</f>
        <v>00118063</v>
      </c>
    </row>
    <row r="2152" spans="1:2" x14ac:dyDescent="0.25">
      <c r="A2152" s="2">
        <v>2147</v>
      </c>
      <c r="B2152" s="3" t="str">
        <f>"00118081"</f>
        <v>00118081</v>
      </c>
    </row>
    <row r="2153" spans="1:2" x14ac:dyDescent="0.25">
      <c r="A2153" s="2">
        <v>2148</v>
      </c>
      <c r="B2153" s="3" t="str">
        <f>"00118094"</f>
        <v>00118094</v>
      </c>
    </row>
    <row r="2154" spans="1:2" x14ac:dyDescent="0.25">
      <c r="A2154" s="2">
        <v>2149</v>
      </c>
      <c r="B2154" s="3" t="str">
        <f>"00118199"</f>
        <v>00118199</v>
      </c>
    </row>
    <row r="2155" spans="1:2" x14ac:dyDescent="0.25">
      <c r="A2155" s="2">
        <v>2150</v>
      </c>
      <c r="B2155" s="3" t="str">
        <f>"00118211"</f>
        <v>00118211</v>
      </c>
    </row>
    <row r="2156" spans="1:2" x14ac:dyDescent="0.25">
      <c r="A2156" s="2">
        <v>2151</v>
      </c>
      <c r="B2156" s="3" t="str">
        <f>"00118258"</f>
        <v>00118258</v>
      </c>
    </row>
    <row r="2157" spans="1:2" x14ac:dyDescent="0.25">
      <c r="A2157" s="2">
        <v>2152</v>
      </c>
      <c r="B2157" s="3" t="str">
        <f>"00118283"</f>
        <v>00118283</v>
      </c>
    </row>
    <row r="2158" spans="1:2" x14ac:dyDescent="0.25">
      <c r="A2158" s="2">
        <v>2153</v>
      </c>
      <c r="B2158" s="3" t="str">
        <f>"00118304"</f>
        <v>00118304</v>
      </c>
    </row>
    <row r="2159" spans="1:2" x14ac:dyDescent="0.25">
      <c r="A2159" s="2">
        <v>2154</v>
      </c>
      <c r="B2159" s="3" t="str">
        <f>"00118308"</f>
        <v>00118308</v>
      </c>
    </row>
    <row r="2160" spans="1:2" x14ac:dyDescent="0.25">
      <c r="A2160" s="2">
        <v>2155</v>
      </c>
      <c r="B2160" s="3" t="str">
        <f>"00118309"</f>
        <v>00118309</v>
      </c>
    </row>
    <row r="2161" spans="1:2" x14ac:dyDescent="0.25">
      <c r="A2161" s="2">
        <v>2156</v>
      </c>
      <c r="B2161" s="3" t="str">
        <f>"00118402"</f>
        <v>00118402</v>
      </c>
    </row>
    <row r="2162" spans="1:2" x14ac:dyDescent="0.25">
      <c r="A2162" s="2">
        <v>2157</v>
      </c>
      <c r="B2162" s="3" t="str">
        <f>"00118425"</f>
        <v>00118425</v>
      </c>
    </row>
    <row r="2163" spans="1:2" x14ac:dyDescent="0.25">
      <c r="A2163" s="2">
        <v>2158</v>
      </c>
      <c r="B2163" s="3" t="str">
        <f>"00118471"</f>
        <v>00118471</v>
      </c>
    </row>
    <row r="2164" spans="1:2" x14ac:dyDescent="0.25">
      <c r="A2164" s="2">
        <v>2159</v>
      </c>
      <c r="B2164" s="3" t="str">
        <f>"00118562"</f>
        <v>00118562</v>
      </c>
    </row>
    <row r="2165" spans="1:2" x14ac:dyDescent="0.25">
      <c r="A2165" s="2">
        <v>2160</v>
      </c>
      <c r="B2165" s="3" t="str">
        <f>"00118591"</f>
        <v>00118591</v>
      </c>
    </row>
    <row r="2166" spans="1:2" x14ac:dyDescent="0.25">
      <c r="A2166" s="2">
        <v>2161</v>
      </c>
      <c r="B2166" s="3" t="str">
        <f>"00118602"</f>
        <v>00118602</v>
      </c>
    </row>
    <row r="2167" spans="1:2" x14ac:dyDescent="0.25">
      <c r="A2167" s="2">
        <v>2162</v>
      </c>
      <c r="B2167" s="3" t="str">
        <f>"00118615"</f>
        <v>00118615</v>
      </c>
    </row>
    <row r="2168" spans="1:2" x14ac:dyDescent="0.25">
      <c r="A2168" s="2">
        <v>2163</v>
      </c>
      <c r="B2168" s="3" t="str">
        <f>"00118621"</f>
        <v>00118621</v>
      </c>
    </row>
    <row r="2169" spans="1:2" x14ac:dyDescent="0.25">
      <c r="A2169" s="2">
        <v>2164</v>
      </c>
      <c r="B2169" s="3" t="str">
        <f>"00118672"</f>
        <v>00118672</v>
      </c>
    </row>
    <row r="2170" spans="1:2" x14ac:dyDescent="0.25">
      <c r="A2170" s="2">
        <v>2165</v>
      </c>
      <c r="B2170" s="3" t="str">
        <f>"00118695"</f>
        <v>00118695</v>
      </c>
    </row>
    <row r="2171" spans="1:2" x14ac:dyDescent="0.25">
      <c r="A2171" s="2">
        <v>2166</v>
      </c>
      <c r="B2171" s="3" t="str">
        <f>"00118703"</f>
        <v>00118703</v>
      </c>
    </row>
    <row r="2172" spans="1:2" x14ac:dyDescent="0.25">
      <c r="A2172" s="2">
        <v>2167</v>
      </c>
      <c r="B2172" s="3" t="str">
        <f>"00118755"</f>
        <v>00118755</v>
      </c>
    </row>
    <row r="2173" spans="1:2" x14ac:dyDescent="0.25">
      <c r="A2173" s="2">
        <v>2168</v>
      </c>
      <c r="B2173" s="3" t="str">
        <f>"00118758"</f>
        <v>00118758</v>
      </c>
    </row>
    <row r="2174" spans="1:2" x14ac:dyDescent="0.25">
      <c r="A2174" s="2">
        <v>2169</v>
      </c>
      <c r="B2174" s="3" t="str">
        <f>"00118799"</f>
        <v>00118799</v>
      </c>
    </row>
    <row r="2175" spans="1:2" x14ac:dyDescent="0.25">
      <c r="A2175" s="2">
        <v>2170</v>
      </c>
      <c r="B2175" s="3" t="str">
        <f>"00118814"</f>
        <v>00118814</v>
      </c>
    </row>
    <row r="2176" spans="1:2" x14ac:dyDescent="0.25">
      <c r="A2176" s="2">
        <v>2171</v>
      </c>
      <c r="B2176" s="3" t="str">
        <f>"00118848"</f>
        <v>00118848</v>
      </c>
    </row>
    <row r="2177" spans="1:2" x14ac:dyDescent="0.25">
      <c r="A2177" s="2">
        <v>2172</v>
      </c>
      <c r="B2177" s="3" t="str">
        <f>"00118902"</f>
        <v>00118902</v>
      </c>
    </row>
    <row r="2178" spans="1:2" x14ac:dyDescent="0.25">
      <c r="A2178" s="2">
        <v>2173</v>
      </c>
      <c r="B2178" s="3" t="str">
        <f>"00118913"</f>
        <v>00118913</v>
      </c>
    </row>
    <row r="2179" spans="1:2" x14ac:dyDescent="0.25">
      <c r="A2179" s="2">
        <v>2174</v>
      </c>
      <c r="B2179" s="3" t="str">
        <f>"00118926"</f>
        <v>00118926</v>
      </c>
    </row>
    <row r="2180" spans="1:2" x14ac:dyDescent="0.25">
      <c r="A2180" s="2">
        <v>2175</v>
      </c>
      <c r="B2180" s="3" t="str">
        <f>"00119011"</f>
        <v>00119011</v>
      </c>
    </row>
    <row r="2181" spans="1:2" x14ac:dyDescent="0.25">
      <c r="A2181" s="2">
        <v>2176</v>
      </c>
      <c r="B2181" s="3" t="str">
        <f>"00119282"</f>
        <v>00119282</v>
      </c>
    </row>
    <row r="2182" spans="1:2" x14ac:dyDescent="0.25">
      <c r="A2182" s="2">
        <v>2177</v>
      </c>
      <c r="B2182" s="3" t="str">
        <f>"00119294"</f>
        <v>00119294</v>
      </c>
    </row>
    <row r="2183" spans="1:2" x14ac:dyDescent="0.25">
      <c r="A2183" s="2">
        <v>2178</v>
      </c>
      <c r="B2183" s="3" t="str">
        <f>"00119302"</f>
        <v>00119302</v>
      </c>
    </row>
    <row r="2184" spans="1:2" x14ac:dyDescent="0.25">
      <c r="A2184" s="2">
        <v>2179</v>
      </c>
      <c r="B2184" s="3" t="str">
        <f>"00119363"</f>
        <v>00119363</v>
      </c>
    </row>
    <row r="2185" spans="1:2" x14ac:dyDescent="0.25">
      <c r="A2185" s="2">
        <v>2180</v>
      </c>
      <c r="B2185" s="3" t="str">
        <f>"00119364"</f>
        <v>00119364</v>
      </c>
    </row>
    <row r="2186" spans="1:2" x14ac:dyDescent="0.25">
      <c r="A2186" s="2">
        <v>2181</v>
      </c>
      <c r="B2186" s="3" t="str">
        <f>"00119394"</f>
        <v>00119394</v>
      </c>
    </row>
    <row r="2187" spans="1:2" x14ac:dyDescent="0.25">
      <c r="A2187" s="2">
        <v>2182</v>
      </c>
      <c r="B2187" s="3" t="str">
        <f>"00119472"</f>
        <v>00119472</v>
      </c>
    </row>
    <row r="2188" spans="1:2" x14ac:dyDescent="0.25">
      <c r="A2188" s="2">
        <v>2183</v>
      </c>
      <c r="B2188" s="3" t="str">
        <f>"00119473"</f>
        <v>00119473</v>
      </c>
    </row>
    <row r="2189" spans="1:2" x14ac:dyDescent="0.25">
      <c r="A2189" s="2">
        <v>2184</v>
      </c>
      <c r="B2189" s="3" t="str">
        <f>"00119487"</f>
        <v>00119487</v>
      </c>
    </row>
    <row r="2190" spans="1:2" x14ac:dyDescent="0.25">
      <c r="A2190" s="2">
        <v>2185</v>
      </c>
      <c r="B2190" s="3" t="str">
        <f>"00119684"</f>
        <v>00119684</v>
      </c>
    </row>
    <row r="2191" spans="1:2" x14ac:dyDescent="0.25">
      <c r="A2191" s="2">
        <v>2186</v>
      </c>
      <c r="B2191" s="3" t="str">
        <f>"00119762"</f>
        <v>00119762</v>
      </c>
    </row>
    <row r="2192" spans="1:2" x14ac:dyDescent="0.25">
      <c r="A2192" s="2">
        <v>2187</v>
      </c>
      <c r="B2192" s="3" t="str">
        <f>"00119765"</f>
        <v>00119765</v>
      </c>
    </row>
    <row r="2193" spans="1:2" x14ac:dyDescent="0.25">
      <c r="A2193" s="2">
        <v>2188</v>
      </c>
      <c r="B2193" s="3" t="str">
        <f>"00119854"</f>
        <v>00119854</v>
      </c>
    </row>
    <row r="2194" spans="1:2" x14ac:dyDescent="0.25">
      <c r="A2194" s="2">
        <v>2189</v>
      </c>
      <c r="B2194" s="3" t="str">
        <f>"00119880"</f>
        <v>00119880</v>
      </c>
    </row>
    <row r="2195" spans="1:2" x14ac:dyDescent="0.25">
      <c r="A2195" s="2">
        <v>2190</v>
      </c>
      <c r="B2195" s="3" t="str">
        <f>"00119937"</f>
        <v>00119937</v>
      </c>
    </row>
    <row r="2196" spans="1:2" x14ac:dyDescent="0.25">
      <c r="A2196" s="2">
        <v>2191</v>
      </c>
      <c r="B2196" s="3" t="str">
        <f>"00120213"</f>
        <v>00120213</v>
      </c>
    </row>
    <row r="2197" spans="1:2" x14ac:dyDescent="0.25">
      <c r="A2197" s="2">
        <v>2192</v>
      </c>
      <c r="B2197" s="3" t="str">
        <f>"00120253"</f>
        <v>00120253</v>
      </c>
    </row>
    <row r="2198" spans="1:2" x14ac:dyDescent="0.25">
      <c r="A2198" s="2">
        <v>2193</v>
      </c>
      <c r="B2198" s="3" t="str">
        <f>"00120349"</f>
        <v>00120349</v>
      </c>
    </row>
    <row r="2199" spans="1:2" x14ac:dyDescent="0.25">
      <c r="A2199" s="2">
        <v>2194</v>
      </c>
      <c r="B2199" s="3" t="str">
        <f>"00120395"</f>
        <v>00120395</v>
      </c>
    </row>
    <row r="2200" spans="1:2" x14ac:dyDescent="0.25">
      <c r="A2200" s="2">
        <v>2195</v>
      </c>
      <c r="B2200" s="3" t="str">
        <f>"00120421"</f>
        <v>00120421</v>
      </c>
    </row>
    <row r="2201" spans="1:2" x14ac:dyDescent="0.25">
      <c r="A2201" s="2">
        <v>2196</v>
      </c>
      <c r="B2201" s="3" t="str">
        <f>"00120492"</f>
        <v>00120492</v>
      </c>
    </row>
    <row r="2202" spans="1:2" x14ac:dyDescent="0.25">
      <c r="A2202" s="2">
        <v>2197</v>
      </c>
      <c r="B2202" s="3" t="str">
        <f>"00120572"</f>
        <v>00120572</v>
      </c>
    </row>
    <row r="2203" spans="1:2" x14ac:dyDescent="0.25">
      <c r="A2203" s="2">
        <v>2198</v>
      </c>
      <c r="B2203" s="3" t="str">
        <f>"00120620"</f>
        <v>00120620</v>
      </c>
    </row>
    <row r="2204" spans="1:2" x14ac:dyDescent="0.25">
      <c r="A2204" s="2">
        <v>2199</v>
      </c>
      <c r="B2204" s="3" t="str">
        <f>"00120729"</f>
        <v>00120729</v>
      </c>
    </row>
    <row r="2205" spans="1:2" x14ac:dyDescent="0.25">
      <c r="A2205" s="2">
        <v>2200</v>
      </c>
      <c r="B2205" s="3" t="str">
        <f>"00120749"</f>
        <v>00120749</v>
      </c>
    </row>
    <row r="2206" spans="1:2" x14ac:dyDescent="0.25">
      <c r="A2206" s="2">
        <v>2201</v>
      </c>
      <c r="B2206" s="3" t="str">
        <f>"00120753"</f>
        <v>00120753</v>
      </c>
    </row>
    <row r="2207" spans="1:2" x14ac:dyDescent="0.25">
      <c r="A2207" s="2">
        <v>2202</v>
      </c>
      <c r="B2207" s="3" t="str">
        <f>"00120791"</f>
        <v>00120791</v>
      </c>
    </row>
    <row r="2208" spans="1:2" x14ac:dyDescent="0.25">
      <c r="A2208" s="2">
        <v>2203</v>
      </c>
      <c r="B2208" s="3" t="str">
        <f>"00120866"</f>
        <v>00120866</v>
      </c>
    </row>
    <row r="2209" spans="1:2" x14ac:dyDescent="0.25">
      <c r="A2209" s="2">
        <v>2204</v>
      </c>
      <c r="B2209" s="3" t="str">
        <f>"00120906"</f>
        <v>00120906</v>
      </c>
    </row>
    <row r="2210" spans="1:2" x14ac:dyDescent="0.25">
      <c r="A2210" s="2">
        <v>2205</v>
      </c>
      <c r="B2210" s="3" t="str">
        <f>"00120960"</f>
        <v>00120960</v>
      </c>
    </row>
    <row r="2211" spans="1:2" x14ac:dyDescent="0.25">
      <c r="A2211" s="2">
        <v>2206</v>
      </c>
      <c r="B2211" s="3" t="str">
        <f>"00120971"</f>
        <v>00120971</v>
      </c>
    </row>
    <row r="2212" spans="1:2" x14ac:dyDescent="0.25">
      <c r="A2212" s="2">
        <v>2207</v>
      </c>
      <c r="B2212" s="3" t="str">
        <f>"00121004"</f>
        <v>00121004</v>
      </c>
    </row>
    <row r="2213" spans="1:2" x14ac:dyDescent="0.25">
      <c r="A2213" s="2">
        <v>2208</v>
      </c>
      <c r="B2213" s="3" t="str">
        <f>"00121041"</f>
        <v>00121041</v>
      </c>
    </row>
    <row r="2214" spans="1:2" x14ac:dyDescent="0.25">
      <c r="A2214" s="2">
        <v>2209</v>
      </c>
      <c r="B2214" s="3" t="str">
        <f>"00121044"</f>
        <v>00121044</v>
      </c>
    </row>
    <row r="2215" spans="1:2" x14ac:dyDescent="0.25">
      <c r="A2215" s="2">
        <v>2210</v>
      </c>
      <c r="B2215" s="3" t="str">
        <f>"00121051"</f>
        <v>00121051</v>
      </c>
    </row>
    <row r="2216" spans="1:2" x14ac:dyDescent="0.25">
      <c r="A2216" s="2">
        <v>2211</v>
      </c>
      <c r="B2216" s="3" t="str">
        <f>"00121103"</f>
        <v>00121103</v>
      </c>
    </row>
    <row r="2217" spans="1:2" x14ac:dyDescent="0.25">
      <c r="A2217" s="2">
        <v>2212</v>
      </c>
      <c r="B2217" s="3" t="str">
        <f>"00121114"</f>
        <v>00121114</v>
      </c>
    </row>
    <row r="2218" spans="1:2" x14ac:dyDescent="0.25">
      <c r="A2218" s="2">
        <v>2213</v>
      </c>
      <c r="B2218" s="3" t="str">
        <f>"00121179"</f>
        <v>00121179</v>
      </c>
    </row>
    <row r="2219" spans="1:2" x14ac:dyDescent="0.25">
      <c r="A2219" s="2">
        <v>2214</v>
      </c>
      <c r="B2219" s="3" t="str">
        <f>"00121293"</f>
        <v>00121293</v>
      </c>
    </row>
    <row r="2220" spans="1:2" x14ac:dyDescent="0.25">
      <c r="A2220" s="2">
        <v>2215</v>
      </c>
      <c r="B2220" s="3" t="str">
        <f>"00121308"</f>
        <v>00121308</v>
      </c>
    </row>
    <row r="2221" spans="1:2" x14ac:dyDescent="0.25">
      <c r="A2221" s="2">
        <v>2216</v>
      </c>
      <c r="B2221" s="3" t="str">
        <f>"00121386"</f>
        <v>00121386</v>
      </c>
    </row>
    <row r="2222" spans="1:2" x14ac:dyDescent="0.25">
      <c r="A2222" s="2">
        <v>2217</v>
      </c>
      <c r="B2222" s="3" t="str">
        <f>"00121399"</f>
        <v>00121399</v>
      </c>
    </row>
    <row r="2223" spans="1:2" x14ac:dyDescent="0.25">
      <c r="A2223" s="2">
        <v>2218</v>
      </c>
      <c r="B2223" s="3" t="str">
        <f>"00121489"</f>
        <v>00121489</v>
      </c>
    </row>
    <row r="2224" spans="1:2" x14ac:dyDescent="0.25">
      <c r="A2224" s="2">
        <v>2219</v>
      </c>
      <c r="B2224" s="3" t="str">
        <f>"00121515"</f>
        <v>00121515</v>
      </c>
    </row>
    <row r="2225" spans="1:2" x14ac:dyDescent="0.25">
      <c r="A2225" s="2">
        <v>2220</v>
      </c>
      <c r="B2225" s="3" t="str">
        <f>"00121586"</f>
        <v>00121586</v>
      </c>
    </row>
    <row r="2226" spans="1:2" x14ac:dyDescent="0.25">
      <c r="A2226" s="2">
        <v>2221</v>
      </c>
      <c r="B2226" s="3" t="str">
        <f>"00121654"</f>
        <v>00121654</v>
      </c>
    </row>
    <row r="2227" spans="1:2" x14ac:dyDescent="0.25">
      <c r="A2227" s="2">
        <v>2222</v>
      </c>
      <c r="B2227" s="3" t="str">
        <f>"00121689"</f>
        <v>00121689</v>
      </c>
    </row>
    <row r="2228" spans="1:2" x14ac:dyDescent="0.25">
      <c r="A2228" s="2">
        <v>2223</v>
      </c>
      <c r="B2228" s="3" t="str">
        <f>"00121695"</f>
        <v>00121695</v>
      </c>
    </row>
    <row r="2229" spans="1:2" x14ac:dyDescent="0.25">
      <c r="A2229" s="2">
        <v>2224</v>
      </c>
      <c r="B2229" s="3" t="str">
        <f>"00121864"</f>
        <v>00121864</v>
      </c>
    </row>
    <row r="2230" spans="1:2" x14ac:dyDescent="0.25">
      <c r="A2230" s="2">
        <v>2225</v>
      </c>
      <c r="B2230" s="3" t="str">
        <f>"00121892"</f>
        <v>00121892</v>
      </c>
    </row>
    <row r="2231" spans="1:2" x14ac:dyDescent="0.25">
      <c r="A2231" s="2">
        <v>2226</v>
      </c>
      <c r="B2231" s="3" t="str">
        <f>"00121990"</f>
        <v>00121990</v>
      </c>
    </row>
    <row r="2232" spans="1:2" x14ac:dyDescent="0.25">
      <c r="A2232" s="2">
        <v>2227</v>
      </c>
      <c r="B2232" s="3" t="str">
        <f>"00121996"</f>
        <v>00121996</v>
      </c>
    </row>
    <row r="2233" spans="1:2" x14ac:dyDescent="0.25">
      <c r="A2233" s="2">
        <v>2228</v>
      </c>
      <c r="B2233" s="3" t="str">
        <f>"00122059"</f>
        <v>00122059</v>
      </c>
    </row>
    <row r="2234" spans="1:2" x14ac:dyDescent="0.25">
      <c r="A2234" s="2">
        <v>2229</v>
      </c>
      <c r="B2234" s="3" t="str">
        <f>"00122093"</f>
        <v>00122093</v>
      </c>
    </row>
    <row r="2235" spans="1:2" x14ac:dyDescent="0.25">
      <c r="A2235" s="2">
        <v>2230</v>
      </c>
      <c r="B2235" s="3" t="str">
        <f>"00122097"</f>
        <v>00122097</v>
      </c>
    </row>
    <row r="2236" spans="1:2" x14ac:dyDescent="0.25">
      <c r="A2236" s="2">
        <v>2231</v>
      </c>
      <c r="B2236" s="3" t="str">
        <f>"00122308"</f>
        <v>00122308</v>
      </c>
    </row>
    <row r="2237" spans="1:2" x14ac:dyDescent="0.25">
      <c r="A2237" s="2">
        <v>2232</v>
      </c>
      <c r="B2237" s="3" t="str">
        <f>"00122312"</f>
        <v>00122312</v>
      </c>
    </row>
    <row r="2238" spans="1:2" x14ac:dyDescent="0.25">
      <c r="A2238" s="2">
        <v>2233</v>
      </c>
      <c r="B2238" s="3" t="str">
        <f>"00122318"</f>
        <v>00122318</v>
      </c>
    </row>
    <row r="2239" spans="1:2" x14ac:dyDescent="0.25">
      <c r="A2239" s="2">
        <v>2234</v>
      </c>
      <c r="B2239" s="3" t="str">
        <f>"00122337"</f>
        <v>00122337</v>
      </c>
    </row>
    <row r="2240" spans="1:2" x14ac:dyDescent="0.25">
      <c r="A2240" s="2">
        <v>2235</v>
      </c>
      <c r="B2240" s="3" t="str">
        <f>"00122352"</f>
        <v>00122352</v>
      </c>
    </row>
    <row r="2241" spans="1:2" x14ac:dyDescent="0.25">
      <c r="A2241" s="2">
        <v>2236</v>
      </c>
      <c r="B2241" s="3" t="str">
        <f>"00122355"</f>
        <v>00122355</v>
      </c>
    </row>
    <row r="2242" spans="1:2" x14ac:dyDescent="0.25">
      <c r="A2242" s="2">
        <v>2237</v>
      </c>
      <c r="B2242" s="3" t="str">
        <f>"00122364"</f>
        <v>00122364</v>
      </c>
    </row>
    <row r="2243" spans="1:2" x14ac:dyDescent="0.25">
      <c r="A2243" s="2">
        <v>2238</v>
      </c>
      <c r="B2243" s="3" t="str">
        <f>"00122365"</f>
        <v>00122365</v>
      </c>
    </row>
    <row r="2244" spans="1:2" x14ac:dyDescent="0.25">
      <c r="A2244" s="2">
        <v>2239</v>
      </c>
      <c r="B2244" s="3" t="str">
        <f>"00122388"</f>
        <v>00122388</v>
      </c>
    </row>
    <row r="2245" spans="1:2" x14ac:dyDescent="0.25">
      <c r="A2245" s="2">
        <v>2240</v>
      </c>
      <c r="B2245" s="3" t="str">
        <f>"00122571"</f>
        <v>00122571</v>
      </c>
    </row>
    <row r="2246" spans="1:2" x14ac:dyDescent="0.25">
      <c r="A2246" s="2">
        <v>2241</v>
      </c>
      <c r="B2246" s="3" t="str">
        <f>"00122576"</f>
        <v>00122576</v>
      </c>
    </row>
    <row r="2247" spans="1:2" x14ac:dyDescent="0.25">
      <c r="A2247" s="2">
        <v>2242</v>
      </c>
      <c r="B2247" s="3" t="str">
        <f>"00122606"</f>
        <v>00122606</v>
      </c>
    </row>
    <row r="2248" spans="1:2" x14ac:dyDescent="0.25">
      <c r="A2248" s="2">
        <v>2243</v>
      </c>
      <c r="B2248" s="3" t="str">
        <f>"00122633"</f>
        <v>00122633</v>
      </c>
    </row>
    <row r="2249" spans="1:2" x14ac:dyDescent="0.25">
      <c r="A2249" s="2">
        <v>2244</v>
      </c>
      <c r="B2249" s="3" t="str">
        <f>"00122634"</f>
        <v>00122634</v>
      </c>
    </row>
    <row r="2250" spans="1:2" x14ac:dyDescent="0.25">
      <c r="A2250" s="2">
        <v>2245</v>
      </c>
      <c r="B2250" s="3" t="str">
        <f>"00122708"</f>
        <v>00122708</v>
      </c>
    </row>
    <row r="2251" spans="1:2" x14ac:dyDescent="0.25">
      <c r="A2251" s="2">
        <v>2246</v>
      </c>
      <c r="B2251" s="3" t="str">
        <f>"00122732"</f>
        <v>00122732</v>
      </c>
    </row>
    <row r="2252" spans="1:2" x14ac:dyDescent="0.25">
      <c r="A2252" s="2">
        <v>2247</v>
      </c>
      <c r="B2252" s="3" t="str">
        <f>"00122745"</f>
        <v>00122745</v>
      </c>
    </row>
    <row r="2253" spans="1:2" x14ac:dyDescent="0.25">
      <c r="A2253" s="2">
        <v>2248</v>
      </c>
      <c r="B2253" s="3" t="str">
        <f>"00122798"</f>
        <v>00122798</v>
      </c>
    </row>
    <row r="2254" spans="1:2" x14ac:dyDescent="0.25">
      <c r="A2254" s="2">
        <v>2249</v>
      </c>
      <c r="B2254" s="3" t="str">
        <f>"00122853"</f>
        <v>00122853</v>
      </c>
    </row>
    <row r="2255" spans="1:2" x14ac:dyDescent="0.25">
      <c r="A2255" s="2">
        <v>2250</v>
      </c>
      <c r="B2255" s="3" t="str">
        <f>"00122946"</f>
        <v>00122946</v>
      </c>
    </row>
    <row r="2256" spans="1:2" x14ac:dyDescent="0.25">
      <c r="A2256" s="2">
        <v>2251</v>
      </c>
      <c r="B2256" s="3" t="str">
        <f>"00122958"</f>
        <v>00122958</v>
      </c>
    </row>
    <row r="2257" spans="1:2" x14ac:dyDescent="0.25">
      <c r="A2257" s="2">
        <v>2252</v>
      </c>
      <c r="B2257" s="3" t="str">
        <f>"00122963"</f>
        <v>00122963</v>
      </c>
    </row>
    <row r="2258" spans="1:2" x14ac:dyDescent="0.25">
      <c r="A2258" s="2">
        <v>2253</v>
      </c>
      <c r="B2258" s="3" t="str">
        <f>"00122997"</f>
        <v>00122997</v>
      </c>
    </row>
    <row r="2259" spans="1:2" x14ac:dyDescent="0.25">
      <c r="A2259" s="2">
        <v>2254</v>
      </c>
      <c r="B2259" s="3" t="str">
        <f>"00123056"</f>
        <v>00123056</v>
      </c>
    </row>
    <row r="2260" spans="1:2" x14ac:dyDescent="0.25">
      <c r="A2260" s="2">
        <v>2255</v>
      </c>
      <c r="B2260" s="3" t="str">
        <f>"00123059"</f>
        <v>00123059</v>
      </c>
    </row>
    <row r="2261" spans="1:2" x14ac:dyDescent="0.25">
      <c r="A2261" s="2">
        <v>2256</v>
      </c>
      <c r="B2261" s="3" t="str">
        <f>"00123103"</f>
        <v>00123103</v>
      </c>
    </row>
    <row r="2262" spans="1:2" x14ac:dyDescent="0.25">
      <c r="A2262" s="2">
        <v>2257</v>
      </c>
      <c r="B2262" s="3" t="str">
        <f>"00123174"</f>
        <v>00123174</v>
      </c>
    </row>
    <row r="2263" spans="1:2" x14ac:dyDescent="0.25">
      <c r="A2263" s="2">
        <v>2258</v>
      </c>
      <c r="B2263" s="3" t="str">
        <f>"00123176"</f>
        <v>00123176</v>
      </c>
    </row>
    <row r="2264" spans="1:2" x14ac:dyDescent="0.25">
      <c r="A2264" s="2">
        <v>2259</v>
      </c>
      <c r="B2264" s="3" t="str">
        <f>"00123217"</f>
        <v>00123217</v>
      </c>
    </row>
    <row r="2265" spans="1:2" x14ac:dyDescent="0.25">
      <c r="A2265" s="2">
        <v>2260</v>
      </c>
      <c r="B2265" s="3" t="str">
        <f>"00123225"</f>
        <v>00123225</v>
      </c>
    </row>
    <row r="2266" spans="1:2" x14ac:dyDescent="0.25">
      <c r="A2266" s="2">
        <v>2261</v>
      </c>
      <c r="B2266" s="3" t="str">
        <f>"00123257"</f>
        <v>00123257</v>
      </c>
    </row>
    <row r="2267" spans="1:2" x14ac:dyDescent="0.25">
      <c r="A2267" s="2">
        <v>2262</v>
      </c>
      <c r="B2267" s="3" t="str">
        <f>"00123314"</f>
        <v>00123314</v>
      </c>
    </row>
    <row r="2268" spans="1:2" x14ac:dyDescent="0.25">
      <c r="A2268" s="2">
        <v>2263</v>
      </c>
      <c r="B2268" s="3" t="str">
        <f>"00123384"</f>
        <v>00123384</v>
      </c>
    </row>
    <row r="2269" spans="1:2" x14ac:dyDescent="0.25">
      <c r="A2269" s="2">
        <v>2264</v>
      </c>
      <c r="B2269" s="3" t="str">
        <f>"00123388"</f>
        <v>00123388</v>
      </c>
    </row>
    <row r="2270" spans="1:2" x14ac:dyDescent="0.25">
      <c r="A2270" s="2">
        <v>2265</v>
      </c>
      <c r="B2270" s="3" t="str">
        <f>"00123404"</f>
        <v>00123404</v>
      </c>
    </row>
    <row r="2271" spans="1:2" x14ac:dyDescent="0.25">
      <c r="A2271" s="2">
        <v>2266</v>
      </c>
      <c r="B2271" s="3" t="str">
        <f>"00123461"</f>
        <v>00123461</v>
      </c>
    </row>
    <row r="2272" spans="1:2" x14ac:dyDescent="0.25">
      <c r="A2272" s="2">
        <v>2267</v>
      </c>
      <c r="B2272" s="3" t="str">
        <f>"00123532"</f>
        <v>00123532</v>
      </c>
    </row>
    <row r="2273" spans="1:2" x14ac:dyDescent="0.25">
      <c r="A2273" s="2">
        <v>2268</v>
      </c>
      <c r="B2273" s="3" t="str">
        <f>"00123580"</f>
        <v>00123580</v>
      </c>
    </row>
    <row r="2274" spans="1:2" x14ac:dyDescent="0.25">
      <c r="A2274" s="2">
        <v>2269</v>
      </c>
      <c r="B2274" s="3" t="str">
        <f>"00123657"</f>
        <v>00123657</v>
      </c>
    </row>
    <row r="2275" spans="1:2" x14ac:dyDescent="0.25">
      <c r="A2275" s="2">
        <v>2270</v>
      </c>
      <c r="B2275" s="3" t="str">
        <f>"00123671"</f>
        <v>00123671</v>
      </c>
    </row>
    <row r="2276" spans="1:2" x14ac:dyDescent="0.25">
      <c r="A2276" s="2">
        <v>2271</v>
      </c>
      <c r="B2276" s="3" t="str">
        <f>"00123700"</f>
        <v>00123700</v>
      </c>
    </row>
    <row r="2277" spans="1:2" x14ac:dyDescent="0.25">
      <c r="A2277" s="2">
        <v>2272</v>
      </c>
      <c r="B2277" s="3" t="str">
        <f>"00123725"</f>
        <v>00123725</v>
      </c>
    </row>
    <row r="2278" spans="1:2" x14ac:dyDescent="0.25">
      <c r="A2278" s="2">
        <v>2273</v>
      </c>
      <c r="B2278" s="3" t="str">
        <f>"00123847"</f>
        <v>00123847</v>
      </c>
    </row>
    <row r="2279" spans="1:2" x14ac:dyDescent="0.25">
      <c r="A2279" s="2">
        <v>2274</v>
      </c>
      <c r="B2279" s="3" t="str">
        <f>"00123849"</f>
        <v>00123849</v>
      </c>
    </row>
    <row r="2280" spans="1:2" x14ac:dyDescent="0.25">
      <c r="A2280" s="2">
        <v>2275</v>
      </c>
      <c r="B2280" s="3" t="str">
        <f>"00123947"</f>
        <v>00123947</v>
      </c>
    </row>
    <row r="2281" spans="1:2" x14ac:dyDescent="0.25">
      <c r="A2281" s="2">
        <v>2276</v>
      </c>
      <c r="B2281" s="3" t="str">
        <f>"00123992"</f>
        <v>00123992</v>
      </c>
    </row>
    <row r="2282" spans="1:2" x14ac:dyDescent="0.25">
      <c r="A2282" s="2">
        <v>2277</v>
      </c>
      <c r="B2282" s="3" t="str">
        <f>"00124013"</f>
        <v>00124013</v>
      </c>
    </row>
    <row r="2283" spans="1:2" x14ac:dyDescent="0.25">
      <c r="A2283" s="2">
        <v>2278</v>
      </c>
      <c r="B2283" s="3" t="str">
        <f>"00124048"</f>
        <v>00124048</v>
      </c>
    </row>
    <row r="2284" spans="1:2" x14ac:dyDescent="0.25">
      <c r="A2284" s="2">
        <v>2279</v>
      </c>
      <c r="B2284" s="3" t="str">
        <f>"00124145"</f>
        <v>00124145</v>
      </c>
    </row>
    <row r="2285" spans="1:2" x14ac:dyDescent="0.25">
      <c r="A2285" s="2">
        <v>2280</v>
      </c>
      <c r="B2285" s="3" t="str">
        <f>"00124225"</f>
        <v>00124225</v>
      </c>
    </row>
    <row r="2286" spans="1:2" x14ac:dyDescent="0.25">
      <c r="A2286" s="2">
        <v>2281</v>
      </c>
      <c r="B2286" s="3" t="str">
        <f>"00124229"</f>
        <v>00124229</v>
      </c>
    </row>
    <row r="2287" spans="1:2" x14ac:dyDescent="0.25">
      <c r="A2287" s="2">
        <v>2282</v>
      </c>
      <c r="B2287" s="3" t="str">
        <f>"00124279"</f>
        <v>00124279</v>
      </c>
    </row>
    <row r="2288" spans="1:2" x14ac:dyDescent="0.25">
      <c r="A2288" s="2">
        <v>2283</v>
      </c>
      <c r="B2288" s="3" t="str">
        <f>"00124360"</f>
        <v>00124360</v>
      </c>
    </row>
    <row r="2289" spans="1:2" x14ac:dyDescent="0.25">
      <c r="A2289" s="2">
        <v>2284</v>
      </c>
      <c r="B2289" s="3" t="str">
        <f>"00124437"</f>
        <v>00124437</v>
      </c>
    </row>
    <row r="2290" spans="1:2" x14ac:dyDescent="0.25">
      <c r="A2290" s="2">
        <v>2285</v>
      </c>
      <c r="B2290" s="3" t="str">
        <f>"00124598"</f>
        <v>00124598</v>
      </c>
    </row>
    <row r="2291" spans="1:2" x14ac:dyDescent="0.25">
      <c r="A2291" s="2">
        <v>2286</v>
      </c>
      <c r="B2291" s="3" t="str">
        <f>"00124642"</f>
        <v>00124642</v>
      </c>
    </row>
    <row r="2292" spans="1:2" x14ac:dyDescent="0.25">
      <c r="A2292" s="2">
        <v>2287</v>
      </c>
      <c r="B2292" s="3" t="str">
        <f>"00124658"</f>
        <v>00124658</v>
      </c>
    </row>
    <row r="2293" spans="1:2" x14ac:dyDescent="0.25">
      <c r="A2293" s="2">
        <v>2288</v>
      </c>
      <c r="B2293" s="3" t="str">
        <f>"00124712"</f>
        <v>00124712</v>
      </c>
    </row>
    <row r="2294" spans="1:2" x14ac:dyDescent="0.25">
      <c r="A2294" s="2">
        <v>2289</v>
      </c>
      <c r="B2294" s="3" t="str">
        <f>"00124813"</f>
        <v>00124813</v>
      </c>
    </row>
    <row r="2295" spans="1:2" x14ac:dyDescent="0.25">
      <c r="A2295" s="2">
        <v>2290</v>
      </c>
      <c r="B2295" s="3" t="str">
        <f>"00124839"</f>
        <v>00124839</v>
      </c>
    </row>
    <row r="2296" spans="1:2" x14ac:dyDescent="0.25">
      <c r="A2296" s="2">
        <v>2291</v>
      </c>
      <c r="B2296" s="3" t="str">
        <f>"00124875"</f>
        <v>00124875</v>
      </c>
    </row>
    <row r="2297" spans="1:2" x14ac:dyDescent="0.25">
      <c r="A2297" s="2">
        <v>2292</v>
      </c>
      <c r="B2297" s="3" t="str">
        <f>"00124963"</f>
        <v>00124963</v>
      </c>
    </row>
    <row r="2298" spans="1:2" x14ac:dyDescent="0.25">
      <c r="A2298" s="2">
        <v>2293</v>
      </c>
      <c r="B2298" s="3" t="str">
        <f>"00124965"</f>
        <v>00124965</v>
      </c>
    </row>
    <row r="2299" spans="1:2" x14ac:dyDescent="0.25">
      <c r="A2299" s="2">
        <v>2294</v>
      </c>
      <c r="B2299" s="3" t="str">
        <f>"00124992"</f>
        <v>00124992</v>
      </c>
    </row>
    <row r="2300" spans="1:2" x14ac:dyDescent="0.25">
      <c r="A2300" s="2">
        <v>2295</v>
      </c>
      <c r="B2300" s="3" t="str">
        <f>"00125052"</f>
        <v>00125052</v>
      </c>
    </row>
    <row r="2301" spans="1:2" x14ac:dyDescent="0.25">
      <c r="A2301" s="2">
        <v>2296</v>
      </c>
      <c r="B2301" s="3" t="str">
        <f>"00125078"</f>
        <v>00125078</v>
      </c>
    </row>
    <row r="2302" spans="1:2" x14ac:dyDescent="0.25">
      <c r="A2302" s="2">
        <v>2297</v>
      </c>
      <c r="B2302" s="3" t="str">
        <f>"00125183"</f>
        <v>00125183</v>
      </c>
    </row>
    <row r="2303" spans="1:2" x14ac:dyDescent="0.25">
      <c r="A2303" s="2">
        <v>2298</v>
      </c>
      <c r="B2303" s="3" t="str">
        <f>"00125213"</f>
        <v>00125213</v>
      </c>
    </row>
    <row r="2304" spans="1:2" x14ac:dyDescent="0.25">
      <c r="A2304" s="2">
        <v>2299</v>
      </c>
      <c r="B2304" s="3" t="str">
        <f>"00125306"</f>
        <v>00125306</v>
      </c>
    </row>
    <row r="2305" spans="1:2" x14ac:dyDescent="0.25">
      <c r="A2305" s="2">
        <v>2300</v>
      </c>
      <c r="B2305" s="3" t="str">
        <f>"00125317"</f>
        <v>00125317</v>
      </c>
    </row>
    <row r="2306" spans="1:2" x14ac:dyDescent="0.25">
      <c r="A2306" s="2">
        <v>2301</v>
      </c>
      <c r="B2306" s="3" t="str">
        <f>"00125326"</f>
        <v>00125326</v>
      </c>
    </row>
    <row r="2307" spans="1:2" x14ac:dyDescent="0.25">
      <c r="A2307" s="2">
        <v>2302</v>
      </c>
      <c r="B2307" s="3" t="str">
        <f>"00125365"</f>
        <v>00125365</v>
      </c>
    </row>
    <row r="2308" spans="1:2" x14ac:dyDescent="0.25">
      <c r="A2308" s="2">
        <v>2303</v>
      </c>
      <c r="B2308" s="3" t="str">
        <f>"00125372"</f>
        <v>00125372</v>
      </c>
    </row>
    <row r="2309" spans="1:2" x14ac:dyDescent="0.25">
      <c r="A2309" s="2">
        <v>2304</v>
      </c>
      <c r="B2309" s="3" t="str">
        <f>"00125458"</f>
        <v>00125458</v>
      </c>
    </row>
    <row r="2310" spans="1:2" x14ac:dyDescent="0.25">
      <c r="A2310" s="2">
        <v>2305</v>
      </c>
      <c r="B2310" s="3" t="str">
        <f>"00125490"</f>
        <v>00125490</v>
      </c>
    </row>
    <row r="2311" spans="1:2" x14ac:dyDescent="0.25">
      <c r="A2311" s="2">
        <v>2306</v>
      </c>
      <c r="B2311" s="3" t="str">
        <f>"00125525"</f>
        <v>00125525</v>
      </c>
    </row>
    <row r="2312" spans="1:2" x14ac:dyDescent="0.25">
      <c r="A2312" s="2">
        <v>2307</v>
      </c>
      <c r="B2312" s="3" t="str">
        <f>"00125563"</f>
        <v>00125563</v>
      </c>
    </row>
    <row r="2313" spans="1:2" x14ac:dyDescent="0.25">
      <c r="A2313" s="2">
        <v>2308</v>
      </c>
      <c r="B2313" s="3" t="str">
        <f>"00125635"</f>
        <v>00125635</v>
      </c>
    </row>
    <row r="2314" spans="1:2" x14ac:dyDescent="0.25">
      <c r="A2314" s="2">
        <v>2309</v>
      </c>
      <c r="B2314" s="3" t="str">
        <f>"00125664"</f>
        <v>00125664</v>
      </c>
    </row>
    <row r="2315" spans="1:2" x14ac:dyDescent="0.25">
      <c r="A2315" s="2">
        <v>2310</v>
      </c>
      <c r="B2315" s="3" t="str">
        <f>"00125679"</f>
        <v>00125679</v>
      </c>
    </row>
    <row r="2316" spans="1:2" x14ac:dyDescent="0.25">
      <c r="A2316" s="2">
        <v>2311</v>
      </c>
      <c r="B2316" s="3" t="str">
        <f>"00125792"</f>
        <v>00125792</v>
      </c>
    </row>
    <row r="2317" spans="1:2" x14ac:dyDescent="0.25">
      <c r="A2317" s="2">
        <v>2312</v>
      </c>
      <c r="B2317" s="3" t="str">
        <f>"00125793"</f>
        <v>00125793</v>
      </c>
    </row>
    <row r="2318" spans="1:2" x14ac:dyDescent="0.25">
      <c r="A2318" s="2">
        <v>2313</v>
      </c>
      <c r="B2318" s="3" t="str">
        <f>"00125800"</f>
        <v>00125800</v>
      </c>
    </row>
    <row r="2319" spans="1:2" x14ac:dyDescent="0.25">
      <c r="A2319" s="2">
        <v>2314</v>
      </c>
      <c r="B2319" s="3" t="str">
        <f>"00125848"</f>
        <v>00125848</v>
      </c>
    </row>
    <row r="2320" spans="1:2" x14ac:dyDescent="0.25">
      <c r="A2320" s="2">
        <v>2315</v>
      </c>
      <c r="B2320" s="3" t="str">
        <f>"00125919"</f>
        <v>00125919</v>
      </c>
    </row>
    <row r="2321" spans="1:2" x14ac:dyDescent="0.25">
      <c r="A2321" s="2">
        <v>2316</v>
      </c>
      <c r="B2321" s="3" t="str">
        <f>"00125947"</f>
        <v>00125947</v>
      </c>
    </row>
    <row r="2322" spans="1:2" x14ac:dyDescent="0.25">
      <c r="A2322" s="2">
        <v>2317</v>
      </c>
      <c r="B2322" s="3" t="str">
        <f>"00125959"</f>
        <v>00125959</v>
      </c>
    </row>
    <row r="2323" spans="1:2" x14ac:dyDescent="0.25">
      <c r="A2323" s="2">
        <v>2318</v>
      </c>
      <c r="B2323" s="3" t="str">
        <f>"00126047"</f>
        <v>00126047</v>
      </c>
    </row>
    <row r="2324" spans="1:2" x14ac:dyDescent="0.25">
      <c r="A2324" s="2">
        <v>2319</v>
      </c>
      <c r="B2324" s="3" t="str">
        <f>"00126068"</f>
        <v>00126068</v>
      </c>
    </row>
    <row r="2325" spans="1:2" x14ac:dyDescent="0.25">
      <c r="A2325" s="2">
        <v>2320</v>
      </c>
      <c r="B2325" s="3" t="str">
        <f>"00126107"</f>
        <v>00126107</v>
      </c>
    </row>
    <row r="2326" spans="1:2" x14ac:dyDescent="0.25">
      <c r="A2326" s="2">
        <v>2321</v>
      </c>
      <c r="B2326" s="3" t="str">
        <f>"00126317"</f>
        <v>00126317</v>
      </c>
    </row>
    <row r="2327" spans="1:2" x14ac:dyDescent="0.25">
      <c r="A2327" s="2">
        <v>2322</v>
      </c>
      <c r="B2327" s="3" t="str">
        <f>"00126341"</f>
        <v>00126341</v>
      </c>
    </row>
    <row r="2328" spans="1:2" x14ac:dyDescent="0.25">
      <c r="A2328" s="2">
        <v>2323</v>
      </c>
      <c r="B2328" s="3" t="str">
        <f>"00126352"</f>
        <v>00126352</v>
      </c>
    </row>
    <row r="2329" spans="1:2" x14ac:dyDescent="0.25">
      <c r="A2329" s="2">
        <v>2324</v>
      </c>
      <c r="B2329" s="3" t="str">
        <f>"00126369"</f>
        <v>00126369</v>
      </c>
    </row>
    <row r="2330" spans="1:2" x14ac:dyDescent="0.25">
      <c r="A2330" s="2">
        <v>2325</v>
      </c>
      <c r="B2330" s="3" t="str">
        <f>"00126380"</f>
        <v>00126380</v>
      </c>
    </row>
    <row r="2331" spans="1:2" x14ac:dyDescent="0.25">
      <c r="A2331" s="2">
        <v>2326</v>
      </c>
      <c r="B2331" s="3" t="str">
        <f>"00126407"</f>
        <v>00126407</v>
      </c>
    </row>
    <row r="2332" spans="1:2" x14ac:dyDescent="0.25">
      <c r="A2332" s="2">
        <v>2327</v>
      </c>
      <c r="B2332" s="3" t="str">
        <f>"00126421"</f>
        <v>00126421</v>
      </c>
    </row>
    <row r="2333" spans="1:2" x14ac:dyDescent="0.25">
      <c r="A2333" s="2">
        <v>2328</v>
      </c>
      <c r="B2333" s="3" t="str">
        <f>"00126431"</f>
        <v>00126431</v>
      </c>
    </row>
    <row r="2334" spans="1:2" x14ac:dyDescent="0.25">
      <c r="A2334" s="2">
        <v>2329</v>
      </c>
      <c r="B2334" s="3" t="str">
        <f>"00126507"</f>
        <v>00126507</v>
      </c>
    </row>
    <row r="2335" spans="1:2" x14ac:dyDescent="0.25">
      <c r="A2335" s="2">
        <v>2330</v>
      </c>
      <c r="B2335" s="3" t="str">
        <f>"00126509"</f>
        <v>00126509</v>
      </c>
    </row>
    <row r="2336" spans="1:2" x14ac:dyDescent="0.25">
      <c r="A2336" s="2">
        <v>2331</v>
      </c>
      <c r="B2336" s="3" t="str">
        <f>"00126581"</f>
        <v>00126581</v>
      </c>
    </row>
    <row r="2337" spans="1:2" x14ac:dyDescent="0.25">
      <c r="A2337" s="2">
        <v>2332</v>
      </c>
      <c r="B2337" s="3" t="str">
        <f>"00126654"</f>
        <v>00126654</v>
      </c>
    </row>
    <row r="2338" spans="1:2" x14ac:dyDescent="0.25">
      <c r="A2338" s="2">
        <v>2333</v>
      </c>
      <c r="B2338" s="3" t="str">
        <f>"00126686"</f>
        <v>00126686</v>
      </c>
    </row>
    <row r="2339" spans="1:2" x14ac:dyDescent="0.25">
      <c r="A2339" s="2">
        <v>2334</v>
      </c>
      <c r="B2339" s="3" t="str">
        <f>"00126791"</f>
        <v>00126791</v>
      </c>
    </row>
    <row r="2340" spans="1:2" x14ac:dyDescent="0.25">
      <c r="A2340" s="2">
        <v>2335</v>
      </c>
      <c r="B2340" s="3" t="str">
        <f>"00126944"</f>
        <v>00126944</v>
      </c>
    </row>
    <row r="2341" spans="1:2" x14ac:dyDescent="0.25">
      <c r="A2341" s="2">
        <v>2336</v>
      </c>
      <c r="B2341" s="3" t="str">
        <f>"00126953"</f>
        <v>00126953</v>
      </c>
    </row>
    <row r="2342" spans="1:2" x14ac:dyDescent="0.25">
      <c r="A2342" s="2">
        <v>2337</v>
      </c>
      <c r="B2342" s="3" t="str">
        <f>"00126966"</f>
        <v>00126966</v>
      </c>
    </row>
    <row r="2343" spans="1:2" x14ac:dyDescent="0.25">
      <c r="A2343" s="2">
        <v>2338</v>
      </c>
      <c r="B2343" s="3" t="str">
        <f>"00126975"</f>
        <v>00126975</v>
      </c>
    </row>
    <row r="2344" spans="1:2" x14ac:dyDescent="0.25">
      <c r="A2344" s="2">
        <v>2339</v>
      </c>
      <c r="B2344" s="3" t="str">
        <f>"00126993"</f>
        <v>00126993</v>
      </c>
    </row>
    <row r="2345" spans="1:2" x14ac:dyDescent="0.25">
      <c r="A2345" s="2">
        <v>2340</v>
      </c>
      <c r="B2345" s="3" t="str">
        <f>"00127047"</f>
        <v>00127047</v>
      </c>
    </row>
    <row r="2346" spans="1:2" x14ac:dyDescent="0.25">
      <c r="A2346" s="2">
        <v>2341</v>
      </c>
      <c r="B2346" s="3" t="str">
        <f>"00127052"</f>
        <v>00127052</v>
      </c>
    </row>
    <row r="2347" spans="1:2" x14ac:dyDescent="0.25">
      <c r="A2347" s="2">
        <v>2342</v>
      </c>
      <c r="B2347" s="3" t="str">
        <f>"00127058"</f>
        <v>00127058</v>
      </c>
    </row>
    <row r="2348" spans="1:2" x14ac:dyDescent="0.25">
      <c r="A2348" s="2">
        <v>2343</v>
      </c>
      <c r="B2348" s="3" t="str">
        <f>"00127063"</f>
        <v>00127063</v>
      </c>
    </row>
    <row r="2349" spans="1:2" x14ac:dyDescent="0.25">
      <c r="A2349" s="2">
        <v>2344</v>
      </c>
      <c r="B2349" s="3" t="str">
        <f>"00127214"</f>
        <v>00127214</v>
      </c>
    </row>
    <row r="2350" spans="1:2" x14ac:dyDescent="0.25">
      <c r="A2350" s="2">
        <v>2345</v>
      </c>
      <c r="B2350" s="3" t="str">
        <f>"00127224"</f>
        <v>00127224</v>
      </c>
    </row>
    <row r="2351" spans="1:2" x14ac:dyDescent="0.25">
      <c r="A2351" s="2">
        <v>2346</v>
      </c>
      <c r="B2351" s="3" t="str">
        <f>"00127235"</f>
        <v>00127235</v>
      </c>
    </row>
    <row r="2352" spans="1:2" x14ac:dyDescent="0.25">
      <c r="A2352" s="2">
        <v>2347</v>
      </c>
      <c r="B2352" s="3" t="str">
        <f>"00127327"</f>
        <v>00127327</v>
      </c>
    </row>
    <row r="2353" spans="1:2" x14ac:dyDescent="0.25">
      <c r="A2353" s="2">
        <v>2348</v>
      </c>
      <c r="B2353" s="3" t="str">
        <f>"00127369"</f>
        <v>00127369</v>
      </c>
    </row>
    <row r="2354" spans="1:2" x14ac:dyDescent="0.25">
      <c r="A2354" s="2">
        <v>2349</v>
      </c>
      <c r="B2354" s="3" t="str">
        <f>"00127379"</f>
        <v>00127379</v>
      </c>
    </row>
    <row r="2355" spans="1:2" x14ac:dyDescent="0.25">
      <c r="A2355" s="2">
        <v>2350</v>
      </c>
      <c r="B2355" s="3" t="str">
        <f>"00127403"</f>
        <v>00127403</v>
      </c>
    </row>
    <row r="2356" spans="1:2" x14ac:dyDescent="0.25">
      <c r="A2356" s="2">
        <v>2351</v>
      </c>
      <c r="B2356" s="3" t="str">
        <f>"00127463"</f>
        <v>00127463</v>
      </c>
    </row>
    <row r="2357" spans="1:2" x14ac:dyDescent="0.25">
      <c r="A2357" s="2">
        <v>2352</v>
      </c>
      <c r="B2357" s="3" t="str">
        <f>"00127464"</f>
        <v>00127464</v>
      </c>
    </row>
    <row r="2358" spans="1:2" x14ac:dyDescent="0.25">
      <c r="A2358" s="2">
        <v>2353</v>
      </c>
      <c r="B2358" s="3" t="str">
        <f>"00127480"</f>
        <v>00127480</v>
      </c>
    </row>
    <row r="2359" spans="1:2" x14ac:dyDescent="0.25">
      <c r="A2359" s="2">
        <v>2354</v>
      </c>
      <c r="B2359" s="3" t="str">
        <f>"00127505"</f>
        <v>00127505</v>
      </c>
    </row>
    <row r="2360" spans="1:2" x14ac:dyDescent="0.25">
      <c r="A2360" s="2">
        <v>2355</v>
      </c>
      <c r="B2360" s="3" t="str">
        <f>"00127535"</f>
        <v>00127535</v>
      </c>
    </row>
    <row r="2361" spans="1:2" x14ac:dyDescent="0.25">
      <c r="A2361" s="2">
        <v>2356</v>
      </c>
      <c r="B2361" s="3" t="str">
        <f>"00127565"</f>
        <v>00127565</v>
      </c>
    </row>
    <row r="2362" spans="1:2" x14ac:dyDescent="0.25">
      <c r="A2362" s="2">
        <v>2357</v>
      </c>
      <c r="B2362" s="3" t="str">
        <f>"00127576"</f>
        <v>00127576</v>
      </c>
    </row>
    <row r="2363" spans="1:2" x14ac:dyDescent="0.25">
      <c r="A2363" s="2">
        <v>2358</v>
      </c>
      <c r="B2363" s="3" t="str">
        <f>"00127592"</f>
        <v>00127592</v>
      </c>
    </row>
    <row r="2364" spans="1:2" x14ac:dyDescent="0.25">
      <c r="A2364" s="2">
        <v>2359</v>
      </c>
      <c r="B2364" s="3" t="str">
        <f>"00127648"</f>
        <v>00127648</v>
      </c>
    </row>
    <row r="2365" spans="1:2" x14ac:dyDescent="0.25">
      <c r="A2365" s="2">
        <v>2360</v>
      </c>
      <c r="B2365" s="3" t="str">
        <f>"00127692"</f>
        <v>00127692</v>
      </c>
    </row>
    <row r="2366" spans="1:2" x14ac:dyDescent="0.25">
      <c r="A2366" s="2">
        <v>2361</v>
      </c>
      <c r="B2366" s="3" t="str">
        <f>"00127702"</f>
        <v>00127702</v>
      </c>
    </row>
    <row r="2367" spans="1:2" x14ac:dyDescent="0.25">
      <c r="A2367" s="2">
        <v>2362</v>
      </c>
      <c r="B2367" s="3" t="str">
        <f>"00127738"</f>
        <v>00127738</v>
      </c>
    </row>
    <row r="2368" spans="1:2" x14ac:dyDescent="0.25">
      <c r="A2368" s="2">
        <v>2363</v>
      </c>
      <c r="B2368" s="3" t="str">
        <f>"00127772"</f>
        <v>00127772</v>
      </c>
    </row>
    <row r="2369" spans="1:2" x14ac:dyDescent="0.25">
      <c r="A2369" s="2">
        <v>2364</v>
      </c>
      <c r="B2369" s="3" t="str">
        <f>"00127788"</f>
        <v>00127788</v>
      </c>
    </row>
    <row r="2370" spans="1:2" x14ac:dyDescent="0.25">
      <c r="A2370" s="2">
        <v>2365</v>
      </c>
      <c r="B2370" s="3" t="str">
        <f>"00127810"</f>
        <v>00127810</v>
      </c>
    </row>
    <row r="2371" spans="1:2" x14ac:dyDescent="0.25">
      <c r="A2371" s="2">
        <v>2366</v>
      </c>
      <c r="B2371" s="3" t="str">
        <f>"00127816"</f>
        <v>00127816</v>
      </c>
    </row>
    <row r="2372" spans="1:2" x14ac:dyDescent="0.25">
      <c r="A2372" s="2">
        <v>2367</v>
      </c>
      <c r="B2372" s="3" t="str">
        <f>"00127946"</f>
        <v>00127946</v>
      </c>
    </row>
    <row r="2373" spans="1:2" x14ac:dyDescent="0.25">
      <c r="A2373" s="2">
        <v>2368</v>
      </c>
      <c r="B2373" s="3" t="str">
        <f>"00128010"</f>
        <v>00128010</v>
      </c>
    </row>
    <row r="2374" spans="1:2" x14ac:dyDescent="0.25">
      <c r="A2374" s="2">
        <v>2369</v>
      </c>
      <c r="B2374" s="3" t="str">
        <f>"00128088"</f>
        <v>00128088</v>
      </c>
    </row>
    <row r="2375" spans="1:2" x14ac:dyDescent="0.25">
      <c r="A2375" s="2">
        <v>2370</v>
      </c>
      <c r="B2375" s="3" t="str">
        <f>"00128252"</f>
        <v>00128252</v>
      </c>
    </row>
    <row r="2376" spans="1:2" x14ac:dyDescent="0.25">
      <c r="A2376" s="2">
        <v>2371</v>
      </c>
      <c r="B2376" s="3" t="str">
        <f>"00128272"</f>
        <v>00128272</v>
      </c>
    </row>
    <row r="2377" spans="1:2" x14ac:dyDescent="0.25">
      <c r="A2377" s="2">
        <v>2372</v>
      </c>
      <c r="B2377" s="3" t="str">
        <f>"00128275"</f>
        <v>00128275</v>
      </c>
    </row>
    <row r="2378" spans="1:2" x14ac:dyDescent="0.25">
      <c r="A2378" s="2">
        <v>2373</v>
      </c>
      <c r="B2378" s="3" t="str">
        <f>"00128300"</f>
        <v>00128300</v>
      </c>
    </row>
    <row r="2379" spans="1:2" x14ac:dyDescent="0.25">
      <c r="A2379" s="2">
        <v>2374</v>
      </c>
      <c r="B2379" s="3" t="str">
        <f>"00128386"</f>
        <v>00128386</v>
      </c>
    </row>
    <row r="2380" spans="1:2" x14ac:dyDescent="0.25">
      <c r="A2380" s="2">
        <v>2375</v>
      </c>
      <c r="B2380" s="3" t="str">
        <f>"00128426"</f>
        <v>00128426</v>
      </c>
    </row>
    <row r="2381" spans="1:2" x14ac:dyDescent="0.25">
      <c r="A2381" s="2">
        <v>2376</v>
      </c>
      <c r="B2381" s="3" t="str">
        <f>"00128428"</f>
        <v>00128428</v>
      </c>
    </row>
    <row r="2382" spans="1:2" x14ac:dyDescent="0.25">
      <c r="A2382" s="2">
        <v>2377</v>
      </c>
      <c r="B2382" s="3" t="str">
        <f>"00128436"</f>
        <v>00128436</v>
      </c>
    </row>
    <row r="2383" spans="1:2" x14ac:dyDescent="0.25">
      <c r="A2383" s="2">
        <v>2378</v>
      </c>
      <c r="B2383" s="3" t="str">
        <f>"00128442"</f>
        <v>00128442</v>
      </c>
    </row>
    <row r="2384" spans="1:2" x14ac:dyDescent="0.25">
      <c r="A2384" s="2">
        <v>2379</v>
      </c>
      <c r="B2384" s="3" t="str">
        <f>"00128488"</f>
        <v>00128488</v>
      </c>
    </row>
    <row r="2385" spans="1:2" x14ac:dyDescent="0.25">
      <c r="A2385" s="2">
        <v>2380</v>
      </c>
      <c r="B2385" s="3" t="str">
        <f>"00128525"</f>
        <v>00128525</v>
      </c>
    </row>
    <row r="2386" spans="1:2" x14ac:dyDescent="0.25">
      <c r="A2386" s="2">
        <v>2381</v>
      </c>
      <c r="B2386" s="3" t="str">
        <f>"00128647"</f>
        <v>00128647</v>
      </c>
    </row>
    <row r="2387" spans="1:2" x14ac:dyDescent="0.25">
      <c r="A2387" s="2">
        <v>2382</v>
      </c>
      <c r="B2387" s="3" t="str">
        <f>"00128660"</f>
        <v>00128660</v>
      </c>
    </row>
    <row r="2388" spans="1:2" x14ac:dyDescent="0.25">
      <c r="A2388" s="2">
        <v>2383</v>
      </c>
      <c r="B2388" s="3" t="str">
        <f>"00128689"</f>
        <v>00128689</v>
      </c>
    </row>
    <row r="2389" spans="1:2" x14ac:dyDescent="0.25">
      <c r="A2389" s="2">
        <v>2384</v>
      </c>
      <c r="B2389" s="3" t="str">
        <f>"00128783"</f>
        <v>00128783</v>
      </c>
    </row>
    <row r="2390" spans="1:2" x14ac:dyDescent="0.25">
      <c r="A2390" s="2">
        <v>2385</v>
      </c>
      <c r="B2390" s="3" t="str">
        <f>"00128946"</f>
        <v>00128946</v>
      </c>
    </row>
    <row r="2391" spans="1:2" x14ac:dyDescent="0.25">
      <c r="A2391" s="2">
        <v>2386</v>
      </c>
      <c r="B2391" s="3" t="str">
        <f>"00129094"</f>
        <v>00129094</v>
      </c>
    </row>
    <row r="2392" spans="1:2" x14ac:dyDescent="0.25">
      <c r="A2392" s="2">
        <v>2387</v>
      </c>
      <c r="B2392" s="3" t="str">
        <f>"00129125"</f>
        <v>00129125</v>
      </c>
    </row>
    <row r="2393" spans="1:2" x14ac:dyDescent="0.25">
      <c r="A2393" s="2">
        <v>2388</v>
      </c>
      <c r="B2393" s="3" t="str">
        <f>"00129127"</f>
        <v>00129127</v>
      </c>
    </row>
    <row r="2394" spans="1:2" x14ac:dyDescent="0.25">
      <c r="A2394" s="2">
        <v>2389</v>
      </c>
      <c r="B2394" s="3" t="str">
        <f>"00129147"</f>
        <v>00129147</v>
      </c>
    </row>
    <row r="2395" spans="1:2" x14ac:dyDescent="0.25">
      <c r="A2395" s="2">
        <v>2390</v>
      </c>
      <c r="B2395" s="3" t="str">
        <f>"00129190"</f>
        <v>00129190</v>
      </c>
    </row>
    <row r="2396" spans="1:2" x14ac:dyDescent="0.25">
      <c r="A2396" s="2">
        <v>2391</v>
      </c>
      <c r="B2396" s="3" t="str">
        <f>"00129250"</f>
        <v>00129250</v>
      </c>
    </row>
    <row r="2397" spans="1:2" x14ac:dyDescent="0.25">
      <c r="A2397" s="2">
        <v>2392</v>
      </c>
      <c r="B2397" s="3" t="str">
        <f>"00129314"</f>
        <v>00129314</v>
      </c>
    </row>
    <row r="2398" spans="1:2" x14ac:dyDescent="0.25">
      <c r="A2398" s="2">
        <v>2393</v>
      </c>
      <c r="B2398" s="3" t="str">
        <f>"00129362"</f>
        <v>00129362</v>
      </c>
    </row>
    <row r="2399" spans="1:2" x14ac:dyDescent="0.25">
      <c r="A2399" s="2">
        <v>2394</v>
      </c>
      <c r="B2399" s="3" t="str">
        <f>"00129388"</f>
        <v>00129388</v>
      </c>
    </row>
    <row r="2400" spans="1:2" x14ac:dyDescent="0.25">
      <c r="A2400" s="2">
        <v>2395</v>
      </c>
      <c r="B2400" s="3" t="str">
        <f>"00129390"</f>
        <v>00129390</v>
      </c>
    </row>
    <row r="2401" spans="1:2" x14ac:dyDescent="0.25">
      <c r="A2401" s="2">
        <v>2396</v>
      </c>
      <c r="B2401" s="3" t="str">
        <f>"00129525"</f>
        <v>00129525</v>
      </c>
    </row>
    <row r="2402" spans="1:2" x14ac:dyDescent="0.25">
      <c r="A2402" s="2">
        <v>2397</v>
      </c>
      <c r="B2402" s="3" t="str">
        <f>"00129656"</f>
        <v>00129656</v>
      </c>
    </row>
    <row r="2403" spans="1:2" x14ac:dyDescent="0.25">
      <c r="A2403" s="2">
        <v>2398</v>
      </c>
      <c r="B2403" s="3" t="str">
        <f>"00129721"</f>
        <v>00129721</v>
      </c>
    </row>
    <row r="2404" spans="1:2" x14ac:dyDescent="0.25">
      <c r="A2404" s="2">
        <v>2399</v>
      </c>
      <c r="B2404" s="3" t="str">
        <f>"00129770"</f>
        <v>00129770</v>
      </c>
    </row>
    <row r="2405" spans="1:2" x14ac:dyDescent="0.25">
      <c r="A2405" s="2">
        <v>2400</v>
      </c>
      <c r="B2405" s="3" t="str">
        <f>"00129797"</f>
        <v>00129797</v>
      </c>
    </row>
    <row r="2406" spans="1:2" x14ac:dyDescent="0.25">
      <c r="A2406" s="2">
        <v>2401</v>
      </c>
      <c r="B2406" s="3" t="str">
        <f>"00129869"</f>
        <v>00129869</v>
      </c>
    </row>
    <row r="2407" spans="1:2" x14ac:dyDescent="0.25">
      <c r="A2407" s="2">
        <v>2402</v>
      </c>
      <c r="B2407" s="3" t="str">
        <f>"00129870"</f>
        <v>00129870</v>
      </c>
    </row>
    <row r="2408" spans="1:2" x14ac:dyDescent="0.25">
      <c r="A2408" s="2">
        <v>2403</v>
      </c>
      <c r="B2408" s="3" t="str">
        <f>"00129901"</f>
        <v>00129901</v>
      </c>
    </row>
    <row r="2409" spans="1:2" x14ac:dyDescent="0.25">
      <c r="A2409" s="2">
        <v>2404</v>
      </c>
      <c r="B2409" s="3" t="str">
        <f>"00129996"</f>
        <v>00129996</v>
      </c>
    </row>
    <row r="2410" spans="1:2" x14ac:dyDescent="0.25">
      <c r="A2410" s="2">
        <v>2405</v>
      </c>
      <c r="B2410" s="3" t="str">
        <f>"00129999"</f>
        <v>00129999</v>
      </c>
    </row>
    <row r="2411" spans="1:2" x14ac:dyDescent="0.25">
      <c r="A2411" s="2">
        <v>2406</v>
      </c>
      <c r="B2411" s="3" t="str">
        <f>"00130007"</f>
        <v>00130007</v>
      </c>
    </row>
    <row r="2412" spans="1:2" x14ac:dyDescent="0.25">
      <c r="A2412" s="2">
        <v>2407</v>
      </c>
      <c r="B2412" s="3" t="str">
        <f>"00130010"</f>
        <v>00130010</v>
      </c>
    </row>
    <row r="2413" spans="1:2" x14ac:dyDescent="0.25">
      <c r="A2413" s="2">
        <v>2408</v>
      </c>
      <c r="B2413" s="3" t="str">
        <f>"00130173"</f>
        <v>00130173</v>
      </c>
    </row>
    <row r="2414" spans="1:2" x14ac:dyDescent="0.25">
      <c r="A2414" s="2">
        <v>2409</v>
      </c>
      <c r="B2414" s="3" t="str">
        <f>"00130218"</f>
        <v>00130218</v>
      </c>
    </row>
    <row r="2415" spans="1:2" x14ac:dyDescent="0.25">
      <c r="A2415" s="2">
        <v>2410</v>
      </c>
      <c r="B2415" s="3" t="str">
        <f>"00130237"</f>
        <v>00130237</v>
      </c>
    </row>
    <row r="2416" spans="1:2" x14ac:dyDescent="0.25">
      <c r="A2416" s="2">
        <v>2411</v>
      </c>
      <c r="B2416" s="3" t="str">
        <f>"00130242"</f>
        <v>00130242</v>
      </c>
    </row>
    <row r="2417" spans="1:2" x14ac:dyDescent="0.25">
      <c r="A2417" s="2">
        <v>2412</v>
      </c>
      <c r="B2417" s="3" t="str">
        <f>"00130247"</f>
        <v>00130247</v>
      </c>
    </row>
    <row r="2418" spans="1:2" x14ac:dyDescent="0.25">
      <c r="A2418" s="2">
        <v>2413</v>
      </c>
      <c r="B2418" s="3" t="str">
        <f>"00130279"</f>
        <v>00130279</v>
      </c>
    </row>
    <row r="2419" spans="1:2" x14ac:dyDescent="0.25">
      <c r="A2419" s="2">
        <v>2414</v>
      </c>
      <c r="B2419" s="3" t="str">
        <f>"00130308"</f>
        <v>00130308</v>
      </c>
    </row>
    <row r="2420" spans="1:2" x14ac:dyDescent="0.25">
      <c r="A2420" s="2">
        <v>2415</v>
      </c>
      <c r="B2420" s="3" t="str">
        <f>"00130327"</f>
        <v>00130327</v>
      </c>
    </row>
    <row r="2421" spans="1:2" x14ac:dyDescent="0.25">
      <c r="A2421" s="2">
        <v>2416</v>
      </c>
      <c r="B2421" s="3" t="str">
        <f>"00130416"</f>
        <v>00130416</v>
      </c>
    </row>
    <row r="2422" spans="1:2" x14ac:dyDescent="0.25">
      <c r="A2422" s="2">
        <v>2417</v>
      </c>
      <c r="B2422" s="3" t="str">
        <f>"00130428"</f>
        <v>00130428</v>
      </c>
    </row>
    <row r="2423" spans="1:2" x14ac:dyDescent="0.25">
      <c r="A2423" s="2">
        <v>2418</v>
      </c>
      <c r="B2423" s="3" t="str">
        <f>"00130448"</f>
        <v>00130448</v>
      </c>
    </row>
    <row r="2424" spans="1:2" x14ac:dyDescent="0.25">
      <c r="A2424" s="2">
        <v>2419</v>
      </c>
      <c r="B2424" s="3" t="str">
        <f>"00130497"</f>
        <v>00130497</v>
      </c>
    </row>
    <row r="2425" spans="1:2" x14ac:dyDescent="0.25">
      <c r="A2425" s="2">
        <v>2420</v>
      </c>
      <c r="B2425" s="3" t="str">
        <f>"00130509"</f>
        <v>00130509</v>
      </c>
    </row>
    <row r="2426" spans="1:2" x14ac:dyDescent="0.25">
      <c r="A2426" s="2">
        <v>2421</v>
      </c>
      <c r="B2426" s="3" t="str">
        <f>"00130525"</f>
        <v>00130525</v>
      </c>
    </row>
    <row r="2427" spans="1:2" x14ac:dyDescent="0.25">
      <c r="A2427" s="2">
        <v>2422</v>
      </c>
      <c r="B2427" s="3" t="str">
        <f>"00130626"</f>
        <v>00130626</v>
      </c>
    </row>
    <row r="2428" spans="1:2" x14ac:dyDescent="0.25">
      <c r="A2428" s="2">
        <v>2423</v>
      </c>
      <c r="B2428" s="3" t="str">
        <f>"00130680"</f>
        <v>00130680</v>
      </c>
    </row>
    <row r="2429" spans="1:2" x14ac:dyDescent="0.25">
      <c r="A2429" s="2">
        <v>2424</v>
      </c>
      <c r="B2429" s="3" t="str">
        <f>"00130690"</f>
        <v>00130690</v>
      </c>
    </row>
    <row r="2430" spans="1:2" x14ac:dyDescent="0.25">
      <c r="A2430" s="2">
        <v>2425</v>
      </c>
      <c r="B2430" s="3" t="str">
        <f>"00130724"</f>
        <v>00130724</v>
      </c>
    </row>
    <row r="2431" spans="1:2" x14ac:dyDescent="0.25">
      <c r="A2431" s="2">
        <v>2426</v>
      </c>
      <c r="B2431" s="3" t="str">
        <f>"00130815"</f>
        <v>00130815</v>
      </c>
    </row>
    <row r="2432" spans="1:2" x14ac:dyDescent="0.25">
      <c r="A2432" s="2">
        <v>2427</v>
      </c>
      <c r="B2432" s="3" t="str">
        <f>"00130827"</f>
        <v>00130827</v>
      </c>
    </row>
    <row r="2433" spans="1:2" x14ac:dyDescent="0.25">
      <c r="A2433" s="2">
        <v>2428</v>
      </c>
      <c r="B2433" s="3" t="str">
        <f>"00130909"</f>
        <v>00130909</v>
      </c>
    </row>
    <row r="2434" spans="1:2" x14ac:dyDescent="0.25">
      <c r="A2434" s="2">
        <v>2429</v>
      </c>
      <c r="B2434" s="3" t="str">
        <f>"00130920"</f>
        <v>00130920</v>
      </c>
    </row>
    <row r="2435" spans="1:2" x14ac:dyDescent="0.25">
      <c r="A2435" s="2">
        <v>2430</v>
      </c>
      <c r="B2435" s="3" t="str">
        <f>"00130971"</f>
        <v>00130971</v>
      </c>
    </row>
    <row r="2436" spans="1:2" x14ac:dyDescent="0.25">
      <c r="A2436" s="2">
        <v>2431</v>
      </c>
      <c r="B2436" s="3" t="str">
        <f>"00130980"</f>
        <v>00130980</v>
      </c>
    </row>
    <row r="2437" spans="1:2" x14ac:dyDescent="0.25">
      <c r="A2437" s="2">
        <v>2432</v>
      </c>
      <c r="B2437" s="3" t="str">
        <f>"00130998"</f>
        <v>00130998</v>
      </c>
    </row>
    <row r="2438" spans="1:2" x14ac:dyDescent="0.25">
      <c r="A2438" s="2">
        <v>2433</v>
      </c>
      <c r="B2438" s="3" t="str">
        <f>"00131021"</f>
        <v>00131021</v>
      </c>
    </row>
    <row r="2439" spans="1:2" x14ac:dyDescent="0.25">
      <c r="A2439" s="2">
        <v>2434</v>
      </c>
      <c r="B2439" s="3" t="str">
        <f>"00131023"</f>
        <v>00131023</v>
      </c>
    </row>
    <row r="2440" spans="1:2" x14ac:dyDescent="0.25">
      <c r="A2440" s="2">
        <v>2435</v>
      </c>
      <c r="B2440" s="3" t="str">
        <f>"00131070"</f>
        <v>00131070</v>
      </c>
    </row>
    <row r="2441" spans="1:2" x14ac:dyDescent="0.25">
      <c r="A2441" s="2">
        <v>2436</v>
      </c>
      <c r="B2441" s="3" t="str">
        <f>"00131108"</f>
        <v>00131108</v>
      </c>
    </row>
    <row r="2442" spans="1:2" x14ac:dyDescent="0.25">
      <c r="A2442" s="2">
        <v>2437</v>
      </c>
      <c r="B2442" s="3" t="str">
        <f>"00131327"</f>
        <v>00131327</v>
      </c>
    </row>
    <row r="2443" spans="1:2" x14ac:dyDescent="0.25">
      <c r="A2443" s="2">
        <v>2438</v>
      </c>
      <c r="B2443" s="3" t="str">
        <f>"00131354"</f>
        <v>00131354</v>
      </c>
    </row>
    <row r="2444" spans="1:2" x14ac:dyDescent="0.25">
      <c r="A2444" s="2">
        <v>2439</v>
      </c>
      <c r="B2444" s="3" t="str">
        <f>"00131363"</f>
        <v>00131363</v>
      </c>
    </row>
    <row r="2445" spans="1:2" x14ac:dyDescent="0.25">
      <c r="A2445" s="2">
        <v>2440</v>
      </c>
      <c r="B2445" s="3" t="str">
        <f>"00131428"</f>
        <v>00131428</v>
      </c>
    </row>
    <row r="2446" spans="1:2" x14ac:dyDescent="0.25">
      <c r="A2446" s="2">
        <v>2441</v>
      </c>
      <c r="B2446" s="3" t="str">
        <f>"00131441"</f>
        <v>00131441</v>
      </c>
    </row>
    <row r="2447" spans="1:2" x14ac:dyDescent="0.25">
      <c r="A2447" s="2">
        <v>2442</v>
      </c>
      <c r="B2447" s="3" t="str">
        <f>"00131445"</f>
        <v>00131445</v>
      </c>
    </row>
    <row r="2448" spans="1:2" x14ac:dyDescent="0.25">
      <c r="A2448" s="2">
        <v>2443</v>
      </c>
      <c r="B2448" s="3" t="str">
        <f>"00131455"</f>
        <v>00131455</v>
      </c>
    </row>
    <row r="2449" spans="1:2" x14ac:dyDescent="0.25">
      <c r="A2449" s="2">
        <v>2444</v>
      </c>
      <c r="B2449" s="3" t="str">
        <f>"00131458"</f>
        <v>00131458</v>
      </c>
    </row>
    <row r="2450" spans="1:2" x14ac:dyDescent="0.25">
      <c r="A2450" s="2">
        <v>2445</v>
      </c>
      <c r="B2450" s="3" t="str">
        <f>"00131472"</f>
        <v>00131472</v>
      </c>
    </row>
    <row r="2451" spans="1:2" x14ac:dyDescent="0.25">
      <c r="A2451" s="2">
        <v>2446</v>
      </c>
      <c r="B2451" s="3" t="str">
        <f>"00131539"</f>
        <v>00131539</v>
      </c>
    </row>
    <row r="2452" spans="1:2" x14ac:dyDescent="0.25">
      <c r="A2452" s="2">
        <v>2447</v>
      </c>
      <c r="B2452" s="3" t="str">
        <f>"00131572"</f>
        <v>00131572</v>
      </c>
    </row>
    <row r="2453" spans="1:2" x14ac:dyDescent="0.25">
      <c r="A2453" s="2">
        <v>2448</v>
      </c>
      <c r="B2453" s="3" t="str">
        <f>"00131611"</f>
        <v>00131611</v>
      </c>
    </row>
    <row r="2454" spans="1:2" x14ac:dyDescent="0.25">
      <c r="A2454" s="2">
        <v>2449</v>
      </c>
      <c r="B2454" s="3" t="str">
        <f>"00131752"</f>
        <v>00131752</v>
      </c>
    </row>
    <row r="2455" spans="1:2" x14ac:dyDescent="0.25">
      <c r="A2455" s="2">
        <v>2450</v>
      </c>
      <c r="B2455" s="3" t="str">
        <f>"00131821"</f>
        <v>00131821</v>
      </c>
    </row>
    <row r="2456" spans="1:2" x14ac:dyDescent="0.25">
      <c r="A2456" s="2">
        <v>2451</v>
      </c>
      <c r="B2456" s="3" t="str">
        <f>"00131839"</f>
        <v>00131839</v>
      </c>
    </row>
    <row r="2457" spans="1:2" x14ac:dyDescent="0.25">
      <c r="A2457" s="2">
        <v>2452</v>
      </c>
      <c r="B2457" s="3" t="str">
        <f>"00131961"</f>
        <v>00131961</v>
      </c>
    </row>
    <row r="2458" spans="1:2" x14ac:dyDescent="0.25">
      <c r="A2458" s="2">
        <v>2453</v>
      </c>
      <c r="B2458" s="3" t="str">
        <f>"00132093"</f>
        <v>00132093</v>
      </c>
    </row>
    <row r="2459" spans="1:2" x14ac:dyDescent="0.25">
      <c r="A2459" s="2">
        <v>2454</v>
      </c>
      <c r="B2459" s="3" t="str">
        <f>"00132113"</f>
        <v>00132113</v>
      </c>
    </row>
    <row r="2460" spans="1:2" x14ac:dyDescent="0.25">
      <c r="A2460" s="2">
        <v>2455</v>
      </c>
      <c r="B2460" s="3" t="str">
        <f>"00132162"</f>
        <v>00132162</v>
      </c>
    </row>
    <row r="2461" spans="1:2" x14ac:dyDescent="0.25">
      <c r="A2461" s="2">
        <v>2456</v>
      </c>
      <c r="B2461" s="3" t="str">
        <f>"00132310"</f>
        <v>00132310</v>
      </c>
    </row>
    <row r="2462" spans="1:2" x14ac:dyDescent="0.25">
      <c r="A2462" s="2">
        <v>2457</v>
      </c>
      <c r="B2462" s="3" t="str">
        <f>"00132312"</f>
        <v>00132312</v>
      </c>
    </row>
    <row r="2463" spans="1:2" x14ac:dyDescent="0.25">
      <c r="A2463" s="2">
        <v>2458</v>
      </c>
      <c r="B2463" s="3" t="str">
        <f>"00132678"</f>
        <v>00132678</v>
      </c>
    </row>
    <row r="2464" spans="1:2" x14ac:dyDescent="0.25">
      <c r="A2464" s="2">
        <v>2459</v>
      </c>
      <c r="B2464" s="3" t="str">
        <f>"00132715"</f>
        <v>00132715</v>
      </c>
    </row>
    <row r="2465" spans="1:2" x14ac:dyDescent="0.25">
      <c r="A2465" s="2">
        <v>2460</v>
      </c>
      <c r="B2465" s="3" t="str">
        <f>"00132775"</f>
        <v>00132775</v>
      </c>
    </row>
    <row r="2466" spans="1:2" x14ac:dyDescent="0.25">
      <c r="A2466" s="2">
        <v>2461</v>
      </c>
      <c r="B2466" s="3" t="str">
        <f>"00132796"</f>
        <v>00132796</v>
      </c>
    </row>
    <row r="2467" spans="1:2" x14ac:dyDescent="0.25">
      <c r="A2467" s="2">
        <v>2462</v>
      </c>
      <c r="B2467" s="3" t="str">
        <f>"00132801"</f>
        <v>00132801</v>
      </c>
    </row>
    <row r="2468" spans="1:2" x14ac:dyDescent="0.25">
      <c r="A2468" s="2">
        <v>2463</v>
      </c>
      <c r="B2468" s="3" t="str">
        <f>"00132831"</f>
        <v>00132831</v>
      </c>
    </row>
    <row r="2469" spans="1:2" x14ac:dyDescent="0.25">
      <c r="A2469" s="2">
        <v>2464</v>
      </c>
      <c r="B2469" s="3" t="str">
        <f>"00132840"</f>
        <v>00132840</v>
      </c>
    </row>
    <row r="2470" spans="1:2" x14ac:dyDescent="0.25">
      <c r="A2470" s="2">
        <v>2465</v>
      </c>
      <c r="B2470" s="3" t="str">
        <f>"00132864"</f>
        <v>00132864</v>
      </c>
    </row>
    <row r="2471" spans="1:2" x14ac:dyDescent="0.25">
      <c r="A2471" s="2">
        <v>2466</v>
      </c>
      <c r="B2471" s="3" t="str">
        <f>"00132874"</f>
        <v>00132874</v>
      </c>
    </row>
    <row r="2472" spans="1:2" x14ac:dyDescent="0.25">
      <c r="A2472" s="2">
        <v>2467</v>
      </c>
      <c r="B2472" s="3" t="str">
        <f>"00132921"</f>
        <v>00132921</v>
      </c>
    </row>
    <row r="2473" spans="1:2" x14ac:dyDescent="0.25">
      <c r="A2473" s="2">
        <v>2468</v>
      </c>
      <c r="B2473" s="3" t="str">
        <f>"00132923"</f>
        <v>00132923</v>
      </c>
    </row>
    <row r="2474" spans="1:2" x14ac:dyDescent="0.25">
      <c r="A2474" s="2">
        <v>2469</v>
      </c>
      <c r="B2474" s="3" t="str">
        <f>"00133028"</f>
        <v>00133028</v>
      </c>
    </row>
    <row r="2475" spans="1:2" x14ac:dyDescent="0.25">
      <c r="A2475" s="2">
        <v>2470</v>
      </c>
      <c r="B2475" s="3" t="str">
        <f>"00133039"</f>
        <v>00133039</v>
      </c>
    </row>
    <row r="2476" spans="1:2" x14ac:dyDescent="0.25">
      <c r="A2476" s="2">
        <v>2471</v>
      </c>
      <c r="B2476" s="3" t="str">
        <f>"00133057"</f>
        <v>00133057</v>
      </c>
    </row>
    <row r="2477" spans="1:2" x14ac:dyDescent="0.25">
      <c r="A2477" s="2">
        <v>2472</v>
      </c>
      <c r="B2477" s="3" t="str">
        <f>"00133059"</f>
        <v>00133059</v>
      </c>
    </row>
    <row r="2478" spans="1:2" x14ac:dyDescent="0.25">
      <c r="A2478" s="2">
        <v>2473</v>
      </c>
      <c r="B2478" s="3" t="str">
        <f>"00133107"</f>
        <v>00133107</v>
      </c>
    </row>
    <row r="2479" spans="1:2" x14ac:dyDescent="0.25">
      <c r="A2479" s="2">
        <v>2474</v>
      </c>
      <c r="B2479" s="3" t="str">
        <f>"00133120"</f>
        <v>00133120</v>
      </c>
    </row>
    <row r="2480" spans="1:2" x14ac:dyDescent="0.25">
      <c r="A2480" s="2">
        <v>2475</v>
      </c>
      <c r="B2480" s="3" t="str">
        <f>"00134510"</f>
        <v>00134510</v>
      </c>
    </row>
    <row r="2481" spans="1:2" x14ac:dyDescent="0.25">
      <c r="A2481" s="2">
        <v>2476</v>
      </c>
      <c r="B2481" s="3" t="str">
        <f>"00134513"</f>
        <v>00134513</v>
      </c>
    </row>
    <row r="2482" spans="1:2" x14ac:dyDescent="0.25">
      <c r="A2482" s="2">
        <v>2477</v>
      </c>
      <c r="B2482" s="3" t="str">
        <f>"00134543"</f>
        <v>00134543</v>
      </c>
    </row>
    <row r="2483" spans="1:2" x14ac:dyDescent="0.25">
      <c r="A2483" s="2">
        <v>2478</v>
      </c>
      <c r="B2483" s="3" t="str">
        <f>"00134594"</f>
        <v>00134594</v>
      </c>
    </row>
    <row r="2484" spans="1:2" x14ac:dyDescent="0.25">
      <c r="A2484" s="2">
        <v>2479</v>
      </c>
      <c r="B2484" s="3" t="str">
        <f>"00134595"</f>
        <v>00134595</v>
      </c>
    </row>
    <row r="2485" spans="1:2" x14ac:dyDescent="0.25">
      <c r="A2485" s="2">
        <v>2480</v>
      </c>
      <c r="B2485" s="3" t="str">
        <f>"00134624"</f>
        <v>00134624</v>
      </c>
    </row>
    <row r="2486" spans="1:2" x14ac:dyDescent="0.25">
      <c r="A2486" s="2">
        <v>2481</v>
      </c>
      <c r="B2486" s="3" t="str">
        <f>"00134688"</f>
        <v>00134688</v>
      </c>
    </row>
    <row r="2487" spans="1:2" x14ac:dyDescent="0.25">
      <c r="A2487" s="2">
        <v>2482</v>
      </c>
      <c r="B2487" s="3" t="str">
        <f>"00134707"</f>
        <v>00134707</v>
      </c>
    </row>
    <row r="2488" spans="1:2" x14ac:dyDescent="0.25">
      <c r="A2488" s="2">
        <v>2483</v>
      </c>
      <c r="B2488" s="3" t="str">
        <f>"00134791"</f>
        <v>00134791</v>
      </c>
    </row>
    <row r="2489" spans="1:2" x14ac:dyDescent="0.25">
      <c r="A2489" s="2">
        <v>2484</v>
      </c>
      <c r="B2489" s="3" t="str">
        <f>"00134869"</f>
        <v>00134869</v>
      </c>
    </row>
    <row r="2490" spans="1:2" x14ac:dyDescent="0.25">
      <c r="A2490" s="2">
        <v>2485</v>
      </c>
      <c r="B2490" s="3" t="str">
        <f>"00134912"</f>
        <v>00134912</v>
      </c>
    </row>
    <row r="2491" spans="1:2" x14ac:dyDescent="0.25">
      <c r="A2491" s="2">
        <v>2486</v>
      </c>
      <c r="B2491" s="3" t="str">
        <f>"00134923"</f>
        <v>00134923</v>
      </c>
    </row>
    <row r="2492" spans="1:2" x14ac:dyDescent="0.25">
      <c r="A2492" s="2">
        <v>2487</v>
      </c>
      <c r="B2492" s="3" t="str">
        <f>"00134954"</f>
        <v>00134954</v>
      </c>
    </row>
    <row r="2493" spans="1:2" x14ac:dyDescent="0.25">
      <c r="A2493" s="2">
        <v>2488</v>
      </c>
      <c r="B2493" s="3" t="str">
        <f>"00135044"</f>
        <v>00135044</v>
      </c>
    </row>
    <row r="2494" spans="1:2" x14ac:dyDescent="0.25">
      <c r="A2494" s="2">
        <v>2489</v>
      </c>
      <c r="B2494" s="3" t="str">
        <f>"00135103"</f>
        <v>00135103</v>
      </c>
    </row>
    <row r="2495" spans="1:2" x14ac:dyDescent="0.25">
      <c r="A2495" s="2">
        <v>2490</v>
      </c>
      <c r="B2495" s="3" t="str">
        <f>"00135128"</f>
        <v>00135128</v>
      </c>
    </row>
    <row r="2496" spans="1:2" x14ac:dyDescent="0.25">
      <c r="A2496" s="2">
        <v>2491</v>
      </c>
      <c r="B2496" s="3" t="str">
        <f>"00135143"</f>
        <v>00135143</v>
      </c>
    </row>
    <row r="2497" spans="1:2" x14ac:dyDescent="0.25">
      <c r="A2497" s="2">
        <v>2492</v>
      </c>
      <c r="B2497" s="3" t="str">
        <f>"00135189"</f>
        <v>00135189</v>
      </c>
    </row>
    <row r="2498" spans="1:2" x14ac:dyDescent="0.25">
      <c r="A2498" s="2">
        <v>2493</v>
      </c>
      <c r="B2498" s="3" t="str">
        <f>"00135201"</f>
        <v>00135201</v>
      </c>
    </row>
    <row r="2499" spans="1:2" x14ac:dyDescent="0.25">
      <c r="A2499" s="2">
        <v>2494</v>
      </c>
      <c r="B2499" s="3" t="str">
        <f>"00135290"</f>
        <v>00135290</v>
      </c>
    </row>
    <row r="2500" spans="1:2" x14ac:dyDescent="0.25">
      <c r="A2500" s="2">
        <v>2495</v>
      </c>
      <c r="B2500" s="3" t="str">
        <f>"00135379"</f>
        <v>00135379</v>
      </c>
    </row>
    <row r="2501" spans="1:2" x14ac:dyDescent="0.25">
      <c r="A2501" s="2">
        <v>2496</v>
      </c>
      <c r="B2501" s="3" t="str">
        <f>"00135381"</f>
        <v>00135381</v>
      </c>
    </row>
    <row r="2502" spans="1:2" x14ac:dyDescent="0.25">
      <c r="A2502" s="2">
        <v>2497</v>
      </c>
      <c r="B2502" s="3" t="str">
        <f>"00135385"</f>
        <v>00135385</v>
      </c>
    </row>
    <row r="2503" spans="1:2" x14ac:dyDescent="0.25">
      <c r="A2503" s="2">
        <v>2498</v>
      </c>
      <c r="B2503" s="3" t="str">
        <f>"00135389"</f>
        <v>00135389</v>
      </c>
    </row>
    <row r="2504" spans="1:2" x14ac:dyDescent="0.25">
      <c r="A2504" s="2">
        <v>2499</v>
      </c>
      <c r="B2504" s="3" t="str">
        <f>"00135458"</f>
        <v>00135458</v>
      </c>
    </row>
    <row r="2505" spans="1:2" x14ac:dyDescent="0.25">
      <c r="A2505" s="2">
        <v>2500</v>
      </c>
      <c r="B2505" s="3" t="str">
        <f>"00135468"</f>
        <v>00135468</v>
      </c>
    </row>
    <row r="2506" spans="1:2" x14ac:dyDescent="0.25">
      <c r="A2506" s="2">
        <v>2501</v>
      </c>
      <c r="B2506" s="3" t="str">
        <f>"00135491"</f>
        <v>00135491</v>
      </c>
    </row>
    <row r="2507" spans="1:2" x14ac:dyDescent="0.25">
      <c r="A2507" s="2">
        <v>2502</v>
      </c>
      <c r="B2507" s="3" t="str">
        <f>"00135540"</f>
        <v>00135540</v>
      </c>
    </row>
    <row r="2508" spans="1:2" x14ac:dyDescent="0.25">
      <c r="A2508" s="2">
        <v>2503</v>
      </c>
      <c r="B2508" s="3" t="str">
        <f>"00135553"</f>
        <v>00135553</v>
      </c>
    </row>
    <row r="2509" spans="1:2" x14ac:dyDescent="0.25">
      <c r="A2509" s="2">
        <v>2504</v>
      </c>
      <c r="B2509" s="3" t="str">
        <f>"00135564"</f>
        <v>00135564</v>
      </c>
    </row>
    <row r="2510" spans="1:2" x14ac:dyDescent="0.25">
      <c r="A2510" s="2">
        <v>2505</v>
      </c>
      <c r="B2510" s="3" t="str">
        <f>"00135608"</f>
        <v>00135608</v>
      </c>
    </row>
    <row r="2511" spans="1:2" x14ac:dyDescent="0.25">
      <c r="A2511" s="2">
        <v>2506</v>
      </c>
      <c r="B2511" s="3" t="str">
        <f>"00135609"</f>
        <v>00135609</v>
      </c>
    </row>
    <row r="2512" spans="1:2" x14ac:dyDescent="0.25">
      <c r="A2512" s="2">
        <v>2507</v>
      </c>
      <c r="B2512" s="3" t="str">
        <f>"00136874"</f>
        <v>00136874</v>
      </c>
    </row>
    <row r="2513" spans="1:2" x14ac:dyDescent="0.25">
      <c r="A2513" s="2">
        <v>2508</v>
      </c>
      <c r="B2513" s="3" t="str">
        <f>"00136892"</f>
        <v>00136892</v>
      </c>
    </row>
    <row r="2514" spans="1:2" x14ac:dyDescent="0.25">
      <c r="A2514" s="2">
        <v>2509</v>
      </c>
      <c r="B2514" s="3" t="str">
        <f>"00136924"</f>
        <v>00136924</v>
      </c>
    </row>
    <row r="2515" spans="1:2" x14ac:dyDescent="0.25">
      <c r="A2515" s="2">
        <v>2510</v>
      </c>
      <c r="B2515" s="3" t="str">
        <f>"00136936"</f>
        <v>00136936</v>
      </c>
    </row>
    <row r="2516" spans="1:2" x14ac:dyDescent="0.25">
      <c r="A2516" s="2">
        <v>2511</v>
      </c>
      <c r="B2516" s="3" t="str">
        <f>"00136947"</f>
        <v>00136947</v>
      </c>
    </row>
    <row r="2517" spans="1:2" x14ac:dyDescent="0.25">
      <c r="A2517" s="2">
        <v>2512</v>
      </c>
      <c r="B2517" s="3" t="str">
        <f>"00136983"</f>
        <v>00136983</v>
      </c>
    </row>
    <row r="2518" spans="1:2" x14ac:dyDescent="0.25">
      <c r="A2518" s="2">
        <v>2513</v>
      </c>
      <c r="B2518" s="3" t="str">
        <f>"00137027"</f>
        <v>00137027</v>
      </c>
    </row>
    <row r="2519" spans="1:2" x14ac:dyDescent="0.25">
      <c r="A2519" s="2">
        <v>2514</v>
      </c>
      <c r="B2519" s="3" t="str">
        <f>"00137058"</f>
        <v>00137058</v>
      </c>
    </row>
    <row r="2520" spans="1:2" x14ac:dyDescent="0.25">
      <c r="A2520" s="2">
        <v>2515</v>
      </c>
      <c r="B2520" s="3" t="str">
        <f>"00137144"</f>
        <v>00137144</v>
      </c>
    </row>
    <row r="2521" spans="1:2" x14ac:dyDescent="0.25">
      <c r="A2521" s="2">
        <v>2516</v>
      </c>
      <c r="B2521" s="3" t="str">
        <f>"00137177"</f>
        <v>00137177</v>
      </c>
    </row>
    <row r="2522" spans="1:2" x14ac:dyDescent="0.25">
      <c r="A2522" s="2">
        <v>2517</v>
      </c>
      <c r="B2522" s="3" t="str">
        <f>"00137192"</f>
        <v>00137192</v>
      </c>
    </row>
    <row r="2523" spans="1:2" x14ac:dyDescent="0.25">
      <c r="A2523" s="2">
        <v>2518</v>
      </c>
      <c r="B2523" s="3" t="str">
        <f>"00137243"</f>
        <v>00137243</v>
      </c>
    </row>
    <row r="2524" spans="1:2" x14ac:dyDescent="0.25">
      <c r="A2524" s="2">
        <v>2519</v>
      </c>
      <c r="B2524" s="3" t="str">
        <f>"00137253"</f>
        <v>00137253</v>
      </c>
    </row>
    <row r="2525" spans="1:2" x14ac:dyDescent="0.25">
      <c r="A2525" s="2">
        <v>2520</v>
      </c>
      <c r="B2525" s="3" t="str">
        <f>"00137314"</f>
        <v>00137314</v>
      </c>
    </row>
    <row r="2526" spans="1:2" x14ac:dyDescent="0.25">
      <c r="A2526" s="2">
        <v>2521</v>
      </c>
      <c r="B2526" s="3" t="str">
        <f>"00137322"</f>
        <v>00137322</v>
      </c>
    </row>
    <row r="2527" spans="1:2" x14ac:dyDescent="0.25">
      <c r="A2527" s="2">
        <v>2522</v>
      </c>
      <c r="B2527" s="3" t="str">
        <f>"00137359"</f>
        <v>00137359</v>
      </c>
    </row>
    <row r="2528" spans="1:2" x14ac:dyDescent="0.25">
      <c r="A2528" s="2">
        <v>2523</v>
      </c>
      <c r="B2528" s="3" t="str">
        <f>"00137437"</f>
        <v>00137437</v>
      </c>
    </row>
    <row r="2529" spans="1:2" x14ac:dyDescent="0.25">
      <c r="A2529" s="2">
        <v>2524</v>
      </c>
      <c r="B2529" s="3" t="str">
        <f>"00137559"</f>
        <v>00137559</v>
      </c>
    </row>
    <row r="2530" spans="1:2" x14ac:dyDescent="0.25">
      <c r="A2530" s="2">
        <v>2525</v>
      </c>
      <c r="B2530" s="3" t="str">
        <f>"00137607"</f>
        <v>00137607</v>
      </c>
    </row>
    <row r="2531" spans="1:2" x14ac:dyDescent="0.25">
      <c r="A2531" s="2">
        <v>2526</v>
      </c>
      <c r="B2531" s="3" t="str">
        <f>"00137622"</f>
        <v>00137622</v>
      </c>
    </row>
    <row r="2532" spans="1:2" x14ac:dyDescent="0.25">
      <c r="A2532" s="2">
        <v>2527</v>
      </c>
      <c r="B2532" s="3" t="str">
        <f>"00137674"</f>
        <v>00137674</v>
      </c>
    </row>
    <row r="2533" spans="1:2" x14ac:dyDescent="0.25">
      <c r="A2533" s="2">
        <v>2528</v>
      </c>
      <c r="B2533" s="3" t="str">
        <f>"00137802"</f>
        <v>00137802</v>
      </c>
    </row>
    <row r="2534" spans="1:2" x14ac:dyDescent="0.25">
      <c r="A2534" s="2">
        <v>2529</v>
      </c>
      <c r="B2534" s="3" t="str">
        <f>"00137810"</f>
        <v>00137810</v>
      </c>
    </row>
    <row r="2535" spans="1:2" x14ac:dyDescent="0.25">
      <c r="A2535" s="2">
        <v>2530</v>
      </c>
      <c r="B2535" s="3" t="str">
        <f>"00137815"</f>
        <v>00137815</v>
      </c>
    </row>
    <row r="2536" spans="1:2" x14ac:dyDescent="0.25">
      <c r="A2536" s="2">
        <v>2531</v>
      </c>
      <c r="B2536" s="3" t="str">
        <f>"00137836"</f>
        <v>00137836</v>
      </c>
    </row>
    <row r="2537" spans="1:2" x14ac:dyDescent="0.25">
      <c r="A2537" s="2">
        <v>2532</v>
      </c>
      <c r="B2537" s="3" t="str">
        <f>"00137852"</f>
        <v>00137852</v>
      </c>
    </row>
    <row r="2538" spans="1:2" x14ac:dyDescent="0.25">
      <c r="A2538" s="2">
        <v>2533</v>
      </c>
      <c r="B2538" s="3" t="str">
        <f>"00137854"</f>
        <v>00137854</v>
      </c>
    </row>
    <row r="2539" spans="1:2" x14ac:dyDescent="0.25">
      <c r="A2539" s="2">
        <v>2534</v>
      </c>
      <c r="B2539" s="3" t="str">
        <f>"00137855"</f>
        <v>00137855</v>
      </c>
    </row>
    <row r="2540" spans="1:2" x14ac:dyDescent="0.25">
      <c r="A2540" s="2">
        <v>2535</v>
      </c>
      <c r="B2540" s="3" t="str">
        <f>"00137973"</f>
        <v>00137973</v>
      </c>
    </row>
    <row r="2541" spans="1:2" x14ac:dyDescent="0.25">
      <c r="A2541" s="2">
        <v>2536</v>
      </c>
      <c r="B2541" s="3" t="str">
        <f>"00137995"</f>
        <v>00137995</v>
      </c>
    </row>
    <row r="2542" spans="1:2" x14ac:dyDescent="0.25">
      <c r="A2542" s="2">
        <v>2537</v>
      </c>
      <c r="B2542" s="3" t="str">
        <f>"00137997"</f>
        <v>00137997</v>
      </c>
    </row>
    <row r="2543" spans="1:2" x14ac:dyDescent="0.25">
      <c r="A2543" s="2">
        <v>2538</v>
      </c>
      <c r="B2543" s="3" t="str">
        <f>"00138030"</f>
        <v>00138030</v>
      </c>
    </row>
    <row r="2544" spans="1:2" x14ac:dyDescent="0.25">
      <c r="A2544" s="2">
        <v>2539</v>
      </c>
      <c r="B2544" s="3" t="str">
        <f>"00138119"</f>
        <v>00138119</v>
      </c>
    </row>
    <row r="2545" spans="1:2" x14ac:dyDescent="0.25">
      <c r="A2545" s="2">
        <v>2540</v>
      </c>
      <c r="B2545" s="3" t="str">
        <f>"00138156"</f>
        <v>00138156</v>
      </c>
    </row>
    <row r="2546" spans="1:2" x14ac:dyDescent="0.25">
      <c r="A2546" s="2">
        <v>2541</v>
      </c>
      <c r="B2546" s="3" t="str">
        <f>"00138246"</f>
        <v>00138246</v>
      </c>
    </row>
    <row r="2547" spans="1:2" x14ac:dyDescent="0.25">
      <c r="A2547" s="2">
        <v>2542</v>
      </c>
      <c r="B2547" s="3" t="str">
        <f>"00138277"</f>
        <v>00138277</v>
      </c>
    </row>
    <row r="2548" spans="1:2" x14ac:dyDescent="0.25">
      <c r="A2548" s="2">
        <v>2543</v>
      </c>
      <c r="B2548" s="3" t="str">
        <f>"00138282"</f>
        <v>00138282</v>
      </c>
    </row>
    <row r="2549" spans="1:2" x14ac:dyDescent="0.25">
      <c r="A2549" s="2">
        <v>2544</v>
      </c>
      <c r="B2549" s="3" t="str">
        <f>"00138333"</f>
        <v>00138333</v>
      </c>
    </row>
    <row r="2550" spans="1:2" x14ac:dyDescent="0.25">
      <c r="A2550" s="2">
        <v>2545</v>
      </c>
      <c r="B2550" s="3" t="str">
        <f>"00138350"</f>
        <v>00138350</v>
      </c>
    </row>
    <row r="2551" spans="1:2" x14ac:dyDescent="0.25">
      <c r="A2551" s="2">
        <v>2546</v>
      </c>
      <c r="B2551" s="3" t="str">
        <f>"00138351"</f>
        <v>00138351</v>
      </c>
    </row>
    <row r="2552" spans="1:2" x14ac:dyDescent="0.25">
      <c r="A2552" s="2">
        <v>2547</v>
      </c>
      <c r="B2552" s="3" t="str">
        <f>"00138372"</f>
        <v>00138372</v>
      </c>
    </row>
    <row r="2553" spans="1:2" x14ac:dyDescent="0.25">
      <c r="A2553" s="2">
        <v>2548</v>
      </c>
      <c r="B2553" s="3" t="str">
        <f>"00138431"</f>
        <v>00138431</v>
      </c>
    </row>
    <row r="2554" spans="1:2" x14ac:dyDescent="0.25">
      <c r="A2554" s="2">
        <v>2549</v>
      </c>
      <c r="B2554" s="3" t="str">
        <f>"00138442"</f>
        <v>00138442</v>
      </c>
    </row>
    <row r="2555" spans="1:2" x14ac:dyDescent="0.25">
      <c r="A2555" s="2">
        <v>2550</v>
      </c>
      <c r="B2555" s="3" t="str">
        <f>"00138444"</f>
        <v>00138444</v>
      </c>
    </row>
    <row r="2556" spans="1:2" x14ac:dyDescent="0.25">
      <c r="A2556" s="2">
        <v>2551</v>
      </c>
      <c r="B2556" s="3" t="str">
        <f>"00138455"</f>
        <v>00138455</v>
      </c>
    </row>
    <row r="2557" spans="1:2" x14ac:dyDescent="0.25">
      <c r="A2557" s="2">
        <v>2552</v>
      </c>
      <c r="B2557" s="3" t="str">
        <f>"00138471"</f>
        <v>00138471</v>
      </c>
    </row>
    <row r="2558" spans="1:2" x14ac:dyDescent="0.25">
      <c r="A2558" s="2">
        <v>2553</v>
      </c>
      <c r="B2558" s="3" t="str">
        <f>"00138485"</f>
        <v>00138485</v>
      </c>
    </row>
    <row r="2559" spans="1:2" x14ac:dyDescent="0.25">
      <c r="A2559" s="2">
        <v>2554</v>
      </c>
      <c r="B2559" s="3" t="str">
        <f>"00138489"</f>
        <v>00138489</v>
      </c>
    </row>
    <row r="2560" spans="1:2" x14ac:dyDescent="0.25">
      <c r="A2560" s="2">
        <v>2555</v>
      </c>
      <c r="B2560" s="3" t="str">
        <f>"00138504"</f>
        <v>00138504</v>
      </c>
    </row>
    <row r="2561" spans="1:2" x14ac:dyDescent="0.25">
      <c r="A2561" s="2">
        <v>2556</v>
      </c>
      <c r="B2561" s="3" t="str">
        <f>"00138613"</f>
        <v>00138613</v>
      </c>
    </row>
    <row r="2562" spans="1:2" x14ac:dyDescent="0.25">
      <c r="A2562" s="2">
        <v>2557</v>
      </c>
      <c r="B2562" s="3" t="str">
        <f>"00138626"</f>
        <v>00138626</v>
      </c>
    </row>
    <row r="2563" spans="1:2" x14ac:dyDescent="0.25">
      <c r="A2563" s="2">
        <v>2558</v>
      </c>
      <c r="B2563" s="3" t="str">
        <f>"00138633"</f>
        <v>00138633</v>
      </c>
    </row>
    <row r="2564" spans="1:2" x14ac:dyDescent="0.25">
      <c r="A2564" s="2">
        <v>2559</v>
      </c>
      <c r="B2564" s="3" t="str">
        <f>"00138647"</f>
        <v>00138647</v>
      </c>
    </row>
    <row r="2565" spans="1:2" x14ac:dyDescent="0.25">
      <c r="A2565" s="2">
        <v>2560</v>
      </c>
      <c r="B2565" s="3" t="str">
        <f>"00139282"</f>
        <v>00139282</v>
      </c>
    </row>
    <row r="2566" spans="1:2" x14ac:dyDescent="0.25">
      <c r="A2566" s="2">
        <v>2561</v>
      </c>
      <c r="B2566" s="3" t="str">
        <f>"00139317"</f>
        <v>00139317</v>
      </c>
    </row>
    <row r="2567" spans="1:2" x14ac:dyDescent="0.25">
      <c r="A2567" s="2">
        <v>2562</v>
      </c>
      <c r="B2567" s="3" t="str">
        <f>"00139324"</f>
        <v>00139324</v>
      </c>
    </row>
    <row r="2568" spans="1:2" x14ac:dyDescent="0.25">
      <c r="A2568" s="2">
        <v>2563</v>
      </c>
      <c r="B2568" s="3" t="str">
        <f>"00139363"</f>
        <v>00139363</v>
      </c>
    </row>
    <row r="2569" spans="1:2" x14ac:dyDescent="0.25">
      <c r="A2569" s="2">
        <v>2564</v>
      </c>
      <c r="B2569" s="3" t="str">
        <f>"00139370"</f>
        <v>00139370</v>
      </c>
    </row>
    <row r="2570" spans="1:2" x14ac:dyDescent="0.25">
      <c r="A2570" s="2">
        <v>2565</v>
      </c>
      <c r="B2570" s="3" t="str">
        <f>"00139437"</f>
        <v>00139437</v>
      </c>
    </row>
    <row r="2571" spans="1:2" x14ac:dyDescent="0.25">
      <c r="A2571" s="2">
        <v>2566</v>
      </c>
      <c r="B2571" s="3" t="str">
        <f>"00139458"</f>
        <v>00139458</v>
      </c>
    </row>
    <row r="2572" spans="1:2" x14ac:dyDescent="0.25">
      <c r="A2572" s="2">
        <v>2567</v>
      </c>
      <c r="B2572" s="3" t="str">
        <f>"00139478"</f>
        <v>00139478</v>
      </c>
    </row>
    <row r="2573" spans="1:2" x14ac:dyDescent="0.25">
      <c r="A2573" s="2">
        <v>2568</v>
      </c>
      <c r="B2573" s="3" t="str">
        <f>"00139516"</f>
        <v>00139516</v>
      </c>
    </row>
    <row r="2574" spans="1:2" x14ac:dyDescent="0.25">
      <c r="A2574" s="2">
        <v>2569</v>
      </c>
      <c r="B2574" s="3" t="str">
        <f>"00139589"</f>
        <v>00139589</v>
      </c>
    </row>
    <row r="2575" spans="1:2" x14ac:dyDescent="0.25">
      <c r="A2575" s="2">
        <v>2570</v>
      </c>
      <c r="B2575" s="3" t="str">
        <f>"00139685"</f>
        <v>00139685</v>
      </c>
    </row>
    <row r="2576" spans="1:2" x14ac:dyDescent="0.25">
      <c r="A2576" s="2">
        <v>2571</v>
      </c>
      <c r="B2576" s="3" t="str">
        <f>"00139719"</f>
        <v>00139719</v>
      </c>
    </row>
    <row r="2577" spans="1:2" x14ac:dyDescent="0.25">
      <c r="A2577" s="2">
        <v>2572</v>
      </c>
      <c r="B2577" s="3" t="str">
        <f>"00139738"</f>
        <v>00139738</v>
      </c>
    </row>
    <row r="2578" spans="1:2" x14ac:dyDescent="0.25">
      <c r="A2578" s="2">
        <v>2573</v>
      </c>
      <c r="B2578" s="3" t="str">
        <f>"00139752"</f>
        <v>00139752</v>
      </c>
    </row>
    <row r="2579" spans="1:2" x14ac:dyDescent="0.25">
      <c r="A2579" s="2">
        <v>2574</v>
      </c>
      <c r="B2579" s="3" t="str">
        <f>"00139754"</f>
        <v>00139754</v>
      </c>
    </row>
    <row r="2580" spans="1:2" x14ac:dyDescent="0.25">
      <c r="A2580" s="2">
        <v>2575</v>
      </c>
      <c r="B2580" s="3" t="str">
        <f>"00139804"</f>
        <v>00139804</v>
      </c>
    </row>
    <row r="2581" spans="1:2" x14ac:dyDescent="0.25">
      <c r="A2581" s="2">
        <v>2576</v>
      </c>
      <c r="B2581" s="3" t="str">
        <f>"00139821"</f>
        <v>00139821</v>
      </c>
    </row>
    <row r="2582" spans="1:2" x14ac:dyDescent="0.25">
      <c r="A2582" s="2">
        <v>2577</v>
      </c>
      <c r="B2582" s="3" t="str">
        <f>"00139840"</f>
        <v>00139840</v>
      </c>
    </row>
    <row r="2583" spans="1:2" x14ac:dyDescent="0.25">
      <c r="A2583" s="2">
        <v>2578</v>
      </c>
      <c r="B2583" s="3" t="str">
        <f>"00139849"</f>
        <v>00139849</v>
      </c>
    </row>
    <row r="2584" spans="1:2" x14ac:dyDescent="0.25">
      <c r="A2584" s="2">
        <v>2579</v>
      </c>
      <c r="B2584" s="3" t="str">
        <f>"00139898"</f>
        <v>00139898</v>
      </c>
    </row>
    <row r="2585" spans="1:2" x14ac:dyDescent="0.25">
      <c r="A2585" s="2">
        <v>2580</v>
      </c>
      <c r="B2585" s="3" t="str">
        <f>"00139900"</f>
        <v>00139900</v>
      </c>
    </row>
    <row r="2586" spans="1:2" x14ac:dyDescent="0.25">
      <c r="A2586" s="2">
        <v>2581</v>
      </c>
      <c r="B2586" s="3" t="str">
        <f>"00139911"</f>
        <v>00139911</v>
      </c>
    </row>
    <row r="2587" spans="1:2" x14ac:dyDescent="0.25">
      <c r="A2587" s="2">
        <v>2582</v>
      </c>
      <c r="B2587" s="3" t="str">
        <f>"00139937"</f>
        <v>00139937</v>
      </c>
    </row>
    <row r="2588" spans="1:2" x14ac:dyDescent="0.25">
      <c r="A2588" s="2">
        <v>2583</v>
      </c>
      <c r="B2588" s="3" t="str">
        <f>"00139982"</f>
        <v>00139982</v>
      </c>
    </row>
    <row r="2589" spans="1:2" x14ac:dyDescent="0.25">
      <c r="A2589" s="2">
        <v>2584</v>
      </c>
      <c r="B2589" s="3" t="str">
        <f>"00139983"</f>
        <v>00139983</v>
      </c>
    </row>
    <row r="2590" spans="1:2" x14ac:dyDescent="0.25">
      <c r="A2590" s="2">
        <v>2585</v>
      </c>
      <c r="B2590" s="3" t="str">
        <f>"00140012"</f>
        <v>00140012</v>
      </c>
    </row>
    <row r="2591" spans="1:2" x14ac:dyDescent="0.25">
      <c r="A2591" s="2">
        <v>2586</v>
      </c>
      <c r="B2591" s="3" t="str">
        <f>"00140019"</f>
        <v>00140019</v>
      </c>
    </row>
    <row r="2592" spans="1:2" x14ac:dyDescent="0.25">
      <c r="A2592" s="2">
        <v>2587</v>
      </c>
      <c r="B2592" s="3" t="str">
        <f>"00140042"</f>
        <v>00140042</v>
      </c>
    </row>
    <row r="2593" spans="1:2" x14ac:dyDescent="0.25">
      <c r="A2593" s="2">
        <v>2588</v>
      </c>
      <c r="B2593" s="3" t="str">
        <f>"00140044"</f>
        <v>00140044</v>
      </c>
    </row>
    <row r="2594" spans="1:2" x14ac:dyDescent="0.25">
      <c r="A2594" s="2">
        <v>2589</v>
      </c>
      <c r="B2594" s="3" t="str">
        <f>"00140120"</f>
        <v>00140120</v>
      </c>
    </row>
    <row r="2595" spans="1:2" x14ac:dyDescent="0.25">
      <c r="A2595" s="2">
        <v>2590</v>
      </c>
      <c r="B2595" s="3" t="str">
        <f>"00140140"</f>
        <v>00140140</v>
      </c>
    </row>
    <row r="2596" spans="1:2" x14ac:dyDescent="0.25">
      <c r="A2596" s="2">
        <v>2591</v>
      </c>
      <c r="B2596" s="3" t="str">
        <f>"00140158"</f>
        <v>00140158</v>
      </c>
    </row>
    <row r="2597" spans="1:2" x14ac:dyDescent="0.25">
      <c r="A2597" s="2">
        <v>2592</v>
      </c>
      <c r="B2597" s="3" t="str">
        <f>"00140204"</f>
        <v>00140204</v>
      </c>
    </row>
    <row r="2598" spans="1:2" x14ac:dyDescent="0.25">
      <c r="A2598" s="2">
        <v>2593</v>
      </c>
      <c r="B2598" s="3" t="str">
        <f>"00140276"</f>
        <v>00140276</v>
      </c>
    </row>
    <row r="2599" spans="1:2" x14ac:dyDescent="0.25">
      <c r="A2599" s="2">
        <v>2594</v>
      </c>
      <c r="B2599" s="3" t="str">
        <f>"00140301"</f>
        <v>00140301</v>
      </c>
    </row>
    <row r="2600" spans="1:2" x14ac:dyDescent="0.25">
      <c r="A2600" s="2">
        <v>2595</v>
      </c>
      <c r="B2600" s="3" t="str">
        <f>"00140303"</f>
        <v>00140303</v>
      </c>
    </row>
    <row r="2601" spans="1:2" x14ac:dyDescent="0.25">
      <c r="A2601" s="2">
        <v>2596</v>
      </c>
      <c r="B2601" s="3" t="str">
        <f>"00140309"</f>
        <v>00140309</v>
      </c>
    </row>
    <row r="2602" spans="1:2" x14ac:dyDescent="0.25">
      <c r="A2602" s="2">
        <v>2597</v>
      </c>
      <c r="B2602" s="3" t="str">
        <f>"00140324"</f>
        <v>00140324</v>
      </c>
    </row>
    <row r="2603" spans="1:2" x14ac:dyDescent="0.25">
      <c r="A2603" s="2">
        <v>2598</v>
      </c>
      <c r="B2603" s="3" t="str">
        <f>"00140334"</f>
        <v>00140334</v>
      </c>
    </row>
    <row r="2604" spans="1:2" x14ac:dyDescent="0.25">
      <c r="A2604" s="2">
        <v>2599</v>
      </c>
      <c r="B2604" s="3" t="str">
        <f>"00140376"</f>
        <v>00140376</v>
      </c>
    </row>
    <row r="2605" spans="1:2" x14ac:dyDescent="0.25">
      <c r="A2605" s="2">
        <v>2600</v>
      </c>
      <c r="B2605" s="3" t="str">
        <f>"00140379"</f>
        <v>00140379</v>
      </c>
    </row>
    <row r="2606" spans="1:2" x14ac:dyDescent="0.25">
      <c r="A2606" s="2">
        <v>2601</v>
      </c>
      <c r="B2606" s="3" t="str">
        <f>"00140402"</f>
        <v>00140402</v>
      </c>
    </row>
    <row r="2607" spans="1:2" x14ac:dyDescent="0.25">
      <c r="A2607" s="2">
        <v>2602</v>
      </c>
      <c r="B2607" s="3" t="str">
        <f>"00140406"</f>
        <v>00140406</v>
      </c>
    </row>
    <row r="2608" spans="1:2" x14ac:dyDescent="0.25">
      <c r="A2608" s="2">
        <v>2603</v>
      </c>
      <c r="B2608" s="3" t="str">
        <f>"00140410"</f>
        <v>00140410</v>
      </c>
    </row>
    <row r="2609" spans="1:2" x14ac:dyDescent="0.25">
      <c r="A2609" s="2">
        <v>2604</v>
      </c>
      <c r="B2609" s="3" t="str">
        <f>"00140455"</f>
        <v>00140455</v>
      </c>
    </row>
    <row r="2610" spans="1:2" x14ac:dyDescent="0.25">
      <c r="A2610" s="2">
        <v>2605</v>
      </c>
      <c r="B2610" s="3" t="str">
        <f>"00140465"</f>
        <v>00140465</v>
      </c>
    </row>
    <row r="2611" spans="1:2" x14ac:dyDescent="0.25">
      <c r="A2611" s="2">
        <v>2606</v>
      </c>
      <c r="B2611" s="3" t="str">
        <f>"00140478"</f>
        <v>00140478</v>
      </c>
    </row>
    <row r="2612" spans="1:2" x14ac:dyDescent="0.25">
      <c r="A2612" s="2">
        <v>2607</v>
      </c>
      <c r="B2612" s="3" t="str">
        <f>"00140484"</f>
        <v>00140484</v>
      </c>
    </row>
    <row r="2613" spans="1:2" x14ac:dyDescent="0.25">
      <c r="A2613" s="2">
        <v>2608</v>
      </c>
      <c r="B2613" s="3" t="str">
        <f>"00140503"</f>
        <v>00140503</v>
      </c>
    </row>
    <row r="2614" spans="1:2" x14ac:dyDescent="0.25">
      <c r="A2614" s="2">
        <v>2609</v>
      </c>
      <c r="B2614" s="3" t="str">
        <f>"00140509"</f>
        <v>00140509</v>
      </c>
    </row>
    <row r="2615" spans="1:2" x14ac:dyDescent="0.25">
      <c r="A2615" s="2">
        <v>2610</v>
      </c>
      <c r="B2615" s="3" t="str">
        <f>"00140516"</f>
        <v>00140516</v>
      </c>
    </row>
    <row r="2616" spans="1:2" x14ac:dyDescent="0.25">
      <c r="A2616" s="2">
        <v>2611</v>
      </c>
      <c r="B2616" s="3" t="str">
        <f>"00140563"</f>
        <v>00140563</v>
      </c>
    </row>
    <row r="2617" spans="1:2" x14ac:dyDescent="0.25">
      <c r="A2617" s="2">
        <v>2612</v>
      </c>
      <c r="B2617" s="3" t="str">
        <f>"00140566"</f>
        <v>00140566</v>
      </c>
    </row>
    <row r="2618" spans="1:2" x14ac:dyDescent="0.25">
      <c r="A2618" s="2">
        <v>2613</v>
      </c>
      <c r="B2618" s="3" t="str">
        <f>"00140571"</f>
        <v>00140571</v>
      </c>
    </row>
    <row r="2619" spans="1:2" x14ac:dyDescent="0.25">
      <c r="A2619" s="2">
        <v>2614</v>
      </c>
      <c r="B2619" s="3" t="str">
        <f>"00140622"</f>
        <v>00140622</v>
      </c>
    </row>
    <row r="2620" spans="1:2" x14ac:dyDescent="0.25">
      <c r="A2620" s="2">
        <v>2615</v>
      </c>
      <c r="B2620" s="3" t="str">
        <f>"00140788"</f>
        <v>00140788</v>
      </c>
    </row>
    <row r="2621" spans="1:2" x14ac:dyDescent="0.25">
      <c r="A2621" s="2">
        <v>2616</v>
      </c>
      <c r="B2621" s="3" t="str">
        <f>"00140790"</f>
        <v>00140790</v>
      </c>
    </row>
    <row r="2622" spans="1:2" x14ac:dyDescent="0.25">
      <c r="A2622" s="2">
        <v>2617</v>
      </c>
      <c r="B2622" s="3" t="str">
        <f>"00140796"</f>
        <v>00140796</v>
      </c>
    </row>
    <row r="2623" spans="1:2" x14ac:dyDescent="0.25">
      <c r="A2623" s="2">
        <v>2618</v>
      </c>
      <c r="B2623" s="3" t="str">
        <f>"00140886"</f>
        <v>00140886</v>
      </c>
    </row>
    <row r="2624" spans="1:2" x14ac:dyDescent="0.25">
      <c r="A2624" s="2">
        <v>2619</v>
      </c>
      <c r="B2624" s="3" t="str">
        <f>"00140895"</f>
        <v>00140895</v>
      </c>
    </row>
    <row r="2625" spans="1:2" x14ac:dyDescent="0.25">
      <c r="A2625" s="2">
        <v>2620</v>
      </c>
      <c r="B2625" s="3" t="str">
        <f>"00140912"</f>
        <v>00140912</v>
      </c>
    </row>
    <row r="2626" spans="1:2" x14ac:dyDescent="0.25">
      <c r="A2626" s="2">
        <v>2621</v>
      </c>
      <c r="B2626" s="3" t="str">
        <f>"00140961"</f>
        <v>00140961</v>
      </c>
    </row>
    <row r="2627" spans="1:2" x14ac:dyDescent="0.25">
      <c r="A2627" s="2">
        <v>2622</v>
      </c>
      <c r="B2627" s="3" t="str">
        <f>"00140971"</f>
        <v>00140971</v>
      </c>
    </row>
    <row r="2628" spans="1:2" x14ac:dyDescent="0.25">
      <c r="A2628" s="2">
        <v>2623</v>
      </c>
      <c r="B2628" s="3" t="str">
        <f>"00140989"</f>
        <v>00140989</v>
      </c>
    </row>
    <row r="2629" spans="1:2" x14ac:dyDescent="0.25">
      <c r="A2629" s="2">
        <v>2624</v>
      </c>
      <c r="B2629" s="3" t="str">
        <f>"00140991"</f>
        <v>00140991</v>
      </c>
    </row>
    <row r="2630" spans="1:2" x14ac:dyDescent="0.25">
      <c r="A2630" s="2">
        <v>2625</v>
      </c>
      <c r="B2630" s="3" t="str">
        <f>"00141025"</f>
        <v>00141025</v>
      </c>
    </row>
    <row r="2631" spans="1:2" x14ac:dyDescent="0.25">
      <c r="A2631" s="2">
        <v>2626</v>
      </c>
      <c r="B2631" s="3" t="str">
        <f>"00141048"</f>
        <v>00141048</v>
      </c>
    </row>
    <row r="2632" spans="1:2" x14ac:dyDescent="0.25">
      <c r="A2632" s="2">
        <v>2627</v>
      </c>
      <c r="B2632" s="3" t="str">
        <f>"00141066"</f>
        <v>00141066</v>
      </c>
    </row>
    <row r="2633" spans="1:2" x14ac:dyDescent="0.25">
      <c r="A2633" s="2">
        <v>2628</v>
      </c>
      <c r="B2633" s="3" t="str">
        <f>"00141079"</f>
        <v>00141079</v>
      </c>
    </row>
    <row r="2634" spans="1:2" x14ac:dyDescent="0.25">
      <c r="A2634" s="2">
        <v>2629</v>
      </c>
      <c r="B2634" s="3" t="str">
        <f>"00141080"</f>
        <v>00141080</v>
      </c>
    </row>
    <row r="2635" spans="1:2" x14ac:dyDescent="0.25">
      <c r="A2635" s="2">
        <v>2630</v>
      </c>
      <c r="B2635" s="3" t="str">
        <f>"00141091"</f>
        <v>00141091</v>
      </c>
    </row>
    <row r="2636" spans="1:2" x14ac:dyDescent="0.25">
      <c r="A2636" s="2">
        <v>2631</v>
      </c>
      <c r="B2636" s="3" t="str">
        <f>"00141132"</f>
        <v>00141132</v>
      </c>
    </row>
    <row r="2637" spans="1:2" x14ac:dyDescent="0.25">
      <c r="A2637" s="2">
        <v>2632</v>
      </c>
      <c r="B2637" s="3" t="str">
        <f>"00141158"</f>
        <v>00141158</v>
      </c>
    </row>
    <row r="2638" spans="1:2" x14ac:dyDescent="0.25">
      <c r="A2638" s="2">
        <v>2633</v>
      </c>
      <c r="B2638" s="3" t="str">
        <f>"00141165"</f>
        <v>00141165</v>
      </c>
    </row>
    <row r="2639" spans="1:2" x14ac:dyDescent="0.25">
      <c r="A2639" s="2">
        <v>2634</v>
      </c>
      <c r="B2639" s="3" t="str">
        <f>"00141171"</f>
        <v>00141171</v>
      </c>
    </row>
    <row r="2640" spans="1:2" x14ac:dyDescent="0.25">
      <c r="A2640" s="2">
        <v>2635</v>
      </c>
      <c r="B2640" s="3" t="str">
        <f>"00141172"</f>
        <v>00141172</v>
      </c>
    </row>
    <row r="2641" spans="1:2" x14ac:dyDescent="0.25">
      <c r="A2641" s="2">
        <v>2636</v>
      </c>
      <c r="B2641" s="3" t="str">
        <f>"00141184"</f>
        <v>00141184</v>
      </c>
    </row>
    <row r="2642" spans="1:2" x14ac:dyDescent="0.25">
      <c r="A2642" s="2">
        <v>2637</v>
      </c>
      <c r="B2642" s="3" t="str">
        <f>"00141199"</f>
        <v>00141199</v>
      </c>
    </row>
    <row r="2643" spans="1:2" x14ac:dyDescent="0.25">
      <c r="A2643" s="2">
        <v>2638</v>
      </c>
      <c r="B2643" s="3" t="str">
        <f>"00141203"</f>
        <v>00141203</v>
      </c>
    </row>
    <row r="2644" spans="1:2" x14ac:dyDescent="0.25">
      <c r="A2644" s="2">
        <v>2639</v>
      </c>
      <c r="B2644" s="3" t="str">
        <f>"00141214"</f>
        <v>00141214</v>
      </c>
    </row>
    <row r="2645" spans="1:2" x14ac:dyDescent="0.25">
      <c r="A2645" s="2">
        <v>2640</v>
      </c>
      <c r="B2645" s="3" t="str">
        <f>"00141258"</f>
        <v>00141258</v>
      </c>
    </row>
    <row r="2646" spans="1:2" x14ac:dyDescent="0.25">
      <c r="A2646" s="2">
        <v>2641</v>
      </c>
      <c r="B2646" s="3" t="str">
        <f>"00141261"</f>
        <v>00141261</v>
      </c>
    </row>
    <row r="2647" spans="1:2" x14ac:dyDescent="0.25">
      <c r="A2647" s="2">
        <v>2642</v>
      </c>
      <c r="B2647" s="3" t="str">
        <f>"00141287"</f>
        <v>00141287</v>
      </c>
    </row>
    <row r="2648" spans="1:2" x14ac:dyDescent="0.25">
      <c r="A2648" s="2">
        <v>2643</v>
      </c>
      <c r="B2648" s="3" t="str">
        <f>"00141318"</f>
        <v>00141318</v>
      </c>
    </row>
    <row r="2649" spans="1:2" x14ac:dyDescent="0.25">
      <c r="A2649" s="2">
        <v>2644</v>
      </c>
      <c r="B2649" s="3" t="str">
        <f>"00141360"</f>
        <v>00141360</v>
      </c>
    </row>
    <row r="2650" spans="1:2" x14ac:dyDescent="0.25">
      <c r="A2650" s="2">
        <v>2645</v>
      </c>
      <c r="B2650" s="3" t="str">
        <f>"00141389"</f>
        <v>00141389</v>
      </c>
    </row>
    <row r="2651" spans="1:2" x14ac:dyDescent="0.25">
      <c r="A2651" s="2">
        <v>2646</v>
      </c>
      <c r="B2651" s="3" t="str">
        <f>"00141468"</f>
        <v>00141468</v>
      </c>
    </row>
    <row r="2652" spans="1:2" x14ac:dyDescent="0.25">
      <c r="A2652" s="2">
        <v>2647</v>
      </c>
      <c r="B2652" s="3" t="str">
        <f>"00141531"</f>
        <v>00141531</v>
      </c>
    </row>
    <row r="2653" spans="1:2" x14ac:dyDescent="0.25">
      <c r="A2653" s="2">
        <v>2648</v>
      </c>
      <c r="B2653" s="3" t="str">
        <f>"00141587"</f>
        <v>00141587</v>
      </c>
    </row>
    <row r="2654" spans="1:2" x14ac:dyDescent="0.25">
      <c r="A2654" s="2">
        <v>2649</v>
      </c>
      <c r="B2654" s="3" t="str">
        <f>"00141589"</f>
        <v>00141589</v>
      </c>
    </row>
    <row r="2655" spans="1:2" x14ac:dyDescent="0.25">
      <c r="A2655" s="2">
        <v>2650</v>
      </c>
      <c r="B2655" s="3" t="str">
        <f>"00141627"</f>
        <v>00141627</v>
      </c>
    </row>
    <row r="2656" spans="1:2" x14ac:dyDescent="0.25">
      <c r="A2656" s="2">
        <v>2651</v>
      </c>
      <c r="B2656" s="3" t="str">
        <f>"00141640"</f>
        <v>00141640</v>
      </c>
    </row>
    <row r="2657" spans="1:2" x14ac:dyDescent="0.25">
      <c r="A2657" s="2">
        <v>2652</v>
      </c>
      <c r="B2657" s="3" t="str">
        <f>"00141651"</f>
        <v>00141651</v>
      </c>
    </row>
    <row r="2658" spans="1:2" x14ac:dyDescent="0.25">
      <c r="A2658" s="2">
        <v>2653</v>
      </c>
      <c r="B2658" s="3" t="str">
        <f>"00141673"</f>
        <v>00141673</v>
      </c>
    </row>
    <row r="2659" spans="1:2" x14ac:dyDescent="0.25">
      <c r="A2659" s="2">
        <v>2654</v>
      </c>
      <c r="B2659" s="3" t="str">
        <f>"00141717"</f>
        <v>00141717</v>
      </c>
    </row>
    <row r="2660" spans="1:2" x14ac:dyDescent="0.25">
      <c r="A2660" s="2">
        <v>2655</v>
      </c>
      <c r="B2660" s="3" t="str">
        <f>"00141737"</f>
        <v>00141737</v>
      </c>
    </row>
    <row r="2661" spans="1:2" x14ac:dyDescent="0.25">
      <c r="A2661" s="2">
        <v>2656</v>
      </c>
      <c r="B2661" s="3" t="str">
        <f>"00141740"</f>
        <v>00141740</v>
      </c>
    </row>
    <row r="2662" spans="1:2" x14ac:dyDescent="0.25">
      <c r="A2662" s="2">
        <v>2657</v>
      </c>
      <c r="B2662" s="3" t="str">
        <f>"00141764"</f>
        <v>00141764</v>
      </c>
    </row>
    <row r="2663" spans="1:2" x14ac:dyDescent="0.25">
      <c r="A2663" s="2">
        <v>2658</v>
      </c>
      <c r="B2663" s="3" t="str">
        <f>"00141791"</f>
        <v>00141791</v>
      </c>
    </row>
    <row r="2664" spans="1:2" x14ac:dyDescent="0.25">
      <c r="A2664" s="2">
        <v>2659</v>
      </c>
      <c r="B2664" s="3" t="str">
        <f>"00141826"</f>
        <v>00141826</v>
      </c>
    </row>
    <row r="2665" spans="1:2" x14ac:dyDescent="0.25">
      <c r="A2665" s="2">
        <v>2660</v>
      </c>
      <c r="B2665" s="3" t="str">
        <f>"00141867"</f>
        <v>00141867</v>
      </c>
    </row>
    <row r="2666" spans="1:2" x14ac:dyDescent="0.25">
      <c r="A2666" s="2">
        <v>2661</v>
      </c>
      <c r="B2666" s="3" t="str">
        <f>"00141871"</f>
        <v>00141871</v>
      </c>
    </row>
    <row r="2667" spans="1:2" x14ac:dyDescent="0.25">
      <c r="A2667" s="2">
        <v>2662</v>
      </c>
      <c r="B2667" s="3" t="str">
        <f>"00141888"</f>
        <v>00141888</v>
      </c>
    </row>
    <row r="2668" spans="1:2" x14ac:dyDescent="0.25">
      <c r="A2668" s="2">
        <v>2663</v>
      </c>
      <c r="B2668" s="3" t="str">
        <f>"00141950"</f>
        <v>00141950</v>
      </c>
    </row>
    <row r="2669" spans="1:2" x14ac:dyDescent="0.25">
      <c r="A2669" s="2">
        <v>2664</v>
      </c>
      <c r="B2669" s="3" t="str">
        <f>"00141969"</f>
        <v>00141969</v>
      </c>
    </row>
    <row r="2670" spans="1:2" x14ac:dyDescent="0.25">
      <c r="A2670" s="2">
        <v>2665</v>
      </c>
      <c r="B2670" s="3" t="str">
        <f>"00142005"</f>
        <v>00142005</v>
      </c>
    </row>
    <row r="2671" spans="1:2" x14ac:dyDescent="0.25">
      <c r="A2671" s="2">
        <v>2666</v>
      </c>
      <c r="B2671" s="3" t="str">
        <f>"00142030"</f>
        <v>00142030</v>
      </c>
    </row>
    <row r="2672" spans="1:2" x14ac:dyDescent="0.25">
      <c r="A2672" s="2">
        <v>2667</v>
      </c>
      <c r="B2672" s="3" t="str">
        <f>"00142059"</f>
        <v>00142059</v>
      </c>
    </row>
    <row r="2673" spans="1:2" x14ac:dyDescent="0.25">
      <c r="A2673" s="2">
        <v>2668</v>
      </c>
      <c r="B2673" s="3" t="str">
        <f>"00142121"</f>
        <v>00142121</v>
      </c>
    </row>
    <row r="2674" spans="1:2" x14ac:dyDescent="0.25">
      <c r="A2674" s="2">
        <v>2669</v>
      </c>
      <c r="B2674" s="3" t="str">
        <f>"00142134"</f>
        <v>00142134</v>
      </c>
    </row>
    <row r="2675" spans="1:2" x14ac:dyDescent="0.25">
      <c r="A2675" s="2">
        <v>2670</v>
      </c>
      <c r="B2675" s="3" t="str">
        <f>"00142160"</f>
        <v>00142160</v>
      </c>
    </row>
    <row r="2676" spans="1:2" x14ac:dyDescent="0.25">
      <c r="A2676" s="2">
        <v>2671</v>
      </c>
      <c r="B2676" s="3" t="str">
        <f>"00142215"</f>
        <v>00142215</v>
      </c>
    </row>
    <row r="2677" spans="1:2" x14ac:dyDescent="0.25">
      <c r="A2677" s="2">
        <v>2672</v>
      </c>
      <c r="B2677" s="3" t="str">
        <f>"00142225"</f>
        <v>00142225</v>
      </c>
    </row>
    <row r="2678" spans="1:2" x14ac:dyDescent="0.25">
      <c r="A2678" s="2">
        <v>2673</v>
      </c>
      <c r="B2678" s="3" t="str">
        <f>"00142238"</f>
        <v>00142238</v>
      </c>
    </row>
    <row r="2679" spans="1:2" x14ac:dyDescent="0.25">
      <c r="A2679" s="2">
        <v>2674</v>
      </c>
      <c r="B2679" s="3" t="str">
        <f>"00142274"</f>
        <v>00142274</v>
      </c>
    </row>
    <row r="2680" spans="1:2" x14ac:dyDescent="0.25">
      <c r="A2680" s="2">
        <v>2675</v>
      </c>
      <c r="B2680" s="3" t="str">
        <f>"00142277"</f>
        <v>00142277</v>
      </c>
    </row>
    <row r="2681" spans="1:2" x14ac:dyDescent="0.25">
      <c r="A2681" s="2">
        <v>2676</v>
      </c>
      <c r="B2681" s="3" t="str">
        <f>"00142334"</f>
        <v>00142334</v>
      </c>
    </row>
    <row r="2682" spans="1:2" x14ac:dyDescent="0.25">
      <c r="A2682" s="2">
        <v>2677</v>
      </c>
      <c r="B2682" s="3" t="str">
        <f>"00142342"</f>
        <v>00142342</v>
      </c>
    </row>
    <row r="2683" spans="1:2" x14ac:dyDescent="0.25">
      <c r="A2683" s="2">
        <v>2678</v>
      </c>
      <c r="B2683" s="3" t="str">
        <f>"00142348"</f>
        <v>00142348</v>
      </c>
    </row>
    <row r="2684" spans="1:2" x14ac:dyDescent="0.25">
      <c r="A2684" s="2">
        <v>2679</v>
      </c>
      <c r="B2684" s="3" t="str">
        <f>"00142360"</f>
        <v>00142360</v>
      </c>
    </row>
    <row r="2685" spans="1:2" x14ac:dyDescent="0.25">
      <c r="A2685" s="2">
        <v>2680</v>
      </c>
      <c r="B2685" s="3" t="str">
        <f>"00142384"</f>
        <v>00142384</v>
      </c>
    </row>
    <row r="2686" spans="1:2" x14ac:dyDescent="0.25">
      <c r="A2686" s="2">
        <v>2681</v>
      </c>
      <c r="B2686" s="3" t="str">
        <f>"00142405"</f>
        <v>00142405</v>
      </c>
    </row>
    <row r="2687" spans="1:2" x14ac:dyDescent="0.25">
      <c r="A2687" s="2">
        <v>2682</v>
      </c>
      <c r="B2687" s="3" t="str">
        <f>"00142408"</f>
        <v>00142408</v>
      </c>
    </row>
    <row r="2688" spans="1:2" x14ac:dyDescent="0.25">
      <c r="A2688" s="2">
        <v>2683</v>
      </c>
      <c r="B2688" s="3" t="str">
        <f>"00142425"</f>
        <v>00142425</v>
      </c>
    </row>
    <row r="2689" spans="1:2" x14ac:dyDescent="0.25">
      <c r="A2689" s="2">
        <v>2684</v>
      </c>
      <c r="B2689" s="3" t="str">
        <f>"00142476"</f>
        <v>00142476</v>
      </c>
    </row>
    <row r="2690" spans="1:2" x14ac:dyDescent="0.25">
      <c r="A2690" s="2">
        <v>2685</v>
      </c>
      <c r="B2690" s="3" t="str">
        <f>"00142496"</f>
        <v>00142496</v>
      </c>
    </row>
    <row r="2691" spans="1:2" x14ac:dyDescent="0.25">
      <c r="A2691" s="2">
        <v>2686</v>
      </c>
      <c r="B2691" s="3" t="str">
        <f>"00142591"</f>
        <v>00142591</v>
      </c>
    </row>
    <row r="2692" spans="1:2" x14ac:dyDescent="0.25">
      <c r="A2692" s="2">
        <v>2687</v>
      </c>
      <c r="B2692" s="3" t="str">
        <f>"00142594"</f>
        <v>00142594</v>
      </c>
    </row>
    <row r="2693" spans="1:2" x14ac:dyDescent="0.25">
      <c r="A2693" s="2">
        <v>2688</v>
      </c>
      <c r="B2693" s="3" t="str">
        <f>"00142623"</f>
        <v>00142623</v>
      </c>
    </row>
    <row r="2694" spans="1:2" x14ac:dyDescent="0.25">
      <c r="A2694" s="2">
        <v>2689</v>
      </c>
      <c r="B2694" s="3" t="str">
        <f>"00142656"</f>
        <v>00142656</v>
      </c>
    </row>
    <row r="2695" spans="1:2" x14ac:dyDescent="0.25">
      <c r="A2695" s="2">
        <v>2690</v>
      </c>
      <c r="B2695" s="3" t="str">
        <f>"00142663"</f>
        <v>00142663</v>
      </c>
    </row>
    <row r="2696" spans="1:2" x14ac:dyDescent="0.25">
      <c r="A2696" s="2">
        <v>2691</v>
      </c>
      <c r="B2696" s="3" t="str">
        <f>"00142686"</f>
        <v>00142686</v>
      </c>
    </row>
    <row r="2697" spans="1:2" x14ac:dyDescent="0.25">
      <c r="A2697" s="2">
        <v>2692</v>
      </c>
      <c r="B2697" s="3" t="str">
        <f>"00142695"</f>
        <v>00142695</v>
      </c>
    </row>
    <row r="2698" spans="1:2" x14ac:dyDescent="0.25">
      <c r="A2698" s="2">
        <v>2693</v>
      </c>
      <c r="B2698" s="3" t="str">
        <f>"00142701"</f>
        <v>00142701</v>
      </c>
    </row>
    <row r="2699" spans="1:2" x14ac:dyDescent="0.25">
      <c r="A2699" s="2">
        <v>2694</v>
      </c>
      <c r="B2699" s="3" t="str">
        <f>"00142709"</f>
        <v>00142709</v>
      </c>
    </row>
    <row r="2700" spans="1:2" x14ac:dyDescent="0.25">
      <c r="A2700" s="2">
        <v>2695</v>
      </c>
      <c r="B2700" s="3" t="str">
        <f>"00142735"</f>
        <v>00142735</v>
      </c>
    </row>
    <row r="2701" spans="1:2" x14ac:dyDescent="0.25">
      <c r="A2701" s="2">
        <v>2696</v>
      </c>
      <c r="B2701" s="3" t="str">
        <f>"00142742"</f>
        <v>00142742</v>
      </c>
    </row>
    <row r="2702" spans="1:2" x14ac:dyDescent="0.25">
      <c r="A2702" s="2">
        <v>2697</v>
      </c>
      <c r="B2702" s="3" t="str">
        <f>"00142745"</f>
        <v>00142745</v>
      </c>
    </row>
    <row r="2703" spans="1:2" x14ac:dyDescent="0.25">
      <c r="A2703" s="2">
        <v>2698</v>
      </c>
      <c r="B2703" s="3" t="str">
        <f>"00142752"</f>
        <v>00142752</v>
      </c>
    </row>
    <row r="2704" spans="1:2" x14ac:dyDescent="0.25">
      <c r="A2704" s="2">
        <v>2699</v>
      </c>
      <c r="B2704" s="3" t="str">
        <f>"00142794"</f>
        <v>00142794</v>
      </c>
    </row>
    <row r="2705" spans="1:2" x14ac:dyDescent="0.25">
      <c r="A2705" s="2">
        <v>2700</v>
      </c>
      <c r="B2705" s="3" t="str">
        <f>"00142826"</f>
        <v>00142826</v>
      </c>
    </row>
    <row r="2706" spans="1:2" x14ac:dyDescent="0.25">
      <c r="A2706" s="2">
        <v>2701</v>
      </c>
      <c r="B2706" s="3" t="str">
        <f>"00142844"</f>
        <v>00142844</v>
      </c>
    </row>
    <row r="2707" spans="1:2" x14ac:dyDescent="0.25">
      <c r="A2707" s="2">
        <v>2702</v>
      </c>
      <c r="B2707" s="3" t="str">
        <f>"00142897"</f>
        <v>00142897</v>
      </c>
    </row>
    <row r="2708" spans="1:2" x14ac:dyDescent="0.25">
      <c r="A2708" s="2">
        <v>2703</v>
      </c>
      <c r="B2708" s="3" t="str">
        <f>"00142947"</f>
        <v>00142947</v>
      </c>
    </row>
    <row r="2709" spans="1:2" x14ac:dyDescent="0.25">
      <c r="A2709" s="2">
        <v>2704</v>
      </c>
      <c r="B2709" s="3" t="str">
        <f>"00142965"</f>
        <v>00142965</v>
      </c>
    </row>
    <row r="2710" spans="1:2" x14ac:dyDescent="0.25">
      <c r="A2710" s="2">
        <v>2705</v>
      </c>
      <c r="B2710" s="3" t="str">
        <f>"00142971"</f>
        <v>00142971</v>
      </c>
    </row>
    <row r="2711" spans="1:2" x14ac:dyDescent="0.25">
      <c r="A2711" s="2">
        <v>2706</v>
      </c>
      <c r="B2711" s="3" t="str">
        <f>"00143013"</f>
        <v>00143013</v>
      </c>
    </row>
    <row r="2712" spans="1:2" x14ac:dyDescent="0.25">
      <c r="A2712" s="2">
        <v>2707</v>
      </c>
      <c r="B2712" s="3" t="str">
        <f>"00143024"</f>
        <v>00143024</v>
      </c>
    </row>
    <row r="2713" spans="1:2" x14ac:dyDescent="0.25">
      <c r="A2713" s="2">
        <v>2708</v>
      </c>
      <c r="B2713" s="3" t="str">
        <f>"00143053"</f>
        <v>00143053</v>
      </c>
    </row>
    <row r="2714" spans="1:2" x14ac:dyDescent="0.25">
      <c r="A2714" s="2">
        <v>2709</v>
      </c>
      <c r="B2714" s="3" t="str">
        <f>"00143077"</f>
        <v>00143077</v>
      </c>
    </row>
    <row r="2715" spans="1:2" x14ac:dyDescent="0.25">
      <c r="A2715" s="2">
        <v>2710</v>
      </c>
      <c r="B2715" s="3" t="str">
        <f>"00143114"</f>
        <v>00143114</v>
      </c>
    </row>
    <row r="2716" spans="1:2" x14ac:dyDescent="0.25">
      <c r="A2716" s="2">
        <v>2711</v>
      </c>
      <c r="B2716" s="3" t="str">
        <f>"00143163"</f>
        <v>00143163</v>
      </c>
    </row>
    <row r="2717" spans="1:2" x14ac:dyDescent="0.25">
      <c r="A2717" s="2">
        <v>2712</v>
      </c>
      <c r="B2717" s="3" t="str">
        <f>"00143210"</f>
        <v>00143210</v>
      </c>
    </row>
    <row r="2718" spans="1:2" x14ac:dyDescent="0.25">
      <c r="A2718" s="2">
        <v>2713</v>
      </c>
      <c r="B2718" s="3" t="str">
        <f>"00143247"</f>
        <v>00143247</v>
      </c>
    </row>
    <row r="2719" spans="1:2" x14ac:dyDescent="0.25">
      <c r="A2719" s="2">
        <v>2714</v>
      </c>
      <c r="B2719" s="3" t="str">
        <f>"00143258"</f>
        <v>00143258</v>
      </c>
    </row>
    <row r="2720" spans="1:2" x14ac:dyDescent="0.25">
      <c r="A2720" s="2">
        <v>2715</v>
      </c>
      <c r="B2720" s="3" t="str">
        <f>"00143270"</f>
        <v>00143270</v>
      </c>
    </row>
    <row r="2721" spans="1:2" x14ac:dyDescent="0.25">
      <c r="A2721" s="2">
        <v>2716</v>
      </c>
      <c r="B2721" s="3" t="str">
        <f>"00143288"</f>
        <v>00143288</v>
      </c>
    </row>
    <row r="2722" spans="1:2" x14ac:dyDescent="0.25">
      <c r="A2722" s="2">
        <v>2717</v>
      </c>
      <c r="B2722" s="3" t="str">
        <f>"00143331"</f>
        <v>00143331</v>
      </c>
    </row>
    <row r="2723" spans="1:2" x14ac:dyDescent="0.25">
      <c r="A2723" s="2">
        <v>2718</v>
      </c>
      <c r="B2723" s="3" t="str">
        <f>"00143334"</f>
        <v>00143334</v>
      </c>
    </row>
    <row r="2724" spans="1:2" x14ac:dyDescent="0.25">
      <c r="A2724" s="2">
        <v>2719</v>
      </c>
      <c r="B2724" s="3" t="str">
        <f>"00143366"</f>
        <v>00143366</v>
      </c>
    </row>
    <row r="2725" spans="1:2" x14ac:dyDescent="0.25">
      <c r="A2725" s="2">
        <v>2720</v>
      </c>
      <c r="B2725" s="3" t="str">
        <f>"00143382"</f>
        <v>00143382</v>
      </c>
    </row>
    <row r="2726" spans="1:2" x14ac:dyDescent="0.25">
      <c r="A2726" s="2">
        <v>2721</v>
      </c>
      <c r="B2726" s="3" t="str">
        <f>"00143395"</f>
        <v>00143395</v>
      </c>
    </row>
    <row r="2727" spans="1:2" x14ac:dyDescent="0.25">
      <c r="A2727" s="2">
        <v>2722</v>
      </c>
      <c r="B2727" s="3" t="str">
        <f>"00143416"</f>
        <v>00143416</v>
      </c>
    </row>
    <row r="2728" spans="1:2" x14ac:dyDescent="0.25">
      <c r="A2728" s="2">
        <v>2723</v>
      </c>
      <c r="B2728" s="3" t="str">
        <f>"00143423"</f>
        <v>00143423</v>
      </c>
    </row>
    <row r="2729" spans="1:2" x14ac:dyDescent="0.25">
      <c r="A2729" s="2">
        <v>2724</v>
      </c>
      <c r="B2729" s="3" t="str">
        <f>"00143435"</f>
        <v>00143435</v>
      </c>
    </row>
    <row r="2730" spans="1:2" x14ac:dyDescent="0.25">
      <c r="A2730" s="2">
        <v>2725</v>
      </c>
      <c r="B2730" s="3" t="str">
        <f>"00143473"</f>
        <v>00143473</v>
      </c>
    </row>
    <row r="2731" spans="1:2" x14ac:dyDescent="0.25">
      <c r="A2731" s="2">
        <v>2726</v>
      </c>
      <c r="B2731" s="3" t="str">
        <f>"00143486"</f>
        <v>00143486</v>
      </c>
    </row>
    <row r="2732" spans="1:2" x14ac:dyDescent="0.25">
      <c r="A2732" s="2">
        <v>2727</v>
      </c>
      <c r="B2732" s="3" t="str">
        <f>"00143508"</f>
        <v>00143508</v>
      </c>
    </row>
    <row r="2733" spans="1:2" x14ac:dyDescent="0.25">
      <c r="A2733" s="2">
        <v>2728</v>
      </c>
      <c r="B2733" s="3" t="str">
        <f>"00143512"</f>
        <v>00143512</v>
      </c>
    </row>
    <row r="2734" spans="1:2" x14ac:dyDescent="0.25">
      <c r="A2734" s="2">
        <v>2729</v>
      </c>
      <c r="B2734" s="3" t="str">
        <f>"00143530"</f>
        <v>00143530</v>
      </c>
    </row>
    <row r="2735" spans="1:2" x14ac:dyDescent="0.25">
      <c r="A2735" s="2">
        <v>2730</v>
      </c>
      <c r="B2735" s="3" t="str">
        <f>"00143561"</f>
        <v>00143561</v>
      </c>
    </row>
    <row r="2736" spans="1:2" x14ac:dyDescent="0.25">
      <c r="A2736" s="2">
        <v>2731</v>
      </c>
      <c r="B2736" s="3" t="str">
        <f>"00143580"</f>
        <v>00143580</v>
      </c>
    </row>
    <row r="2737" spans="1:2" x14ac:dyDescent="0.25">
      <c r="A2737" s="2">
        <v>2732</v>
      </c>
      <c r="B2737" s="3" t="str">
        <f>"00143583"</f>
        <v>00143583</v>
      </c>
    </row>
    <row r="2738" spans="1:2" x14ac:dyDescent="0.25">
      <c r="A2738" s="2">
        <v>2733</v>
      </c>
      <c r="B2738" s="3" t="str">
        <f>"00143624"</f>
        <v>00143624</v>
      </c>
    </row>
    <row r="2739" spans="1:2" x14ac:dyDescent="0.25">
      <c r="A2739" s="2">
        <v>2734</v>
      </c>
      <c r="B2739" s="3" t="str">
        <f>"00143635"</f>
        <v>00143635</v>
      </c>
    </row>
    <row r="2740" spans="1:2" x14ac:dyDescent="0.25">
      <c r="A2740" s="2">
        <v>2735</v>
      </c>
      <c r="B2740" s="3" t="str">
        <f>"00143649"</f>
        <v>00143649</v>
      </c>
    </row>
    <row r="2741" spans="1:2" x14ac:dyDescent="0.25">
      <c r="A2741" s="2">
        <v>2736</v>
      </c>
      <c r="B2741" s="3" t="str">
        <f>"00143652"</f>
        <v>00143652</v>
      </c>
    </row>
    <row r="2742" spans="1:2" x14ac:dyDescent="0.25">
      <c r="A2742" s="2">
        <v>2737</v>
      </c>
      <c r="B2742" s="3" t="str">
        <f>"00143679"</f>
        <v>00143679</v>
      </c>
    </row>
    <row r="2743" spans="1:2" x14ac:dyDescent="0.25">
      <c r="A2743" s="2">
        <v>2738</v>
      </c>
      <c r="B2743" s="3" t="str">
        <f>"00143683"</f>
        <v>00143683</v>
      </c>
    </row>
    <row r="2744" spans="1:2" x14ac:dyDescent="0.25">
      <c r="A2744" s="2">
        <v>2739</v>
      </c>
      <c r="B2744" s="3" t="str">
        <f>"00143691"</f>
        <v>00143691</v>
      </c>
    </row>
    <row r="2745" spans="1:2" x14ac:dyDescent="0.25">
      <c r="A2745" s="2">
        <v>2740</v>
      </c>
      <c r="B2745" s="3" t="str">
        <f>"00143713"</f>
        <v>00143713</v>
      </c>
    </row>
    <row r="2746" spans="1:2" x14ac:dyDescent="0.25">
      <c r="A2746" s="2">
        <v>2741</v>
      </c>
      <c r="B2746" s="3" t="str">
        <f>"00143718"</f>
        <v>00143718</v>
      </c>
    </row>
    <row r="2747" spans="1:2" x14ac:dyDescent="0.25">
      <c r="A2747" s="2">
        <v>2742</v>
      </c>
      <c r="B2747" s="3" t="str">
        <f>"00143722"</f>
        <v>00143722</v>
      </c>
    </row>
    <row r="2748" spans="1:2" x14ac:dyDescent="0.25">
      <c r="A2748" s="2">
        <v>2743</v>
      </c>
      <c r="B2748" s="3" t="str">
        <f>"00143753"</f>
        <v>00143753</v>
      </c>
    </row>
    <row r="2749" spans="1:2" x14ac:dyDescent="0.25">
      <c r="A2749" s="2">
        <v>2744</v>
      </c>
      <c r="B2749" s="3" t="str">
        <f>"00143779"</f>
        <v>00143779</v>
      </c>
    </row>
    <row r="2750" spans="1:2" x14ac:dyDescent="0.25">
      <c r="A2750" s="2">
        <v>2745</v>
      </c>
      <c r="B2750" s="3" t="str">
        <f>"00143824"</f>
        <v>00143824</v>
      </c>
    </row>
    <row r="2751" spans="1:2" x14ac:dyDescent="0.25">
      <c r="A2751" s="2">
        <v>2746</v>
      </c>
      <c r="B2751" s="3" t="str">
        <f>"00143843"</f>
        <v>00143843</v>
      </c>
    </row>
    <row r="2752" spans="1:2" x14ac:dyDescent="0.25">
      <c r="A2752" s="2">
        <v>2747</v>
      </c>
      <c r="B2752" s="3" t="str">
        <f>"00143872"</f>
        <v>00143872</v>
      </c>
    </row>
    <row r="2753" spans="1:2" x14ac:dyDescent="0.25">
      <c r="A2753" s="2">
        <v>2748</v>
      </c>
      <c r="B2753" s="3" t="str">
        <f>"00143908"</f>
        <v>00143908</v>
      </c>
    </row>
    <row r="2754" spans="1:2" x14ac:dyDescent="0.25">
      <c r="A2754" s="2">
        <v>2749</v>
      </c>
      <c r="B2754" s="3" t="str">
        <f>"00143931"</f>
        <v>00143931</v>
      </c>
    </row>
    <row r="2755" spans="1:2" x14ac:dyDescent="0.25">
      <c r="A2755" s="2">
        <v>2750</v>
      </c>
      <c r="B2755" s="3" t="str">
        <f>"00143933"</f>
        <v>00143933</v>
      </c>
    </row>
    <row r="2756" spans="1:2" x14ac:dyDescent="0.25">
      <c r="A2756" s="2">
        <v>2751</v>
      </c>
      <c r="B2756" s="3" t="str">
        <f>"00143990"</f>
        <v>00143990</v>
      </c>
    </row>
    <row r="2757" spans="1:2" x14ac:dyDescent="0.25">
      <c r="A2757" s="2">
        <v>2752</v>
      </c>
      <c r="B2757" s="3" t="str">
        <f>"00144075"</f>
        <v>00144075</v>
      </c>
    </row>
    <row r="2758" spans="1:2" x14ac:dyDescent="0.25">
      <c r="A2758" s="2">
        <v>2753</v>
      </c>
      <c r="B2758" s="3" t="str">
        <f>"00144083"</f>
        <v>00144083</v>
      </c>
    </row>
    <row r="2759" spans="1:2" x14ac:dyDescent="0.25">
      <c r="A2759" s="2">
        <v>2754</v>
      </c>
      <c r="B2759" s="3" t="str">
        <f>"00144134"</f>
        <v>00144134</v>
      </c>
    </row>
    <row r="2760" spans="1:2" x14ac:dyDescent="0.25">
      <c r="A2760" s="2">
        <v>2755</v>
      </c>
      <c r="B2760" s="3" t="str">
        <f>"00144144"</f>
        <v>00144144</v>
      </c>
    </row>
    <row r="2761" spans="1:2" x14ac:dyDescent="0.25">
      <c r="A2761" s="2">
        <v>2756</v>
      </c>
      <c r="B2761" s="3" t="str">
        <f>"00144154"</f>
        <v>00144154</v>
      </c>
    </row>
    <row r="2762" spans="1:2" x14ac:dyDescent="0.25">
      <c r="A2762" s="2">
        <v>2757</v>
      </c>
      <c r="B2762" s="3" t="str">
        <f>"00144172"</f>
        <v>00144172</v>
      </c>
    </row>
    <row r="2763" spans="1:2" x14ac:dyDescent="0.25">
      <c r="A2763" s="2">
        <v>2758</v>
      </c>
      <c r="B2763" s="3" t="str">
        <f>"00144173"</f>
        <v>00144173</v>
      </c>
    </row>
    <row r="2764" spans="1:2" x14ac:dyDescent="0.25">
      <c r="A2764" s="2">
        <v>2759</v>
      </c>
      <c r="B2764" s="3" t="str">
        <f>"00144179"</f>
        <v>00144179</v>
      </c>
    </row>
    <row r="2765" spans="1:2" x14ac:dyDescent="0.25">
      <c r="A2765" s="2">
        <v>2760</v>
      </c>
      <c r="B2765" s="3" t="str">
        <f>"00144182"</f>
        <v>00144182</v>
      </c>
    </row>
    <row r="2766" spans="1:2" x14ac:dyDescent="0.25">
      <c r="A2766" s="2">
        <v>2761</v>
      </c>
      <c r="B2766" s="3" t="str">
        <f>"00144230"</f>
        <v>00144230</v>
      </c>
    </row>
    <row r="2767" spans="1:2" x14ac:dyDescent="0.25">
      <c r="A2767" s="2">
        <v>2762</v>
      </c>
      <c r="B2767" s="3" t="str">
        <f>"00144258"</f>
        <v>00144258</v>
      </c>
    </row>
    <row r="2768" spans="1:2" x14ac:dyDescent="0.25">
      <c r="A2768" s="2">
        <v>2763</v>
      </c>
      <c r="B2768" s="3" t="str">
        <f>"00144307"</f>
        <v>00144307</v>
      </c>
    </row>
    <row r="2769" spans="1:2" x14ac:dyDescent="0.25">
      <c r="A2769" s="2">
        <v>2764</v>
      </c>
      <c r="B2769" s="3" t="str">
        <f>"00144311"</f>
        <v>00144311</v>
      </c>
    </row>
    <row r="2770" spans="1:2" x14ac:dyDescent="0.25">
      <c r="A2770" s="2">
        <v>2765</v>
      </c>
      <c r="B2770" s="3" t="str">
        <f>"00144312"</f>
        <v>00144312</v>
      </c>
    </row>
    <row r="2771" spans="1:2" x14ac:dyDescent="0.25">
      <c r="A2771" s="2">
        <v>2766</v>
      </c>
      <c r="B2771" s="3" t="str">
        <f>"00144322"</f>
        <v>00144322</v>
      </c>
    </row>
    <row r="2772" spans="1:2" x14ac:dyDescent="0.25">
      <c r="A2772" s="2">
        <v>2767</v>
      </c>
      <c r="B2772" s="3" t="str">
        <f>"00144365"</f>
        <v>00144365</v>
      </c>
    </row>
    <row r="2773" spans="1:2" x14ac:dyDescent="0.25">
      <c r="A2773" s="2">
        <v>2768</v>
      </c>
      <c r="B2773" s="3" t="str">
        <f>"00144396"</f>
        <v>00144396</v>
      </c>
    </row>
    <row r="2774" spans="1:2" x14ac:dyDescent="0.25">
      <c r="A2774" s="2">
        <v>2769</v>
      </c>
      <c r="B2774" s="3" t="str">
        <f>"00144420"</f>
        <v>00144420</v>
      </c>
    </row>
    <row r="2775" spans="1:2" x14ac:dyDescent="0.25">
      <c r="A2775" s="2">
        <v>2770</v>
      </c>
      <c r="B2775" s="3" t="str">
        <f>"00144438"</f>
        <v>00144438</v>
      </c>
    </row>
    <row r="2776" spans="1:2" x14ac:dyDescent="0.25">
      <c r="A2776" s="2">
        <v>2771</v>
      </c>
      <c r="B2776" s="3" t="str">
        <f>"00144439"</f>
        <v>00144439</v>
      </c>
    </row>
    <row r="2777" spans="1:2" x14ac:dyDescent="0.25">
      <c r="A2777" s="2">
        <v>2772</v>
      </c>
      <c r="B2777" s="3" t="str">
        <f>"00144478"</f>
        <v>00144478</v>
      </c>
    </row>
    <row r="2778" spans="1:2" x14ac:dyDescent="0.25">
      <c r="A2778" s="2">
        <v>2773</v>
      </c>
      <c r="B2778" s="3" t="str">
        <f>"00144507"</f>
        <v>00144507</v>
      </c>
    </row>
    <row r="2779" spans="1:2" x14ac:dyDescent="0.25">
      <c r="A2779" s="2">
        <v>2774</v>
      </c>
      <c r="B2779" s="3" t="str">
        <f>"00144525"</f>
        <v>00144525</v>
      </c>
    </row>
    <row r="2780" spans="1:2" x14ac:dyDescent="0.25">
      <c r="A2780" s="2">
        <v>2775</v>
      </c>
      <c r="B2780" s="3" t="str">
        <f>"00144542"</f>
        <v>00144542</v>
      </c>
    </row>
    <row r="2781" spans="1:2" x14ac:dyDescent="0.25">
      <c r="A2781" s="2">
        <v>2776</v>
      </c>
      <c r="B2781" s="3" t="str">
        <f>"00144579"</f>
        <v>00144579</v>
      </c>
    </row>
    <row r="2782" spans="1:2" x14ac:dyDescent="0.25">
      <c r="A2782" s="2">
        <v>2777</v>
      </c>
      <c r="B2782" s="3" t="str">
        <f>"00144658"</f>
        <v>00144658</v>
      </c>
    </row>
    <row r="2783" spans="1:2" x14ac:dyDescent="0.25">
      <c r="A2783" s="2">
        <v>2778</v>
      </c>
      <c r="B2783" s="3" t="str">
        <f>"00144706"</f>
        <v>00144706</v>
      </c>
    </row>
    <row r="2784" spans="1:2" x14ac:dyDescent="0.25">
      <c r="A2784" s="2">
        <v>2779</v>
      </c>
      <c r="B2784" s="3" t="str">
        <f>"00144707"</f>
        <v>00144707</v>
      </c>
    </row>
    <row r="2785" spans="1:2" x14ac:dyDescent="0.25">
      <c r="A2785" s="2">
        <v>2780</v>
      </c>
      <c r="B2785" s="3" t="str">
        <f>"00144718"</f>
        <v>00144718</v>
      </c>
    </row>
    <row r="2786" spans="1:2" x14ac:dyDescent="0.25">
      <c r="A2786" s="2">
        <v>2781</v>
      </c>
      <c r="B2786" s="3" t="str">
        <f>"00144742"</f>
        <v>00144742</v>
      </c>
    </row>
    <row r="2787" spans="1:2" x14ac:dyDescent="0.25">
      <c r="A2787" s="2">
        <v>2782</v>
      </c>
      <c r="B2787" s="3" t="str">
        <f>"00144759"</f>
        <v>00144759</v>
      </c>
    </row>
    <row r="2788" spans="1:2" x14ac:dyDescent="0.25">
      <c r="A2788" s="2">
        <v>2783</v>
      </c>
      <c r="B2788" s="3" t="str">
        <f>"00144763"</f>
        <v>00144763</v>
      </c>
    </row>
    <row r="2789" spans="1:2" x14ac:dyDescent="0.25">
      <c r="A2789" s="2">
        <v>2784</v>
      </c>
      <c r="B2789" s="3" t="str">
        <f>"00144797"</f>
        <v>00144797</v>
      </c>
    </row>
    <row r="2790" spans="1:2" x14ac:dyDescent="0.25">
      <c r="A2790" s="2">
        <v>2785</v>
      </c>
      <c r="B2790" s="3" t="str">
        <f>"00144799"</f>
        <v>00144799</v>
      </c>
    </row>
    <row r="2791" spans="1:2" x14ac:dyDescent="0.25">
      <c r="A2791" s="2">
        <v>2786</v>
      </c>
      <c r="B2791" s="3" t="str">
        <f>"00144817"</f>
        <v>00144817</v>
      </c>
    </row>
    <row r="2792" spans="1:2" x14ac:dyDescent="0.25">
      <c r="A2792" s="2">
        <v>2787</v>
      </c>
      <c r="B2792" s="3" t="str">
        <f>"00144822"</f>
        <v>00144822</v>
      </c>
    </row>
    <row r="2793" spans="1:2" x14ac:dyDescent="0.25">
      <c r="A2793" s="2">
        <v>2788</v>
      </c>
      <c r="B2793" s="3" t="str">
        <f>"00144830"</f>
        <v>00144830</v>
      </c>
    </row>
    <row r="2794" spans="1:2" x14ac:dyDescent="0.25">
      <c r="A2794" s="2">
        <v>2789</v>
      </c>
      <c r="B2794" s="3" t="str">
        <f>"00144886"</f>
        <v>00144886</v>
      </c>
    </row>
    <row r="2795" spans="1:2" x14ac:dyDescent="0.25">
      <c r="A2795" s="2">
        <v>2790</v>
      </c>
      <c r="B2795" s="3" t="str">
        <f>"00144898"</f>
        <v>00144898</v>
      </c>
    </row>
    <row r="2796" spans="1:2" x14ac:dyDescent="0.25">
      <c r="A2796" s="2">
        <v>2791</v>
      </c>
      <c r="B2796" s="3" t="str">
        <f>"00144918"</f>
        <v>00144918</v>
      </c>
    </row>
    <row r="2797" spans="1:2" x14ac:dyDescent="0.25">
      <c r="A2797" s="2">
        <v>2792</v>
      </c>
      <c r="B2797" s="3" t="str">
        <f>"00144976"</f>
        <v>00144976</v>
      </c>
    </row>
    <row r="2798" spans="1:2" x14ac:dyDescent="0.25">
      <c r="A2798" s="2">
        <v>2793</v>
      </c>
      <c r="B2798" s="3" t="str">
        <f>"00144984"</f>
        <v>00144984</v>
      </c>
    </row>
    <row r="2799" spans="1:2" x14ac:dyDescent="0.25">
      <c r="A2799" s="2">
        <v>2794</v>
      </c>
      <c r="B2799" s="3" t="str">
        <f>"00145019"</f>
        <v>00145019</v>
      </c>
    </row>
    <row r="2800" spans="1:2" x14ac:dyDescent="0.25">
      <c r="A2800" s="2">
        <v>2795</v>
      </c>
      <c r="B2800" s="3" t="str">
        <f>"00145060"</f>
        <v>00145060</v>
      </c>
    </row>
    <row r="2801" spans="1:2" x14ac:dyDescent="0.25">
      <c r="A2801" s="2">
        <v>2796</v>
      </c>
      <c r="B2801" s="3" t="str">
        <f>"00145078"</f>
        <v>00145078</v>
      </c>
    </row>
    <row r="2802" spans="1:2" x14ac:dyDescent="0.25">
      <c r="A2802" s="2">
        <v>2797</v>
      </c>
      <c r="B2802" s="3" t="str">
        <f>"00145124"</f>
        <v>00145124</v>
      </c>
    </row>
    <row r="2803" spans="1:2" x14ac:dyDescent="0.25">
      <c r="A2803" s="2">
        <v>2798</v>
      </c>
      <c r="B2803" s="3" t="str">
        <f>"00145155"</f>
        <v>00145155</v>
      </c>
    </row>
    <row r="2804" spans="1:2" x14ac:dyDescent="0.25">
      <c r="A2804" s="2">
        <v>2799</v>
      </c>
      <c r="B2804" s="3" t="str">
        <f>"00145156"</f>
        <v>00145156</v>
      </c>
    </row>
    <row r="2805" spans="1:2" x14ac:dyDescent="0.25">
      <c r="A2805" s="2">
        <v>2800</v>
      </c>
      <c r="B2805" s="3" t="str">
        <f>"00145171"</f>
        <v>00145171</v>
      </c>
    </row>
    <row r="2806" spans="1:2" x14ac:dyDescent="0.25">
      <c r="A2806" s="2">
        <v>2801</v>
      </c>
      <c r="B2806" s="3" t="str">
        <f>"00145194"</f>
        <v>00145194</v>
      </c>
    </row>
    <row r="2807" spans="1:2" x14ac:dyDescent="0.25">
      <c r="A2807" s="2">
        <v>2802</v>
      </c>
      <c r="B2807" s="3" t="str">
        <f>"00145223"</f>
        <v>00145223</v>
      </c>
    </row>
    <row r="2808" spans="1:2" x14ac:dyDescent="0.25">
      <c r="A2808" s="2">
        <v>2803</v>
      </c>
      <c r="B2808" s="3" t="str">
        <f>"00145248"</f>
        <v>00145248</v>
      </c>
    </row>
    <row r="2809" spans="1:2" x14ac:dyDescent="0.25">
      <c r="A2809" s="2">
        <v>2804</v>
      </c>
      <c r="B2809" s="3" t="str">
        <f>"00145253"</f>
        <v>00145253</v>
      </c>
    </row>
    <row r="2810" spans="1:2" x14ac:dyDescent="0.25">
      <c r="A2810" s="2">
        <v>2805</v>
      </c>
      <c r="B2810" s="3" t="str">
        <f>"00145259"</f>
        <v>00145259</v>
      </c>
    </row>
    <row r="2811" spans="1:2" x14ac:dyDescent="0.25">
      <c r="A2811" s="2">
        <v>2806</v>
      </c>
      <c r="B2811" s="3" t="str">
        <f>"00145268"</f>
        <v>00145268</v>
      </c>
    </row>
    <row r="2812" spans="1:2" x14ac:dyDescent="0.25">
      <c r="A2812" s="2">
        <v>2807</v>
      </c>
      <c r="B2812" s="3" t="str">
        <f>"00145287"</f>
        <v>00145287</v>
      </c>
    </row>
    <row r="2813" spans="1:2" x14ac:dyDescent="0.25">
      <c r="A2813" s="2">
        <v>2808</v>
      </c>
      <c r="B2813" s="3" t="str">
        <f>"00145299"</f>
        <v>00145299</v>
      </c>
    </row>
    <row r="2814" spans="1:2" x14ac:dyDescent="0.25">
      <c r="A2814" s="2">
        <v>2809</v>
      </c>
      <c r="B2814" s="3" t="str">
        <f>"00145306"</f>
        <v>00145306</v>
      </c>
    </row>
    <row r="2815" spans="1:2" x14ac:dyDescent="0.25">
      <c r="A2815" s="2">
        <v>2810</v>
      </c>
      <c r="B2815" s="3" t="str">
        <f>"00145307"</f>
        <v>00145307</v>
      </c>
    </row>
    <row r="2816" spans="1:2" x14ac:dyDescent="0.25">
      <c r="A2816" s="2">
        <v>2811</v>
      </c>
      <c r="B2816" s="3" t="str">
        <f>"00145337"</f>
        <v>00145337</v>
      </c>
    </row>
    <row r="2817" spans="1:2" x14ac:dyDescent="0.25">
      <c r="A2817" s="2">
        <v>2812</v>
      </c>
      <c r="B2817" s="3" t="str">
        <f>"00145371"</f>
        <v>00145371</v>
      </c>
    </row>
    <row r="2818" spans="1:2" x14ac:dyDescent="0.25">
      <c r="A2818" s="2">
        <v>2813</v>
      </c>
      <c r="B2818" s="3" t="str">
        <f>"00145397"</f>
        <v>00145397</v>
      </c>
    </row>
    <row r="2819" spans="1:2" x14ac:dyDescent="0.25">
      <c r="A2819" s="2">
        <v>2814</v>
      </c>
      <c r="B2819" s="3" t="str">
        <f>"00145465"</f>
        <v>00145465</v>
      </c>
    </row>
    <row r="2820" spans="1:2" x14ac:dyDescent="0.25">
      <c r="A2820" s="2">
        <v>2815</v>
      </c>
      <c r="B2820" s="3" t="str">
        <f>"00145468"</f>
        <v>00145468</v>
      </c>
    </row>
    <row r="2821" spans="1:2" x14ac:dyDescent="0.25">
      <c r="A2821" s="2">
        <v>2816</v>
      </c>
      <c r="B2821" s="3" t="str">
        <f>"00145473"</f>
        <v>00145473</v>
      </c>
    </row>
    <row r="2822" spans="1:2" x14ac:dyDescent="0.25">
      <c r="A2822" s="2">
        <v>2817</v>
      </c>
      <c r="B2822" s="3" t="str">
        <f>"00145484"</f>
        <v>00145484</v>
      </c>
    </row>
    <row r="2823" spans="1:2" x14ac:dyDescent="0.25">
      <c r="A2823" s="2">
        <v>2818</v>
      </c>
      <c r="B2823" s="3" t="str">
        <f>"00145518"</f>
        <v>00145518</v>
      </c>
    </row>
    <row r="2824" spans="1:2" x14ac:dyDescent="0.25">
      <c r="A2824" s="2">
        <v>2819</v>
      </c>
      <c r="B2824" s="3" t="str">
        <f>"00145603"</f>
        <v>00145603</v>
      </c>
    </row>
    <row r="2825" spans="1:2" x14ac:dyDescent="0.25">
      <c r="A2825" s="2">
        <v>2820</v>
      </c>
      <c r="B2825" s="3" t="str">
        <f>"00145614"</f>
        <v>00145614</v>
      </c>
    </row>
    <row r="2826" spans="1:2" x14ac:dyDescent="0.25">
      <c r="A2826" s="2">
        <v>2821</v>
      </c>
      <c r="B2826" s="3" t="str">
        <f>"00145636"</f>
        <v>00145636</v>
      </c>
    </row>
    <row r="2827" spans="1:2" x14ac:dyDescent="0.25">
      <c r="A2827" s="2">
        <v>2822</v>
      </c>
      <c r="B2827" s="3" t="str">
        <f>"00145645"</f>
        <v>00145645</v>
      </c>
    </row>
    <row r="2828" spans="1:2" x14ac:dyDescent="0.25">
      <c r="A2828" s="2">
        <v>2823</v>
      </c>
      <c r="B2828" s="3" t="str">
        <f>"00145647"</f>
        <v>00145647</v>
      </c>
    </row>
    <row r="2829" spans="1:2" x14ac:dyDescent="0.25">
      <c r="A2829" s="2">
        <v>2824</v>
      </c>
      <c r="B2829" s="3" t="str">
        <f>"00145722"</f>
        <v>00145722</v>
      </c>
    </row>
    <row r="2830" spans="1:2" x14ac:dyDescent="0.25">
      <c r="A2830" s="2">
        <v>2825</v>
      </c>
      <c r="B2830" s="3" t="str">
        <f>"00145724"</f>
        <v>00145724</v>
      </c>
    </row>
    <row r="2831" spans="1:2" x14ac:dyDescent="0.25">
      <c r="A2831" s="2">
        <v>2826</v>
      </c>
      <c r="B2831" s="3" t="str">
        <f>"00145740"</f>
        <v>00145740</v>
      </c>
    </row>
    <row r="2832" spans="1:2" x14ac:dyDescent="0.25">
      <c r="A2832" s="2">
        <v>2827</v>
      </c>
      <c r="B2832" s="3" t="str">
        <f>"00145769"</f>
        <v>00145769</v>
      </c>
    </row>
    <row r="2833" spans="1:2" x14ac:dyDescent="0.25">
      <c r="A2833" s="2">
        <v>2828</v>
      </c>
      <c r="B2833" s="3" t="str">
        <f>"00145827"</f>
        <v>00145827</v>
      </c>
    </row>
    <row r="2834" spans="1:2" x14ac:dyDescent="0.25">
      <c r="A2834" s="2">
        <v>2829</v>
      </c>
      <c r="B2834" s="3" t="str">
        <f>"00145833"</f>
        <v>00145833</v>
      </c>
    </row>
    <row r="2835" spans="1:2" x14ac:dyDescent="0.25">
      <c r="A2835" s="2">
        <v>2830</v>
      </c>
      <c r="B2835" s="3" t="str">
        <f>"00145883"</f>
        <v>00145883</v>
      </c>
    </row>
    <row r="2836" spans="1:2" x14ac:dyDescent="0.25">
      <c r="A2836" s="2">
        <v>2831</v>
      </c>
      <c r="B2836" s="3" t="str">
        <f>"00145907"</f>
        <v>00145907</v>
      </c>
    </row>
    <row r="2837" spans="1:2" x14ac:dyDescent="0.25">
      <c r="A2837" s="2">
        <v>2832</v>
      </c>
      <c r="B2837" s="3" t="str">
        <f>"00145935"</f>
        <v>00145935</v>
      </c>
    </row>
    <row r="2838" spans="1:2" x14ac:dyDescent="0.25">
      <c r="A2838" s="2">
        <v>2833</v>
      </c>
      <c r="B2838" s="3" t="str">
        <f>"00145971"</f>
        <v>00145971</v>
      </c>
    </row>
    <row r="2839" spans="1:2" x14ac:dyDescent="0.25">
      <c r="A2839" s="2">
        <v>2834</v>
      </c>
      <c r="B2839" s="3" t="str">
        <f>"00146016"</f>
        <v>00146016</v>
      </c>
    </row>
    <row r="2840" spans="1:2" x14ac:dyDescent="0.25">
      <c r="A2840" s="2">
        <v>2835</v>
      </c>
      <c r="B2840" s="3" t="str">
        <f>"00146025"</f>
        <v>00146025</v>
      </c>
    </row>
    <row r="2841" spans="1:2" x14ac:dyDescent="0.25">
      <c r="A2841" s="2">
        <v>2836</v>
      </c>
      <c r="B2841" s="3" t="str">
        <f>"00146106"</f>
        <v>00146106</v>
      </c>
    </row>
    <row r="2842" spans="1:2" x14ac:dyDescent="0.25">
      <c r="A2842" s="2">
        <v>2837</v>
      </c>
      <c r="B2842" s="3" t="str">
        <f>"00146123"</f>
        <v>00146123</v>
      </c>
    </row>
    <row r="2843" spans="1:2" x14ac:dyDescent="0.25">
      <c r="A2843" s="2">
        <v>2838</v>
      </c>
      <c r="B2843" s="3" t="str">
        <f>"00146174"</f>
        <v>00146174</v>
      </c>
    </row>
    <row r="2844" spans="1:2" x14ac:dyDescent="0.25">
      <c r="A2844" s="2">
        <v>2839</v>
      </c>
      <c r="B2844" s="3" t="str">
        <f>"00146190"</f>
        <v>00146190</v>
      </c>
    </row>
    <row r="2845" spans="1:2" x14ac:dyDescent="0.25">
      <c r="A2845" s="2">
        <v>2840</v>
      </c>
      <c r="B2845" s="3" t="str">
        <f>"00146209"</f>
        <v>00146209</v>
      </c>
    </row>
    <row r="2846" spans="1:2" x14ac:dyDescent="0.25">
      <c r="A2846" s="2">
        <v>2841</v>
      </c>
      <c r="B2846" s="3" t="str">
        <f>"00146254"</f>
        <v>00146254</v>
      </c>
    </row>
    <row r="2847" spans="1:2" x14ac:dyDescent="0.25">
      <c r="A2847" s="2">
        <v>2842</v>
      </c>
      <c r="B2847" s="3" t="str">
        <f>"00146313"</f>
        <v>00146313</v>
      </c>
    </row>
    <row r="2848" spans="1:2" x14ac:dyDescent="0.25">
      <c r="A2848" s="2">
        <v>2843</v>
      </c>
      <c r="B2848" s="3" t="str">
        <f>"00146322"</f>
        <v>00146322</v>
      </c>
    </row>
    <row r="2849" spans="1:2" x14ac:dyDescent="0.25">
      <c r="A2849" s="2">
        <v>2844</v>
      </c>
      <c r="B2849" s="3" t="str">
        <f>"00146328"</f>
        <v>00146328</v>
      </c>
    </row>
    <row r="2850" spans="1:2" x14ac:dyDescent="0.25">
      <c r="A2850" s="2">
        <v>2845</v>
      </c>
      <c r="B2850" s="3" t="str">
        <f>"00146331"</f>
        <v>00146331</v>
      </c>
    </row>
    <row r="2851" spans="1:2" x14ac:dyDescent="0.25">
      <c r="A2851" s="2">
        <v>2846</v>
      </c>
      <c r="B2851" s="3" t="str">
        <f>"00146351"</f>
        <v>00146351</v>
      </c>
    </row>
    <row r="2852" spans="1:2" x14ac:dyDescent="0.25">
      <c r="A2852" s="2">
        <v>2847</v>
      </c>
      <c r="B2852" s="3" t="str">
        <f>"00146363"</f>
        <v>00146363</v>
      </c>
    </row>
    <row r="2853" spans="1:2" x14ac:dyDescent="0.25">
      <c r="A2853" s="2">
        <v>2848</v>
      </c>
      <c r="B2853" s="3" t="str">
        <f>"00146375"</f>
        <v>00146375</v>
      </c>
    </row>
    <row r="2854" spans="1:2" x14ac:dyDescent="0.25">
      <c r="A2854" s="2">
        <v>2849</v>
      </c>
      <c r="B2854" s="3" t="str">
        <f>"00146382"</f>
        <v>00146382</v>
      </c>
    </row>
    <row r="2855" spans="1:2" x14ac:dyDescent="0.25">
      <c r="A2855" s="2">
        <v>2850</v>
      </c>
      <c r="B2855" s="3" t="str">
        <f>"00146404"</f>
        <v>00146404</v>
      </c>
    </row>
    <row r="2856" spans="1:2" x14ac:dyDescent="0.25">
      <c r="A2856" s="2">
        <v>2851</v>
      </c>
      <c r="B2856" s="3" t="str">
        <f>"00146405"</f>
        <v>00146405</v>
      </c>
    </row>
    <row r="2857" spans="1:2" x14ac:dyDescent="0.25">
      <c r="A2857" s="2">
        <v>2852</v>
      </c>
      <c r="B2857" s="3" t="str">
        <f>"00146467"</f>
        <v>00146467</v>
      </c>
    </row>
    <row r="2858" spans="1:2" x14ac:dyDescent="0.25">
      <c r="A2858" s="2">
        <v>2853</v>
      </c>
      <c r="B2858" s="3" t="str">
        <f>"00146475"</f>
        <v>00146475</v>
      </c>
    </row>
    <row r="2859" spans="1:2" x14ac:dyDescent="0.25">
      <c r="A2859" s="2">
        <v>2854</v>
      </c>
      <c r="B2859" s="3" t="str">
        <f>"00146509"</f>
        <v>00146509</v>
      </c>
    </row>
    <row r="2860" spans="1:2" x14ac:dyDescent="0.25">
      <c r="A2860" s="2">
        <v>2855</v>
      </c>
      <c r="B2860" s="3" t="str">
        <f>"00146519"</f>
        <v>00146519</v>
      </c>
    </row>
    <row r="2861" spans="1:2" x14ac:dyDescent="0.25">
      <c r="A2861" s="2">
        <v>2856</v>
      </c>
      <c r="B2861" s="3" t="str">
        <f>"00146533"</f>
        <v>00146533</v>
      </c>
    </row>
    <row r="2862" spans="1:2" x14ac:dyDescent="0.25">
      <c r="A2862" s="2">
        <v>2857</v>
      </c>
      <c r="B2862" s="3" t="str">
        <f>"00146537"</f>
        <v>00146537</v>
      </c>
    </row>
    <row r="2863" spans="1:2" x14ac:dyDescent="0.25">
      <c r="A2863" s="2">
        <v>2858</v>
      </c>
      <c r="B2863" s="3" t="str">
        <f>"00146541"</f>
        <v>00146541</v>
      </c>
    </row>
    <row r="2864" spans="1:2" x14ac:dyDescent="0.25">
      <c r="A2864" s="2">
        <v>2859</v>
      </c>
      <c r="B2864" s="3" t="str">
        <f>"00146545"</f>
        <v>00146545</v>
      </c>
    </row>
    <row r="2865" spans="1:2" x14ac:dyDescent="0.25">
      <c r="A2865" s="2">
        <v>2860</v>
      </c>
      <c r="B2865" s="3" t="str">
        <f>"00146557"</f>
        <v>00146557</v>
      </c>
    </row>
    <row r="2866" spans="1:2" x14ac:dyDescent="0.25">
      <c r="A2866" s="2">
        <v>2861</v>
      </c>
      <c r="B2866" s="3" t="str">
        <f>"00146559"</f>
        <v>00146559</v>
      </c>
    </row>
    <row r="2867" spans="1:2" x14ac:dyDescent="0.25">
      <c r="A2867" s="2">
        <v>2862</v>
      </c>
      <c r="B2867" s="3" t="str">
        <f>"00146593"</f>
        <v>00146593</v>
      </c>
    </row>
    <row r="2868" spans="1:2" x14ac:dyDescent="0.25">
      <c r="A2868" s="2">
        <v>2863</v>
      </c>
      <c r="B2868" s="3" t="str">
        <f>"00146595"</f>
        <v>00146595</v>
      </c>
    </row>
    <row r="2869" spans="1:2" x14ac:dyDescent="0.25">
      <c r="A2869" s="2">
        <v>2864</v>
      </c>
      <c r="B2869" s="3" t="str">
        <f>"00146608"</f>
        <v>00146608</v>
      </c>
    </row>
    <row r="2870" spans="1:2" x14ac:dyDescent="0.25">
      <c r="A2870" s="2">
        <v>2865</v>
      </c>
      <c r="B2870" s="3" t="str">
        <f>"00146635"</f>
        <v>00146635</v>
      </c>
    </row>
    <row r="2871" spans="1:2" x14ac:dyDescent="0.25">
      <c r="A2871" s="2">
        <v>2866</v>
      </c>
      <c r="B2871" s="3" t="str">
        <f>"00146665"</f>
        <v>00146665</v>
      </c>
    </row>
    <row r="2872" spans="1:2" x14ac:dyDescent="0.25">
      <c r="A2872" s="2">
        <v>2867</v>
      </c>
      <c r="B2872" s="3" t="str">
        <f>"00146698"</f>
        <v>00146698</v>
      </c>
    </row>
    <row r="2873" spans="1:2" x14ac:dyDescent="0.25">
      <c r="A2873" s="2">
        <v>2868</v>
      </c>
      <c r="B2873" s="3" t="str">
        <f>"00146702"</f>
        <v>00146702</v>
      </c>
    </row>
    <row r="2874" spans="1:2" x14ac:dyDescent="0.25">
      <c r="A2874" s="2">
        <v>2869</v>
      </c>
      <c r="B2874" s="3" t="str">
        <f>"00146716"</f>
        <v>00146716</v>
      </c>
    </row>
    <row r="2875" spans="1:2" x14ac:dyDescent="0.25">
      <c r="A2875" s="2">
        <v>2870</v>
      </c>
      <c r="B2875" s="3" t="str">
        <f>"00146724"</f>
        <v>00146724</v>
      </c>
    </row>
    <row r="2876" spans="1:2" x14ac:dyDescent="0.25">
      <c r="A2876" s="2">
        <v>2871</v>
      </c>
      <c r="B2876" s="3" t="str">
        <f>"00146770"</f>
        <v>00146770</v>
      </c>
    </row>
    <row r="2877" spans="1:2" x14ac:dyDescent="0.25">
      <c r="A2877" s="2">
        <v>2872</v>
      </c>
      <c r="B2877" s="3" t="str">
        <f>"00146823"</f>
        <v>00146823</v>
      </c>
    </row>
    <row r="2878" spans="1:2" x14ac:dyDescent="0.25">
      <c r="A2878" s="2">
        <v>2873</v>
      </c>
      <c r="B2878" s="3" t="str">
        <f>"00146827"</f>
        <v>00146827</v>
      </c>
    </row>
    <row r="2879" spans="1:2" x14ac:dyDescent="0.25">
      <c r="A2879" s="2">
        <v>2874</v>
      </c>
      <c r="B2879" s="3" t="str">
        <f>"00146864"</f>
        <v>00146864</v>
      </c>
    </row>
    <row r="2880" spans="1:2" x14ac:dyDescent="0.25">
      <c r="A2880" s="2">
        <v>2875</v>
      </c>
      <c r="B2880" s="3" t="str">
        <f>"00146868"</f>
        <v>00146868</v>
      </c>
    </row>
    <row r="2881" spans="1:2" x14ac:dyDescent="0.25">
      <c r="A2881" s="2">
        <v>2876</v>
      </c>
      <c r="B2881" s="3" t="str">
        <f>"00146956"</f>
        <v>00146956</v>
      </c>
    </row>
    <row r="2882" spans="1:2" x14ac:dyDescent="0.25">
      <c r="A2882" s="2">
        <v>2877</v>
      </c>
      <c r="B2882" s="3" t="str">
        <f>"00146957"</f>
        <v>00146957</v>
      </c>
    </row>
    <row r="2883" spans="1:2" x14ac:dyDescent="0.25">
      <c r="A2883" s="2">
        <v>2878</v>
      </c>
      <c r="B2883" s="3" t="str">
        <f>"00146962"</f>
        <v>00146962</v>
      </c>
    </row>
    <row r="2884" spans="1:2" x14ac:dyDescent="0.25">
      <c r="A2884" s="2">
        <v>2879</v>
      </c>
      <c r="B2884" s="3" t="str">
        <f>"00146980"</f>
        <v>00146980</v>
      </c>
    </row>
    <row r="2885" spans="1:2" x14ac:dyDescent="0.25">
      <c r="A2885" s="2">
        <v>2880</v>
      </c>
      <c r="B2885" s="3" t="str">
        <f>"00147004"</f>
        <v>00147004</v>
      </c>
    </row>
    <row r="2886" spans="1:2" x14ac:dyDescent="0.25">
      <c r="A2886" s="2">
        <v>2881</v>
      </c>
      <c r="B2886" s="3" t="str">
        <f>"00147010"</f>
        <v>00147010</v>
      </c>
    </row>
    <row r="2887" spans="1:2" x14ac:dyDescent="0.25">
      <c r="A2887" s="2">
        <v>2882</v>
      </c>
      <c r="B2887" s="3" t="str">
        <f>"00147053"</f>
        <v>00147053</v>
      </c>
    </row>
    <row r="2888" spans="1:2" x14ac:dyDescent="0.25">
      <c r="A2888" s="2">
        <v>2883</v>
      </c>
      <c r="B2888" s="3" t="str">
        <f>"00147079"</f>
        <v>00147079</v>
      </c>
    </row>
    <row r="2889" spans="1:2" x14ac:dyDescent="0.25">
      <c r="A2889" s="2">
        <v>2884</v>
      </c>
      <c r="B2889" s="3" t="str">
        <f>"00147081"</f>
        <v>00147081</v>
      </c>
    </row>
    <row r="2890" spans="1:2" x14ac:dyDescent="0.25">
      <c r="A2890" s="2">
        <v>2885</v>
      </c>
      <c r="B2890" s="3" t="str">
        <f>"00147103"</f>
        <v>00147103</v>
      </c>
    </row>
    <row r="2891" spans="1:2" x14ac:dyDescent="0.25">
      <c r="A2891" s="2">
        <v>2886</v>
      </c>
      <c r="B2891" s="3" t="str">
        <f>"00147106"</f>
        <v>00147106</v>
      </c>
    </row>
    <row r="2892" spans="1:2" x14ac:dyDescent="0.25">
      <c r="A2892" s="2">
        <v>2887</v>
      </c>
      <c r="B2892" s="3" t="str">
        <f>"00147111"</f>
        <v>00147111</v>
      </c>
    </row>
    <row r="2893" spans="1:2" x14ac:dyDescent="0.25">
      <c r="A2893" s="2">
        <v>2888</v>
      </c>
      <c r="B2893" s="3" t="str">
        <f>"00147115"</f>
        <v>00147115</v>
      </c>
    </row>
    <row r="2894" spans="1:2" x14ac:dyDescent="0.25">
      <c r="A2894" s="2">
        <v>2889</v>
      </c>
      <c r="B2894" s="3" t="str">
        <f>"00147117"</f>
        <v>00147117</v>
      </c>
    </row>
    <row r="2895" spans="1:2" x14ac:dyDescent="0.25">
      <c r="A2895" s="2">
        <v>2890</v>
      </c>
      <c r="B2895" s="3" t="str">
        <f>"00147175"</f>
        <v>00147175</v>
      </c>
    </row>
    <row r="2896" spans="1:2" x14ac:dyDescent="0.25">
      <c r="A2896" s="2">
        <v>2891</v>
      </c>
      <c r="B2896" s="3" t="str">
        <f>"00147222"</f>
        <v>00147222</v>
      </c>
    </row>
    <row r="2897" spans="1:2" x14ac:dyDescent="0.25">
      <c r="A2897" s="2">
        <v>2892</v>
      </c>
      <c r="B2897" s="3" t="str">
        <f>"00147250"</f>
        <v>00147250</v>
      </c>
    </row>
    <row r="2898" spans="1:2" x14ac:dyDescent="0.25">
      <c r="A2898" s="2">
        <v>2893</v>
      </c>
      <c r="B2898" s="3" t="str">
        <f>"00147304"</f>
        <v>00147304</v>
      </c>
    </row>
    <row r="2899" spans="1:2" x14ac:dyDescent="0.25">
      <c r="A2899" s="2">
        <v>2894</v>
      </c>
      <c r="B2899" s="3" t="str">
        <f>"00147309"</f>
        <v>00147309</v>
      </c>
    </row>
    <row r="2900" spans="1:2" x14ac:dyDescent="0.25">
      <c r="A2900" s="2">
        <v>2895</v>
      </c>
      <c r="B2900" s="3" t="str">
        <f>"00147315"</f>
        <v>00147315</v>
      </c>
    </row>
    <row r="2901" spans="1:2" x14ac:dyDescent="0.25">
      <c r="A2901" s="2">
        <v>2896</v>
      </c>
      <c r="B2901" s="3" t="str">
        <f>"00147317"</f>
        <v>00147317</v>
      </c>
    </row>
    <row r="2902" spans="1:2" x14ac:dyDescent="0.25">
      <c r="A2902" s="2">
        <v>2897</v>
      </c>
      <c r="B2902" s="3" t="str">
        <f>"00147323"</f>
        <v>00147323</v>
      </c>
    </row>
    <row r="2903" spans="1:2" x14ac:dyDescent="0.25">
      <c r="A2903" s="2">
        <v>2898</v>
      </c>
      <c r="B2903" s="3" t="str">
        <f>"00147326"</f>
        <v>00147326</v>
      </c>
    </row>
    <row r="2904" spans="1:2" x14ac:dyDescent="0.25">
      <c r="A2904" s="2">
        <v>2899</v>
      </c>
      <c r="B2904" s="3" t="str">
        <f>"00147348"</f>
        <v>00147348</v>
      </c>
    </row>
    <row r="2905" spans="1:2" x14ac:dyDescent="0.25">
      <c r="A2905" s="2">
        <v>2900</v>
      </c>
      <c r="B2905" s="3" t="str">
        <f>"00147361"</f>
        <v>00147361</v>
      </c>
    </row>
    <row r="2906" spans="1:2" x14ac:dyDescent="0.25">
      <c r="A2906" s="2">
        <v>2901</v>
      </c>
      <c r="B2906" s="3" t="str">
        <f>"00147405"</f>
        <v>00147405</v>
      </c>
    </row>
    <row r="2907" spans="1:2" x14ac:dyDescent="0.25">
      <c r="A2907" s="2">
        <v>2902</v>
      </c>
      <c r="B2907" s="3" t="str">
        <f>"00147412"</f>
        <v>00147412</v>
      </c>
    </row>
    <row r="2908" spans="1:2" x14ac:dyDescent="0.25">
      <c r="A2908" s="2">
        <v>2903</v>
      </c>
      <c r="B2908" s="3" t="str">
        <f>"00147455"</f>
        <v>00147455</v>
      </c>
    </row>
    <row r="2909" spans="1:2" x14ac:dyDescent="0.25">
      <c r="A2909" s="2">
        <v>2904</v>
      </c>
      <c r="B2909" s="3" t="str">
        <f>"00147459"</f>
        <v>00147459</v>
      </c>
    </row>
    <row r="2910" spans="1:2" x14ac:dyDescent="0.25">
      <c r="A2910" s="2">
        <v>2905</v>
      </c>
      <c r="B2910" s="3" t="str">
        <f>"00147485"</f>
        <v>00147485</v>
      </c>
    </row>
    <row r="2911" spans="1:2" x14ac:dyDescent="0.25">
      <c r="A2911" s="2">
        <v>2906</v>
      </c>
      <c r="B2911" s="3" t="str">
        <f>"00147493"</f>
        <v>00147493</v>
      </c>
    </row>
    <row r="2912" spans="1:2" x14ac:dyDescent="0.25">
      <c r="A2912" s="2">
        <v>2907</v>
      </c>
      <c r="B2912" s="3" t="str">
        <f>"00147618"</f>
        <v>00147618</v>
      </c>
    </row>
    <row r="2913" spans="1:2" x14ac:dyDescent="0.25">
      <c r="A2913" s="2">
        <v>2908</v>
      </c>
      <c r="B2913" s="3" t="str">
        <f>"00147620"</f>
        <v>00147620</v>
      </c>
    </row>
    <row r="2914" spans="1:2" x14ac:dyDescent="0.25">
      <c r="A2914" s="2">
        <v>2909</v>
      </c>
      <c r="B2914" s="3" t="str">
        <f>"00147633"</f>
        <v>00147633</v>
      </c>
    </row>
    <row r="2915" spans="1:2" x14ac:dyDescent="0.25">
      <c r="A2915" s="2">
        <v>2910</v>
      </c>
      <c r="B2915" s="3" t="str">
        <f>"00147636"</f>
        <v>00147636</v>
      </c>
    </row>
    <row r="2916" spans="1:2" x14ac:dyDescent="0.25">
      <c r="A2916" s="2">
        <v>2911</v>
      </c>
      <c r="B2916" s="3" t="str">
        <f>"00147652"</f>
        <v>00147652</v>
      </c>
    </row>
    <row r="2917" spans="1:2" x14ac:dyDescent="0.25">
      <c r="A2917" s="2">
        <v>2912</v>
      </c>
      <c r="B2917" s="3" t="str">
        <f>"00147673"</f>
        <v>00147673</v>
      </c>
    </row>
    <row r="2918" spans="1:2" x14ac:dyDescent="0.25">
      <c r="A2918" s="2">
        <v>2913</v>
      </c>
      <c r="B2918" s="3" t="str">
        <f>"00147729"</f>
        <v>00147729</v>
      </c>
    </row>
    <row r="2919" spans="1:2" x14ac:dyDescent="0.25">
      <c r="A2919" s="2">
        <v>2914</v>
      </c>
      <c r="B2919" s="3" t="str">
        <f>"00147731"</f>
        <v>00147731</v>
      </c>
    </row>
    <row r="2920" spans="1:2" x14ac:dyDescent="0.25">
      <c r="A2920" s="2">
        <v>2915</v>
      </c>
      <c r="B2920" s="3" t="str">
        <f>"00147736"</f>
        <v>00147736</v>
      </c>
    </row>
    <row r="2921" spans="1:2" x14ac:dyDescent="0.25">
      <c r="A2921" s="2">
        <v>2916</v>
      </c>
      <c r="B2921" s="3" t="str">
        <f>"00147799"</f>
        <v>00147799</v>
      </c>
    </row>
    <row r="2922" spans="1:2" x14ac:dyDescent="0.25">
      <c r="A2922" s="2">
        <v>2917</v>
      </c>
      <c r="B2922" s="3" t="str">
        <f>"00147814"</f>
        <v>00147814</v>
      </c>
    </row>
    <row r="2923" spans="1:2" x14ac:dyDescent="0.25">
      <c r="A2923" s="2">
        <v>2918</v>
      </c>
      <c r="B2923" s="3" t="str">
        <f>"00147820"</f>
        <v>00147820</v>
      </c>
    </row>
    <row r="2924" spans="1:2" x14ac:dyDescent="0.25">
      <c r="A2924" s="2">
        <v>2919</v>
      </c>
      <c r="B2924" s="3" t="str">
        <f>"00147842"</f>
        <v>00147842</v>
      </c>
    </row>
    <row r="2925" spans="1:2" x14ac:dyDescent="0.25">
      <c r="A2925" s="2">
        <v>2920</v>
      </c>
      <c r="B2925" s="3" t="str">
        <f>"00147860"</f>
        <v>00147860</v>
      </c>
    </row>
    <row r="2926" spans="1:2" x14ac:dyDescent="0.25">
      <c r="A2926" s="2">
        <v>2921</v>
      </c>
      <c r="B2926" s="3" t="str">
        <f>"00147875"</f>
        <v>00147875</v>
      </c>
    </row>
    <row r="2927" spans="1:2" x14ac:dyDescent="0.25">
      <c r="A2927" s="2">
        <v>2922</v>
      </c>
      <c r="B2927" s="3" t="str">
        <f>"00147895"</f>
        <v>00147895</v>
      </c>
    </row>
    <row r="2928" spans="1:2" x14ac:dyDescent="0.25">
      <c r="A2928" s="2">
        <v>2923</v>
      </c>
      <c r="B2928" s="3" t="str">
        <f>"00147906"</f>
        <v>00147906</v>
      </c>
    </row>
    <row r="2929" spans="1:2" x14ac:dyDescent="0.25">
      <c r="A2929" s="2">
        <v>2924</v>
      </c>
      <c r="B2929" s="3" t="str">
        <f>"00147958"</f>
        <v>00147958</v>
      </c>
    </row>
    <row r="2930" spans="1:2" x14ac:dyDescent="0.25">
      <c r="A2930" s="2">
        <v>2925</v>
      </c>
      <c r="B2930" s="3" t="str">
        <f>"00147974"</f>
        <v>00147974</v>
      </c>
    </row>
    <row r="2931" spans="1:2" x14ac:dyDescent="0.25">
      <c r="A2931" s="2">
        <v>2926</v>
      </c>
      <c r="B2931" s="3" t="str">
        <f>"00147983"</f>
        <v>00147983</v>
      </c>
    </row>
    <row r="2932" spans="1:2" x14ac:dyDescent="0.25">
      <c r="A2932" s="2">
        <v>2927</v>
      </c>
      <c r="B2932" s="3" t="str">
        <f>"00147992"</f>
        <v>00147992</v>
      </c>
    </row>
    <row r="2933" spans="1:2" x14ac:dyDescent="0.25">
      <c r="A2933" s="2">
        <v>2928</v>
      </c>
      <c r="B2933" s="3" t="str">
        <f>"00148048"</f>
        <v>00148048</v>
      </c>
    </row>
    <row r="2934" spans="1:2" x14ac:dyDescent="0.25">
      <c r="A2934" s="2">
        <v>2929</v>
      </c>
      <c r="B2934" s="3" t="str">
        <f>"00148066"</f>
        <v>00148066</v>
      </c>
    </row>
    <row r="2935" spans="1:2" x14ac:dyDescent="0.25">
      <c r="A2935" s="2">
        <v>2930</v>
      </c>
      <c r="B2935" s="3" t="str">
        <f>"00148106"</f>
        <v>00148106</v>
      </c>
    </row>
    <row r="2936" spans="1:2" x14ac:dyDescent="0.25">
      <c r="A2936" s="2">
        <v>2931</v>
      </c>
      <c r="B2936" s="3" t="str">
        <f>"00148134"</f>
        <v>00148134</v>
      </c>
    </row>
    <row r="2937" spans="1:2" x14ac:dyDescent="0.25">
      <c r="A2937" s="2">
        <v>2932</v>
      </c>
      <c r="B2937" s="3" t="str">
        <f>"00148137"</f>
        <v>00148137</v>
      </c>
    </row>
    <row r="2938" spans="1:2" x14ac:dyDescent="0.25">
      <c r="A2938" s="2">
        <v>2933</v>
      </c>
      <c r="B2938" s="3" t="str">
        <f>"00148144"</f>
        <v>00148144</v>
      </c>
    </row>
    <row r="2939" spans="1:2" x14ac:dyDescent="0.25">
      <c r="A2939" s="2">
        <v>2934</v>
      </c>
      <c r="B2939" s="3" t="str">
        <f>"00148153"</f>
        <v>00148153</v>
      </c>
    </row>
    <row r="2940" spans="1:2" x14ac:dyDescent="0.25">
      <c r="A2940" s="2">
        <v>2935</v>
      </c>
      <c r="B2940" s="3" t="str">
        <f>"00148223"</f>
        <v>00148223</v>
      </c>
    </row>
    <row r="2941" spans="1:2" x14ac:dyDescent="0.25">
      <c r="A2941" s="2">
        <v>2936</v>
      </c>
      <c r="B2941" s="3" t="str">
        <f>"00148231"</f>
        <v>00148231</v>
      </c>
    </row>
    <row r="2942" spans="1:2" x14ac:dyDescent="0.25">
      <c r="A2942" s="2">
        <v>2937</v>
      </c>
      <c r="B2942" s="3" t="str">
        <f>"00148286"</f>
        <v>00148286</v>
      </c>
    </row>
    <row r="2943" spans="1:2" x14ac:dyDescent="0.25">
      <c r="A2943" s="2">
        <v>2938</v>
      </c>
      <c r="B2943" s="3" t="str">
        <f>"00148302"</f>
        <v>00148302</v>
      </c>
    </row>
    <row r="2944" spans="1:2" x14ac:dyDescent="0.25">
      <c r="A2944" s="2">
        <v>2939</v>
      </c>
      <c r="B2944" s="3" t="str">
        <f>"00148361"</f>
        <v>00148361</v>
      </c>
    </row>
    <row r="2945" spans="1:2" x14ac:dyDescent="0.25">
      <c r="A2945" s="2">
        <v>2940</v>
      </c>
      <c r="B2945" s="3" t="str">
        <f>"00148417"</f>
        <v>00148417</v>
      </c>
    </row>
    <row r="2946" spans="1:2" x14ac:dyDescent="0.25">
      <c r="A2946" s="2">
        <v>2941</v>
      </c>
      <c r="B2946" s="3" t="str">
        <f>"00148466"</f>
        <v>00148466</v>
      </c>
    </row>
    <row r="2947" spans="1:2" x14ac:dyDescent="0.25">
      <c r="A2947" s="2">
        <v>2942</v>
      </c>
      <c r="B2947" s="3" t="str">
        <f>"00148489"</f>
        <v>00148489</v>
      </c>
    </row>
    <row r="2948" spans="1:2" x14ac:dyDescent="0.25">
      <c r="A2948" s="2">
        <v>2943</v>
      </c>
      <c r="B2948" s="3" t="str">
        <f>"00148506"</f>
        <v>00148506</v>
      </c>
    </row>
    <row r="2949" spans="1:2" x14ac:dyDescent="0.25">
      <c r="A2949" s="2">
        <v>2944</v>
      </c>
      <c r="B2949" s="3" t="str">
        <f>"00148518"</f>
        <v>00148518</v>
      </c>
    </row>
    <row r="2950" spans="1:2" x14ac:dyDescent="0.25">
      <c r="A2950" s="2">
        <v>2945</v>
      </c>
      <c r="B2950" s="3" t="str">
        <f>"00148519"</f>
        <v>00148519</v>
      </c>
    </row>
    <row r="2951" spans="1:2" x14ac:dyDescent="0.25">
      <c r="A2951" s="2">
        <v>2946</v>
      </c>
      <c r="B2951" s="3" t="str">
        <f>"00148539"</f>
        <v>00148539</v>
      </c>
    </row>
    <row r="2952" spans="1:2" x14ac:dyDescent="0.25">
      <c r="A2952" s="2">
        <v>2947</v>
      </c>
      <c r="B2952" s="3" t="str">
        <f>"00148579"</f>
        <v>00148579</v>
      </c>
    </row>
    <row r="2953" spans="1:2" x14ac:dyDescent="0.25">
      <c r="A2953" s="2">
        <v>2948</v>
      </c>
      <c r="B2953" s="3" t="str">
        <f>"00148584"</f>
        <v>00148584</v>
      </c>
    </row>
    <row r="2954" spans="1:2" x14ac:dyDescent="0.25">
      <c r="A2954" s="2">
        <v>2949</v>
      </c>
      <c r="B2954" s="3" t="str">
        <f>"00148599"</f>
        <v>00148599</v>
      </c>
    </row>
    <row r="2955" spans="1:2" x14ac:dyDescent="0.25">
      <c r="A2955" s="2">
        <v>2950</v>
      </c>
      <c r="B2955" s="3" t="str">
        <f>"00148633"</f>
        <v>00148633</v>
      </c>
    </row>
    <row r="2956" spans="1:2" x14ac:dyDescent="0.25">
      <c r="A2956" s="2">
        <v>2951</v>
      </c>
      <c r="B2956" s="3" t="str">
        <f>"00148661"</f>
        <v>00148661</v>
      </c>
    </row>
    <row r="2957" spans="1:2" x14ac:dyDescent="0.25">
      <c r="A2957" s="2">
        <v>2952</v>
      </c>
      <c r="B2957" s="3" t="str">
        <f>"00148667"</f>
        <v>00148667</v>
      </c>
    </row>
    <row r="2958" spans="1:2" x14ac:dyDescent="0.25">
      <c r="A2958" s="2">
        <v>2953</v>
      </c>
      <c r="B2958" s="3" t="str">
        <f>"00148696"</f>
        <v>00148696</v>
      </c>
    </row>
    <row r="2959" spans="1:2" x14ac:dyDescent="0.25">
      <c r="A2959" s="2">
        <v>2954</v>
      </c>
      <c r="B2959" s="3" t="str">
        <f>"00148698"</f>
        <v>00148698</v>
      </c>
    </row>
    <row r="2960" spans="1:2" x14ac:dyDescent="0.25">
      <c r="A2960" s="2">
        <v>2955</v>
      </c>
      <c r="B2960" s="3" t="str">
        <f>"00148700"</f>
        <v>00148700</v>
      </c>
    </row>
    <row r="2961" spans="1:2" x14ac:dyDescent="0.25">
      <c r="A2961" s="2">
        <v>2956</v>
      </c>
      <c r="B2961" s="3" t="str">
        <f>"00148727"</f>
        <v>00148727</v>
      </c>
    </row>
    <row r="2962" spans="1:2" x14ac:dyDescent="0.25">
      <c r="A2962" s="2">
        <v>2957</v>
      </c>
      <c r="B2962" s="3" t="str">
        <f>"00148755"</f>
        <v>00148755</v>
      </c>
    </row>
    <row r="2963" spans="1:2" x14ac:dyDescent="0.25">
      <c r="A2963" s="2">
        <v>2958</v>
      </c>
      <c r="B2963" s="3" t="str">
        <f>"00148784"</f>
        <v>00148784</v>
      </c>
    </row>
    <row r="2964" spans="1:2" x14ac:dyDescent="0.25">
      <c r="A2964" s="2">
        <v>2959</v>
      </c>
      <c r="B2964" s="3" t="str">
        <f>"00148836"</f>
        <v>00148836</v>
      </c>
    </row>
    <row r="2965" spans="1:2" x14ac:dyDescent="0.25">
      <c r="A2965" s="2">
        <v>2960</v>
      </c>
      <c r="B2965" s="3" t="str">
        <f>"00148881"</f>
        <v>00148881</v>
      </c>
    </row>
    <row r="2966" spans="1:2" x14ac:dyDescent="0.25">
      <c r="A2966" s="2">
        <v>2961</v>
      </c>
      <c r="B2966" s="3" t="str">
        <f>"00148889"</f>
        <v>00148889</v>
      </c>
    </row>
    <row r="2967" spans="1:2" x14ac:dyDescent="0.25">
      <c r="A2967" s="2">
        <v>2962</v>
      </c>
      <c r="B2967" s="3" t="str">
        <f>"00148938"</f>
        <v>00148938</v>
      </c>
    </row>
    <row r="2968" spans="1:2" x14ac:dyDescent="0.25">
      <c r="A2968" s="2">
        <v>2963</v>
      </c>
      <c r="B2968" s="3" t="str">
        <f>"00148965"</f>
        <v>00148965</v>
      </c>
    </row>
    <row r="2969" spans="1:2" x14ac:dyDescent="0.25">
      <c r="A2969" s="2">
        <v>2964</v>
      </c>
      <c r="B2969" s="3" t="str">
        <f>"00149031"</f>
        <v>00149031</v>
      </c>
    </row>
    <row r="2970" spans="1:2" x14ac:dyDescent="0.25">
      <c r="A2970" s="2">
        <v>2965</v>
      </c>
      <c r="B2970" s="3" t="str">
        <f>"00149034"</f>
        <v>00149034</v>
      </c>
    </row>
    <row r="2971" spans="1:2" x14ac:dyDescent="0.25">
      <c r="A2971" s="2">
        <v>2966</v>
      </c>
      <c r="B2971" s="3" t="str">
        <f>"00149036"</f>
        <v>00149036</v>
      </c>
    </row>
    <row r="2972" spans="1:2" x14ac:dyDescent="0.25">
      <c r="A2972" s="2">
        <v>2967</v>
      </c>
      <c r="B2972" s="3" t="str">
        <f>"00149083"</f>
        <v>00149083</v>
      </c>
    </row>
    <row r="2973" spans="1:2" x14ac:dyDescent="0.25">
      <c r="A2973" s="2">
        <v>2968</v>
      </c>
      <c r="B2973" s="3" t="str">
        <f>"00149086"</f>
        <v>00149086</v>
      </c>
    </row>
    <row r="2974" spans="1:2" x14ac:dyDescent="0.25">
      <c r="A2974" s="2">
        <v>2969</v>
      </c>
      <c r="B2974" s="3" t="str">
        <f>"00149108"</f>
        <v>00149108</v>
      </c>
    </row>
    <row r="2975" spans="1:2" x14ac:dyDescent="0.25">
      <c r="A2975" s="2">
        <v>2970</v>
      </c>
      <c r="B2975" s="3" t="str">
        <f>"00149120"</f>
        <v>00149120</v>
      </c>
    </row>
    <row r="2976" spans="1:2" x14ac:dyDescent="0.25">
      <c r="A2976" s="2">
        <v>2971</v>
      </c>
      <c r="B2976" s="3" t="str">
        <f>"00149136"</f>
        <v>00149136</v>
      </c>
    </row>
    <row r="2977" spans="1:2" x14ac:dyDescent="0.25">
      <c r="A2977" s="2">
        <v>2972</v>
      </c>
      <c r="B2977" s="3" t="str">
        <f>"00149171"</f>
        <v>00149171</v>
      </c>
    </row>
    <row r="2978" spans="1:2" x14ac:dyDescent="0.25">
      <c r="A2978" s="2">
        <v>2973</v>
      </c>
      <c r="B2978" s="3" t="str">
        <f>"00149186"</f>
        <v>00149186</v>
      </c>
    </row>
    <row r="2979" spans="1:2" x14ac:dyDescent="0.25">
      <c r="A2979" s="2">
        <v>2974</v>
      </c>
      <c r="B2979" s="3" t="str">
        <f>"00149187"</f>
        <v>00149187</v>
      </c>
    </row>
    <row r="2980" spans="1:2" x14ac:dyDescent="0.25">
      <c r="A2980" s="2">
        <v>2975</v>
      </c>
      <c r="B2980" s="3" t="str">
        <f>"00149189"</f>
        <v>00149189</v>
      </c>
    </row>
    <row r="2981" spans="1:2" x14ac:dyDescent="0.25">
      <c r="A2981" s="2">
        <v>2976</v>
      </c>
      <c r="B2981" s="3" t="str">
        <f>"00149193"</f>
        <v>00149193</v>
      </c>
    </row>
    <row r="2982" spans="1:2" x14ac:dyDescent="0.25">
      <c r="A2982" s="2">
        <v>2977</v>
      </c>
      <c r="B2982" s="3" t="str">
        <f>"00149225"</f>
        <v>00149225</v>
      </c>
    </row>
    <row r="2983" spans="1:2" x14ac:dyDescent="0.25">
      <c r="A2983" s="2">
        <v>2978</v>
      </c>
      <c r="B2983" s="3" t="str">
        <f>"00149292"</f>
        <v>00149292</v>
      </c>
    </row>
    <row r="2984" spans="1:2" x14ac:dyDescent="0.25">
      <c r="A2984" s="2">
        <v>2979</v>
      </c>
      <c r="B2984" s="3" t="str">
        <f>"00149329"</f>
        <v>00149329</v>
      </c>
    </row>
    <row r="2985" spans="1:2" x14ac:dyDescent="0.25">
      <c r="A2985" s="2">
        <v>2980</v>
      </c>
      <c r="B2985" s="3" t="str">
        <f>"00149372"</f>
        <v>00149372</v>
      </c>
    </row>
    <row r="2986" spans="1:2" x14ac:dyDescent="0.25">
      <c r="A2986" s="2">
        <v>2981</v>
      </c>
      <c r="B2986" s="3" t="str">
        <f>"00149381"</f>
        <v>00149381</v>
      </c>
    </row>
    <row r="2987" spans="1:2" x14ac:dyDescent="0.25">
      <c r="A2987" s="2">
        <v>2982</v>
      </c>
      <c r="B2987" s="3" t="str">
        <f>"00149382"</f>
        <v>00149382</v>
      </c>
    </row>
    <row r="2988" spans="1:2" x14ac:dyDescent="0.25">
      <c r="A2988" s="2">
        <v>2983</v>
      </c>
      <c r="B2988" s="3" t="str">
        <f>"00149405"</f>
        <v>00149405</v>
      </c>
    </row>
    <row r="2989" spans="1:2" x14ac:dyDescent="0.25">
      <c r="A2989" s="2">
        <v>2984</v>
      </c>
      <c r="B2989" s="3" t="str">
        <f>"00149458"</f>
        <v>00149458</v>
      </c>
    </row>
    <row r="2990" spans="1:2" x14ac:dyDescent="0.25">
      <c r="A2990" s="2">
        <v>2985</v>
      </c>
      <c r="B2990" s="3" t="str">
        <f>"00149497"</f>
        <v>00149497</v>
      </c>
    </row>
    <row r="2991" spans="1:2" x14ac:dyDescent="0.25">
      <c r="A2991" s="2">
        <v>2986</v>
      </c>
      <c r="B2991" s="3" t="str">
        <f>"00149503"</f>
        <v>00149503</v>
      </c>
    </row>
    <row r="2992" spans="1:2" x14ac:dyDescent="0.25">
      <c r="A2992" s="2">
        <v>2987</v>
      </c>
      <c r="B2992" s="3" t="str">
        <f>"00149558"</f>
        <v>00149558</v>
      </c>
    </row>
    <row r="2993" spans="1:2" x14ac:dyDescent="0.25">
      <c r="A2993" s="2">
        <v>2988</v>
      </c>
      <c r="B2993" s="3" t="str">
        <f>"00149577"</f>
        <v>00149577</v>
      </c>
    </row>
    <row r="2994" spans="1:2" x14ac:dyDescent="0.25">
      <c r="A2994" s="2">
        <v>2989</v>
      </c>
      <c r="B2994" s="3" t="str">
        <f>"00149661"</f>
        <v>00149661</v>
      </c>
    </row>
    <row r="2995" spans="1:2" x14ac:dyDescent="0.25">
      <c r="A2995" s="2">
        <v>2990</v>
      </c>
      <c r="B2995" s="3" t="str">
        <f>"00149665"</f>
        <v>00149665</v>
      </c>
    </row>
    <row r="2996" spans="1:2" x14ac:dyDescent="0.25">
      <c r="A2996" s="2">
        <v>2991</v>
      </c>
      <c r="B2996" s="3" t="str">
        <f>"00149683"</f>
        <v>00149683</v>
      </c>
    </row>
    <row r="2997" spans="1:2" x14ac:dyDescent="0.25">
      <c r="A2997" s="2">
        <v>2992</v>
      </c>
      <c r="B2997" s="3" t="str">
        <f>"00149693"</f>
        <v>00149693</v>
      </c>
    </row>
    <row r="2998" spans="1:2" x14ac:dyDescent="0.25">
      <c r="A2998" s="2">
        <v>2993</v>
      </c>
      <c r="B2998" s="3" t="str">
        <f>"00149696"</f>
        <v>00149696</v>
      </c>
    </row>
    <row r="2999" spans="1:2" x14ac:dyDescent="0.25">
      <c r="A2999" s="2">
        <v>2994</v>
      </c>
      <c r="B2999" s="3" t="str">
        <f>"00149709"</f>
        <v>00149709</v>
      </c>
    </row>
    <row r="3000" spans="1:2" x14ac:dyDescent="0.25">
      <c r="A3000" s="2">
        <v>2995</v>
      </c>
      <c r="B3000" s="3" t="str">
        <f>"00149711"</f>
        <v>00149711</v>
      </c>
    </row>
    <row r="3001" spans="1:2" x14ac:dyDescent="0.25">
      <c r="A3001" s="2">
        <v>2996</v>
      </c>
      <c r="B3001" s="3" t="str">
        <f>"00149724"</f>
        <v>00149724</v>
      </c>
    </row>
    <row r="3002" spans="1:2" x14ac:dyDescent="0.25">
      <c r="A3002" s="2">
        <v>2997</v>
      </c>
      <c r="B3002" s="3" t="str">
        <f>"00149725"</f>
        <v>00149725</v>
      </c>
    </row>
    <row r="3003" spans="1:2" x14ac:dyDescent="0.25">
      <c r="A3003" s="2">
        <v>2998</v>
      </c>
      <c r="B3003" s="3" t="str">
        <f>"00149733"</f>
        <v>00149733</v>
      </c>
    </row>
    <row r="3004" spans="1:2" x14ac:dyDescent="0.25">
      <c r="A3004" s="2">
        <v>2999</v>
      </c>
      <c r="B3004" s="3" t="str">
        <f>"00149744"</f>
        <v>00149744</v>
      </c>
    </row>
    <row r="3005" spans="1:2" x14ac:dyDescent="0.25">
      <c r="A3005" s="2">
        <v>3000</v>
      </c>
      <c r="B3005" s="3" t="str">
        <f>"00149746"</f>
        <v>00149746</v>
      </c>
    </row>
    <row r="3006" spans="1:2" x14ac:dyDescent="0.25">
      <c r="A3006" s="2">
        <v>3001</v>
      </c>
      <c r="B3006" s="3" t="str">
        <f>"00149772"</f>
        <v>00149772</v>
      </c>
    </row>
    <row r="3007" spans="1:2" x14ac:dyDescent="0.25">
      <c r="A3007" s="2">
        <v>3002</v>
      </c>
      <c r="B3007" s="3" t="str">
        <f>"00149871"</f>
        <v>00149871</v>
      </c>
    </row>
    <row r="3008" spans="1:2" x14ac:dyDescent="0.25">
      <c r="A3008" s="2">
        <v>3003</v>
      </c>
      <c r="B3008" s="3" t="str">
        <f>"00149873"</f>
        <v>00149873</v>
      </c>
    </row>
    <row r="3009" spans="1:2" x14ac:dyDescent="0.25">
      <c r="A3009" s="2">
        <v>3004</v>
      </c>
      <c r="B3009" s="3" t="str">
        <f>"00149889"</f>
        <v>00149889</v>
      </c>
    </row>
    <row r="3010" spans="1:2" x14ac:dyDescent="0.25">
      <c r="A3010" s="2">
        <v>3005</v>
      </c>
      <c r="B3010" s="3" t="str">
        <f>"00149892"</f>
        <v>00149892</v>
      </c>
    </row>
    <row r="3011" spans="1:2" x14ac:dyDescent="0.25">
      <c r="A3011" s="2">
        <v>3006</v>
      </c>
      <c r="B3011" s="3" t="str">
        <f>"00149933"</f>
        <v>00149933</v>
      </c>
    </row>
    <row r="3012" spans="1:2" x14ac:dyDescent="0.25">
      <c r="A3012" s="2">
        <v>3007</v>
      </c>
      <c r="B3012" s="3" t="str">
        <f>"00149963"</f>
        <v>00149963</v>
      </c>
    </row>
    <row r="3013" spans="1:2" x14ac:dyDescent="0.25">
      <c r="A3013" s="2">
        <v>3008</v>
      </c>
      <c r="B3013" s="3" t="str">
        <f>"00149976"</f>
        <v>00149976</v>
      </c>
    </row>
    <row r="3014" spans="1:2" x14ac:dyDescent="0.25">
      <c r="A3014" s="2">
        <v>3009</v>
      </c>
      <c r="B3014" s="3" t="str">
        <f>"00149986"</f>
        <v>00149986</v>
      </c>
    </row>
    <row r="3015" spans="1:2" x14ac:dyDescent="0.25">
      <c r="A3015" s="2">
        <v>3010</v>
      </c>
      <c r="B3015" s="3" t="str">
        <f>"00150023"</f>
        <v>00150023</v>
      </c>
    </row>
    <row r="3016" spans="1:2" x14ac:dyDescent="0.25">
      <c r="A3016" s="2">
        <v>3011</v>
      </c>
      <c r="B3016" s="3" t="str">
        <f>"00150024"</f>
        <v>00150024</v>
      </c>
    </row>
    <row r="3017" spans="1:2" x14ac:dyDescent="0.25">
      <c r="A3017" s="2">
        <v>3012</v>
      </c>
      <c r="B3017" s="3" t="str">
        <f>"00150042"</f>
        <v>00150042</v>
      </c>
    </row>
    <row r="3018" spans="1:2" x14ac:dyDescent="0.25">
      <c r="A3018" s="2">
        <v>3013</v>
      </c>
      <c r="B3018" s="3" t="str">
        <f>"00150048"</f>
        <v>00150048</v>
      </c>
    </row>
    <row r="3019" spans="1:2" x14ac:dyDescent="0.25">
      <c r="A3019" s="2">
        <v>3014</v>
      </c>
      <c r="B3019" s="3" t="str">
        <f>"00150082"</f>
        <v>00150082</v>
      </c>
    </row>
    <row r="3020" spans="1:2" x14ac:dyDescent="0.25">
      <c r="A3020" s="2">
        <v>3015</v>
      </c>
      <c r="B3020" s="3" t="str">
        <f>"00150091"</f>
        <v>00150091</v>
      </c>
    </row>
    <row r="3021" spans="1:2" x14ac:dyDescent="0.25">
      <c r="A3021" s="2">
        <v>3016</v>
      </c>
      <c r="B3021" s="3" t="str">
        <f>"00150109"</f>
        <v>00150109</v>
      </c>
    </row>
    <row r="3022" spans="1:2" x14ac:dyDescent="0.25">
      <c r="A3022" s="2">
        <v>3017</v>
      </c>
      <c r="B3022" s="3" t="str">
        <f>"00150138"</f>
        <v>00150138</v>
      </c>
    </row>
    <row r="3023" spans="1:2" x14ac:dyDescent="0.25">
      <c r="A3023" s="2">
        <v>3018</v>
      </c>
      <c r="B3023" s="3" t="str">
        <f>"00150140"</f>
        <v>00150140</v>
      </c>
    </row>
    <row r="3024" spans="1:2" x14ac:dyDescent="0.25">
      <c r="A3024" s="2">
        <v>3019</v>
      </c>
      <c r="B3024" s="3" t="str">
        <f>"00150152"</f>
        <v>00150152</v>
      </c>
    </row>
    <row r="3025" spans="1:2" x14ac:dyDescent="0.25">
      <c r="A3025" s="2">
        <v>3020</v>
      </c>
      <c r="B3025" s="3" t="str">
        <f>"00150217"</f>
        <v>00150217</v>
      </c>
    </row>
    <row r="3026" spans="1:2" x14ac:dyDescent="0.25">
      <c r="A3026" s="2">
        <v>3021</v>
      </c>
      <c r="B3026" s="3" t="str">
        <f>"00150238"</f>
        <v>00150238</v>
      </c>
    </row>
    <row r="3027" spans="1:2" x14ac:dyDescent="0.25">
      <c r="A3027" s="2">
        <v>3022</v>
      </c>
      <c r="B3027" s="3" t="str">
        <f>"00150245"</f>
        <v>00150245</v>
      </c>
    </row>
    <row r="3028" spans="1:2" x14ac:dyDescent="0.25">
      <c r="A3028" s="2">
        <v>3023</v>
      </c>
      <c r="B3028" s="3" t="str">
        <f>"00150274"</f>
        <v>00150274</v>
      </c>
    </row>
    <row r="3029" spans="1:2" x14ac:dyDescent="0.25">
      <c r="A3029" s="2">
        <v>3024</v>
      </c>
      <c r="B3029" s="3" t="str">
        <f>"00150302"</f>
        <v>00150302</v>
      </c>
    </row>
    <row r="3030" spans="1:2" x14ac:dyDescent="0.25">
      <c r="A3030" s="2">
        <v>3025</v>
      </c>
      <c r="B3030" s="3" t="str">
        <f>"00150312"</f>
        <v>00150312</v>
      </c>
    </row>
    <row r="3031" spans="1:2" x14ac:dyDescent="0.25">
      <c r="A3031" s="2">
        <v>3026</v>
      </c>
      <c r="B3031" s="3" t="str">
        <f>"00150315"</f>
        <v>00150315</v>
      </c>
    </row>
    <row r="3032" spans="1:2" x14ac:dyDescent="0.25">
      <c r="A3032" s="2">
        <v>3027</v>
      </c>
      <c r="B3032" s="3" t="str">
        <f>"00150318"</f>
        <v>00150318</v>
      </c>
    </row>
    <row r="3033" spans="1:2" x14ac:dyDescent="0.25">
      <c r="A3033" s="2">
        <v>3028</v>
      </c>
      <c r="B3033" s="3" t="str">
        <f>"00150347"</f>
        <v>00150347</v>
      </c>
    </row>
    <row r="3034" spans="1:2" x14ac:dyDescent="0.25">
      <c r="A3034" s="2">
        <v>3029</v>
      </c>
      <c r="B3034" s="3" t="str">
        <f>"00150354"</f>
        <v>00150354</v>
      </c>
    </row>
    <row r="3035" spans="1:2" x14ac:dyDescent="0.25">
      <c r="A3035" s="2">
        <v>3030</v>
      </c>
      <c r="B3035" s="3" t="str">
        <f>"00150360"</f>
        <v>00150360</v>
      </c>
    </row>
    <row r="3036" spans="1:2" x14ac:dyDescent="0.25">
      <c r="A3036" s="2">
        <v>3031</v>
      </c>
      <c r="B3036" s="3" t="str">
        <f>"00150368"</f>
        <v>00150368</v>
      </c>
    </row>
    <row r="3037" spans="1:2" x14ac:dyDescent="0.25">
      <c r="A3037" s="2">
        <v>3032</v>
      </c>
      <c r="B3037" s="3" t="str">
        <f>"00150370"</f>
        <v>00150370</v>
      </c>
    </row>
    <row r="3038" spans="1:2" x14ac:dyDescent="0.25">
      <c r="A3038" s="2">
        <v>3033</v>
      </c>
      <c r="B3038" s="3" t="str">
        <f>"00150397"</f>
        <v>00150397</v>
      </c>
    </row>
    <row r="3039" spans="1:2" x14ac:dyDescent="0.25">
      <c r="A3039" s="2">
        <v>3034</v>
      </c>
      <c r="B3039" s="3" t="str">
        <f>"00150406"</f>
        <v>00150406</v>
      </c>
    </row>
    <row r="3040" spans="1:2" x14ac:dyDescent="0.25">
      <c r="A3040" s="2">
        <v>3035</v>
      </c>
      <c r="B3040" s="3" t="str">
        <f>"00150450"</f>
        <v>00150450</v>
      </c>
    </row>
    <row r="3041" spans="1:2" x14ac:dyDescent="0.25">
      <c r="A3041" s="2">
        <v>3036</v>
      </c>
      <c r="B3041" s="3" t="str">
        <f>"00150540"</f>
        <v>00150540</v>
      </c>
    </row>
    <row r="3042" spans="1:2" x14ac:dyDescent="0.25">
      <c r="A3042" s="2">
        <v>3037</v>
      </c>
      <c r="B3042" s="3" t="str">
        <f>"00150542"</f>
        <v>00150542</v>
      </c>
    </row>
    <row r="3043" spans="1:2" x14ac:dyDescent="0.25">
      <c r="A3043" s="2">
        <v>3038</v>
      </c>
      <c r="B3043" s="3" t="str">
        <f>"00150591"</f>
        <v>00150591</v>
      </c>
    </row>
    <row r="3044" spans="1:2" x14ac:dyDescent="0.25">
      <c r="A3044" s="2">
        <v>3039</v>
      </c>
      <c r="B3044" s="3" t="str">
        <f>"00150650"</f>
        <v>00150650</v>
      </c>
    </row>
    <row r="3045" spans="1:2" x14ac:dyDescent="0.25">
      <c r="A3045" s="2">
        <v>3040</v>
      </c>
      <c r="B3045" s="3" t="str">
        <f>"00150670"</f>
        <v>00150670</v>
      </c>
    </row>
    <row r="3046" spans="1:2" x14ac:dyDescent="0.25">
      <c r="A3046" s="2">
        <v>3041</v>
      </c>
      <c r="B3046" s="3" t="str">
        <f>"00150703"</f>
        <v>00150703</v>
      </c>
    </row>
    <row r="3047" spans="1:2" x14ac:dyDescent="0.25">
      <c r="A3047" s="2">
        <v>3042</v>
      </c>
      <c r="B3047" s="3" t="str">
        <f>"00150743"</f>
        <v>00150743</v>
      </c>
    </row>
    <row r="3048" spans="1:2" x14ac:dyDescent="0.25">
      <c r="A3048" s="2">
        <v>3043</v>
      </c>
      <c r="B3048" s="3" t="str">
        <f>"00150756"</f>
        <v>00150756</v>
      </c>
    </row>
    <row r="3049" spans="1:2" x14ac:dyDescent="0.25">
      <c r="A3049" s="2">
        <v>3044</v>
      </c>
      <c r="B3049" s="3" t="str">
        <f>"00150795"</f>
        <v>00150795</v>
      </c>
    </row>
    <row r="3050" spans="1:2" x14ac:dyDescent="0.25">
      <c r="A3050" s="2">
        <v>3045</v>
      </c>
      <c r="B3050" s="3" t="str">
        <f>"00150828"</f>
        <v>00150828</v>
      </c>
    </row>
    <row r="3051" spans="1:2" x14ac:dyDescent="0.25">
      <c r="A3051" s="2">
        <v>3046</v>
      </c>
      <c r="B3051" s="3" t="str">
        <f>"00150849"</f>
        <v>00150849</v>
      </c>
    </row>
    <row r="3052" spans="1:2" x14ac:dyDescent="0.25">
      <c r="A3052" s="2">
        <v>3047</v>
      </c>
      <c r="B3052" s="3" t="str">
        <f>"00150877"</f>
        <v>00150877</v>
      </c>
    </row>
    <row r="3053" spans="1:2" x14ac:dyDescent="0.25">
      <c r="A3053" s="2">
        <v>3048</v>
      </c>
      <c r="B3053" s="3" t="str">
        <f>"00150881"</f>
        <v>00150881</v>
      </c>
    </row>
    <row r="3054" spans="1:2" x14ac:dyDescent="0.25">
      <c r="A3054" s="2">
        <v>3049</v>
      </c>
      <c r="B3054" s="3" t="str">
        <f>"00150892"</f>
        <v>00150892</v>
      </c>
    </row>
    <row r="3055" spans="1:2" x14ac:dyDescent="0.25">
      <c r="A3055" s="2">
        <v>3050</v>
      </c>
      <c r="B3055" s="3" t="str">
        <f>"00150912"</f>
        <v>00150912</v>
      </c>
    </row>
    <row r="3056" spans="1:2" x14ac:dyDescent="0.25">
      <c r="A3056" s="2">
        <v>3051</v>
      </c>
      <c r="B3056" s="3" t="str">
        <f>"00150926"</f>
        <v>00150926</v>
      </c>
    </row>
    <row r="3057" spans="1:2" x14ac:dyDescent="0.25">
      <c r="A3057" s="2">
        <v>3052</v>
      </c>
      <c r="B3057" s="3" t="str">
        <f>"00150955"</f>
        <v>00150955</v>
      </c>
    </row>
    <row r="3058" spans="1:2" x14ac:dyDescent="0.25">
      <c r="A3058" s="2">
        <v>3053</v>
      </c>
      <c r="B3058" s="3" t="str">
        <f>"00151054"</f>
        <v>00151054</v>
      </c>
    </row>
    <row r="3059" spans="1:2" x14ac:dyDescent="0.25">
      <c r="A3059" s="2">
        <v>3054</v>
      </c>
      <c r="B3059" s="3" t="str">
        <f>"00151094"</f>
        <v>00151094</v>
      </c>
    </row>
    <row r="3060" spans="1:2" x14ac:dyDescent="0.25">
      <c r="A3060" s="2">
        <v>3055</v>
      </c>
      <c r="B3060" s="3" t="str">
        <f>"00151098"</f>
        <v>00151098</v>
      </c>
    </row>
    <row r="3061" spans="1:2" x14ac:dyDescent="0.25">
      <c r="A3061" s="2">
        <v>3056</v>
      </c>
      <c r="B3061" s="3" t="str">
        <f>"00151152"</f>
        <v>00151152</v>
      </c>
    </row>
    <row r="3062" spans="1:2" x14ac:dyDescent="0.25">
      <c r="A3062" s="2">
        <v>3057</v>
      </c>
      <c r="B3062" s="3" t="str">
        <f>"00151160"</f>
        <v>00151160</v>
      </c>
    </row>
    <row r="3063" spans="1:2" x14ac:dyDescent="0.25">
      <c r="A3063" s="2">
        <v>3058</v>
      </c>
      <c r="B3063" s="3" t="str">
        <f>"00151172"</f>
        <v>00151172</v>
      </c>
    </row>
    <row r="3064" spans="1:2" x14ac:dyDescent="0.25">
      <c r="A3064" s="2">
        <v>3059</v>
      </c>
      <c r="B3064" s="3" t="str">
        <f>"00151198"</f>
        <v>00151198</v>
      </c>
    </row>
    <row r="3065" spans="1:2" x14ac:dyDescent="0.25">
      <c r="A3065" s="2">
        <v>3060</v>
      </c>
      <c r="B3065" s="3" t="str">
        <f>"00151206"</f>
        <v>00151206</v>
      </c>
    </row>
    <row r="3066" spans="1:2" x14ac:dyDescent="0.25">
      <c r="A3066" s="2">
        <v>3061</v>
      </c>
      <c r="B3066" s="3" t="str">
        <f>"00151266"</f>
        <v>00151266</v>
      </c>
    </row>
    <row r="3067" spans="1:2" x14ac:dyDescent="0.25">
      <c r="A3067" s="2">
        <v>3062</v>
      </c>
      <c r="B3067" s="3" t="str">
        <f>"00151276"</f>
        <v>00151276</v>
      </c>
    </row>
    <row r="3068" spans="1:2" x14ac:dyDescent="0.25">
      <c r="A3068" s="2">
        <v>3063</v>
      </c>
      <c r="B3068" s="3" t="str">
        <f>"00151328"</f>
        <v>00151328</v>
      </c>
    </row>
    <row r="3069" spans="1:2" x14ac:dyDescent="0.25">
      <c r="A3069" s="2">
        <v>3064</v>
      </c>
      <c r="B3069" s="3" t="str">
        <f>"00151332"</f>
        <v>00151332</v>
      </c>
    </row>
    <row r="3070" spans="1:2" x14ac:dyDescent="0.25">
      <c r="A3070" s="2">
        <v>3065</v>
      </c>
      <c r="B3070" s="3" t="str">
        <f>"00151344"</f>
        <v>00151344</v>
      </c>
    </row>
    <row r="3071" spans="1:2" x14ac:dyDescent="0.25">
      <c r="A3071" s="2">
        <v>3066</v>
      </c>
      <c r="B3071" s="3" t="str">
        <f>"00151346"</f>
        <v>00151346</v>
      </c>
    </row>
    <row r="3072" spans="1:2" x14ac:dyDescent="0.25">
      <c r="A3072" s="2">
        <v>3067</v>
      </c>
      <c r="B3072" s="3" t="str">
        <f>"00151358"</f>
        <v>00151358</v>
      </c>
    </row>
    <row r="3073" spans="1:2" x14ac:dyDescent="0.25">
      <c r="A3073" s="2">
        <v>3068</v>
      </c>
      <c r="B3073" s="3" t="str">
        <f>"00151406"</f>
        <v>00151406</v>
      </c>
    </row>
    <row r="3074" spans="1:2" x14ac:dyDescent="0.25">
      <c r="A3074" s="2">
        <v>3069</v>
      </c>
      <c r="B3074" s="3" t="str">
        <f>"00151413"</f>
        <v>00151413</v>
      </c>
    </row>
    <row r="3075" spans="1:2" x14ac:dyDescent="0.25">
      <c r="A3075" s="2">
        <v>3070</v>
      </c>
      <c r="B3075" s="3" t="str">
        <f>"00151468"</f>
        <v>00151468</v>
      </c>
    </row>
    <row r="3076" spans="1:2" x14ac:dyDescent="0.25">
      <c r="A3076" s="2">
        <v>3071</v>
      </c>
      <c r="B3076" s="3" t="str">
        <f>"00151488"</f>
        <v>00151488</v>
      </c>
    </row>
    <row r="3077" spans="1:2" x14ac:dyDescent="0.25">
      <c r="A3077" s="2">
        <v>3072</v>
      </c>
      <c r="B3077" s="3" t="str">
        <f>"00151498"</f>
        <v>00151498</v>
      </c>
    </row>
    <row r="3078" spans="1:2" x14ac:dyDescent="0.25">
      <c r="A3078" s="2">
        <v>3073</v>
      </c>
      <c r="B3078" s="3" t="str">
        <f>"00151505"</f>
        <v>00151505</v>
      </c>
    </row>
    <row r="3079" spans="1:2" x14ac:dyDescent="0.25">
      <c r="A3079" s="2">
        <v>3074</v>
      </c>
      <c r="B3079" s="3" t="str">
        <f>"00151517"</f>
        <v>00151517</v>
      </c>
    </row>
    <row r="3080" spans="1:2" x14ac:dyDescent="0.25">
      <c r="A3080" s="2">
        <v>3075</v>
      </c>
      <c r="B3080" s="3" t="str">
        <f>"00151577"</f>
        <v>00151577</v>
      </c>
    </row>
    <row r="3081" spans="1:2" x14ac:dyDescent="0.25">
      <c r="A3081" s="2">
        <v>3076</v>
      </c>
      <c r="B3081" s="3" t="str">
        <f>"00151663"</f>
        <v>00151663</v>
      </c>
    </row>
    <row r="3082" spans="1:2" x14ac:dyDescent="0.25">
      <c r="A3082" s="2">
        <v>3077</v>
      </c>
      <c r="B3082" s="3" t="str">
        <f>"00151684"</f>
        <v>00151684</v>
      </c>
    </row>
    <row r="3083" spans="1:2" x14ac:dyDescent="0.25">
      <c r="A3083" s="2">
        <v>3078</v>
      </c>
      <c r="B3083" s="3" t="str">
        <f>"00151690"</f>
        <v>00151690</v>
      </c>
    </row>
    <row r="3084" spans="1:2" x14ac:dyDescent="0.25">
      <c r="A3084" s="2">
        <v>3079</v>
      </c>
      <c r="B3084" s="3" t="str">
        <f>"00151704"</f>
        <v>00151704</v>
      </c>
    </row>
    <row r="3085" spans="1:2" x14ac:dyDescent="0.25">
      <c r="A3085" s="2">
        <v>3080</v>
      </c>
      <c r="B3085" s="3" t="str">
        <f>"00151737"</f>
        <v>00151737</v>
      </c>
    </row>
    <row r="3086" spans="1:2" x14ac:dyDescent="0.25">
      <c r="A3086" s="2">
        <v>3081</v>
      </c>
      <c r="B3086" s="3" t="str">
        <f>"00151745"</f>
        <v>00151745</v>
      </c>
    </row>
    <row r="3087" spans="1:2" x14ac:dyDescent="0.25">
      <c r="A3087" s="2">
        <v>3082</v>
      </c>
      <c r="B3087" s="3" t="str">
        <f>"00151762"</f>
        <v>00151762</v>
      </c>
    </row>
    <row r="3088" spans="1:2" x14ac:dyDescent="0.25">
      <c r="A3088" s="2">
        <v>3083</v>
      </c>
      <c r="B3088" s="3" t="str">
        <f>"00151806"</f>
        <v>00151806</v>
      </c>
    </row>
    <row r="3089" spans="1:2" x14ac:dyDescent="0.25">
      <c r="A3089" s="2">
        <v>3084</v>
      </c>
      <c r="B3089" s="3" t="str">
        <f>"00151824"</f>
        <v>00151824</v>
      </c>
    </row>
    <row r="3090" spans="1:2" x14ac:dyDescent="0.25">
      <c r="A3090" s="2">
        <v>3085</v>
      </c>
      <c r="B3090" s="3" t="str">
        <f>"00151831"</f>
        <v>00151831</v>
      </c>
    </row>
    <row r="3091" spans="1:2" x14ac:dyDescent="0.25">
      <c r="A3091" s="2">
        <v>3086</v>
      </c>
      <c r="B3091" s="3" t="str">
        <f>"00151859"</f>
        <v>00151859</v>
      </c>
    </row>
    <row r="3092" spans="1:2" x14ac:dyDescent="0.25">
      <c r="A3092" s="2">
        <v>3087</v>
      </c>
      <c r="B3092" s="3" t="str">
        <f>"00151864"</f>
        <v>00151864</v>
      </c>
    </row>
    <row r="3093" spans="1:2" x14ac:dyDescent="0.25">
      <c r="A3093" s="2">
        <v>3088</v>
      </c>
      <c r="B3093" s="3" t="str">
        <f>"00151885"</f>
        <v>00151885</v>
      </c>
    </row>
    <row r="3094" spans="1:2" x14ac:dyDescent="0.25">
      <c r="A3094" s="2">
        <v>3089</v>
      </c>
      <c r="B3094" s="3" t="str">
        <f>"00151895"</f>
        <v>00151895</v>
      </c>
    </row>
    <row r="3095" spans="1:2" x14ac:dyDescent="0.25">
      <c r="A3095" s="2">
        <v>3090</v>
      </c>
      <c r="B3095" s="3" t="str">
        <f>"00151907"</f>
        <v>00151907</v>
      </c>
    </row>
    <row r="3096" spans="1:2" x14ac:dyDescent="0.25">
      <c r="A3096" s="2">
        <v>3091</v>
      </c>
      <c r="B3096" s="3" t="str">
        <f>"00151914"</f>
        <v>00151914</v>
      </c>
    </row>
    <row r="3097" spans="1:2" x14ac:dyDescent="0.25">
      <c r="A3097" s="2">
        <v>3092</v>
      </c>
      <c r="B3097" s="3" t="str">
        <f>"00151951"</f>
        <v>00151951</v>
      </c>
    </row>
    <row r="3098" spans="1:2" x14ac:dyDescent="0.25">
      <c r="A3098" s="2">
        <v>3093</v>
      </c>
      <c r="B3098" s="3" t="str">
        <f>"00151983"</f>
        <v>00151983</v>
      </c>
    </row>
    <row r="3099" spans="1:2" x14ac:dyDescent="0.25">
      <c r="A3099" s="2">
        <v>3094</v>
      </c>
      <c r="B3099" s="3" t="str">
        <f>"00152002"</f>
        <v>00152002</v>
      </c>
    </row>
    <row r="3100" spans="1:2" x14ac:dyDescent="0.25">
      <c r="A3100" s="2">
        <v>3095</v>
      </c>
      <c r="B3100" s="3" t="str">
        <f>"00152021"</f>
        <v>00152021</v>
      </c>
    </row>
    <row r="3101" spans="1:2" x14ac:dyDescent="0.25">
      <c r="A3101" s="2">
        <v>3096</v>
      </c>
      <c r="B3101" s="3" t="str">
        <f>"00152106"</f>
        <v>00152106</v>
      </c>
    </row>
    <row r="3102" spans="1:2" x14ac:dyDescent="0.25">
      <c r="A3102" s="2">
        <v>3097</v>
      </c>
      <c r="B3102" s="3" t="str">
        <f>"00152154"</f>
        <v>00152154</v>
      </c>
    </row>
    <row r="3103" spans="1:2" x14ac:dyDescent="0.25">
      <c r="A3103" s="2">
        <v>3098</v>
      </c>
      <c r="B3103" s="3" t="str">
        <f>"00152156"</f>
        <v>00152156</v>
      </c>
    </row>
    <row r="3104" spans="1:2" x14ac:dyDescent="0.25">
      <c r="A3104" s="2">
        <v>3099</v>
      </c>
      <c r="B3104" s="3" t="str">
        <f>"00152163"</f>
        <v>00152163</v>
      </c>
    </row>
    <row r="3105" spans="1:2" x14ac:dyDescent="0.25">
      <c r="A3105" s="2">
        <v>3100</v>
      </c>
      <c r="B3105" s="3" t="str">
        <f>"00152177"</f>
        <v>00152177</v>
      </c>
    </row>
    <row r="3106" spans="1:2" x14ac:dyDescent="0.25">
      <c r="A3106" s="2">
        <v>3101</v>
      </c>
      <c r="B3106" s="3" t="str">
        <f>"00152208"</f>
        <v>00152208</v>
      </c>
    </row>
    <row r="3107" spans="1:2" x14ac:dyDescent="0.25">
      <c r="A3107" s="2">
        <v>3102</v>
      </c>
      <c r="B3107" s="3" t="str">
        <f>"00152235"</f>
        <v>00152235</v>
      </c>
    </row>
    <row r="3108" spans="1:2" x14ac:dyDescent="0.25">
      <c r="A3108" s="2">
        <v>3103</v>
      </c>
      <c r="B3108" s="3" t="str">
        <f>"00152245"</f>
        <v>00152245</v>
      </c>
    </row>
    <row r="3109" spans="1:2" x14ac:dyDescent="0.25">
      <c r="A3109" s="2">
        <v>3104</v>
      </c>
      <c r="B3109" s="3" t="str">
        <f>"00152251"</f>
        <v>00152251</v>
      </c>
    </row>
    <row r="3110" spans="1:2" x14ac:dyDescent="0.25">
      <c r="A3110" s="2">
        <v>3105</v>
      </c>
      <c r="B3110" s="3" t="str">
        <f>"00152277"</f>
        <v>00152277</v>
      </c>
    </row>
    <row r="3111" spans="1:2" x14ac:dyDescent="0.25">
      <c r="A3111" s="2">
        <v>3106</v>
      </c>
      <c r="B3111" s="3" t="str">
        <f>"00152323"</f>
        <v>00152323</v>
      </c>
    </row>
    <row r="3112" spans="1:2" x14ac:dyDescent="0.25">
      <c r="A3112" s="2">
        <v>3107</v>
      </c>
      <c r="B3112" s="3" t="str">
        <f>"00152329"</f>
        <v>00152329</v>
      </c>
    </row>
    <row r="3113" spans="1:2" x14ac:dyDescent="0.25">
      <c r="A3113" s="2">
        <v>3108</v>
      </c>
      <c r="B3113" s="3" t="str">
        <f>"00152339"</f>
        <v>00152339</v>
      </c>
    </row>
    <row r="3114" spans="1:2" x14ac:dyDescent="0.25">
      <c r="A3114" s="2">
        <v>3109</v>
      </c>
      <c r="B3114" s="3" t="str">
        <f>"00152366"</f>
        <v>00152366</v>
      </c>
    </row>
    <row r="3115" spans="1:2" x14ac:dyDescent="0.25">
      <c r="A3115" s="2">
        <v>3110</v>
      </c>
      <c r="B3115" s="3" t="str">
        <f>"00152419"</f>
        <v>00152419</v>
      </c>
    </row>
    <row r="3116" spans="1:2" x14ac:dyDescent="0.25">
      <c r="A3116" s="2">
        <v>3111</v>
      </c>
      <c r="B3116" s="3" t="str">
        <f>"00152425"</f>
        <v>00152425</v>
      </c>
    </row>
    <row r="3117" spans="1:2" x14ac:dyDescent="0.25">
      <c r="A3117" s="2">
        <v>3112</v>
      </c>
      <c r="B3117" s="3" t="str">
        <f>"00152433"</f>
        <v>00152433</v>
      </c>
    </row>
    <row r="3118" spans="1:2" x14ac:dyDescent="0.25">
      <c r="A3118" s="2">
        <v>3113</v>
      </c>
      <c r="B3118" s="3" t="str">
        <f>"00152464"</f>
        <v>00152464</v>
      </c>
    </row>
    <row r="3119" spans="1:2" x14ac:dyDescent="0.25">
      <c r="A3119" s="2">
        <v>3114</v>
      </c>
      <c r="B3119" s="3" t="str">
        <f>"00152478"</f>
        <v>00152478</v>
      </c>
    </row>
    <row r="3120" spans="1:2" x14ac:dyDescent="0.25">
      <c r="A3120" s="2">
        <v>3115</v>
      </c>
      <c r="B3120" s="3" t="str">
        <f>"00152481"</f>
        <v>00152481</v>
      </c>
    </row>
    <row r="3121" spans="1:2" x14ac:dyDescent="0.25">
      <c r="A3121" s="2">
        <v>3116</v>
      </c>
      <c r="B3121" s="3" t="str">
        <f>"00152515"</f>
        <v>00152515</v>
      </c>
    </row>
    <row r="3122" spans="1:2" x14ac:dyDescent="0.25">
      <c r="A3122" s="2">
        <v>3117</v>
      </c>
      <c r="B3122" s="3" t="str">
        <f>"00152527"</f>
        <v>00152527</v>
      </c>
    </row>
    <row r="3123" spans="1:2" x14ac:dyDescent="0.25">
      <c r="A3123" s="2">
        <v>3118</v>
      </c>
      <c r="B3123" s="3" t="str">
        <f>"00152557"</f>
        <v>00152557</v>
      </c>
    </row>
    <row r="3124" spans="1:2" x14ac:dyDescent="0.25">
      <c r="A3124" s="2">
        <v>3119</v>
      </c>
      <c r="B3124" s="3" t="str">
        <f>"00152563"</f>
        <v>00152563</v>
      </c>
    </row>
    <row r="3125" spans="1:2" x14ac:dyDescent="0.25">
      <c r="A3125" s="2">
        <v>3120</v>
      </c>
      <c r="B3125" s="3" t="str">
        <f>"00152608"</f>
        <v>00152608</v>
      </c>
    </row>
    <row r="3126" spans="1:2" x14ac:dyDescent="0.25">
      <c r="A3126" s="2">
        <v>3121</v>
      </c>
      <c r="B3126" s="3" t="str">
        <f>"00152614"</f>
        <v>00152614</v>
      </c>
    </row>
    <row r="3127" spans="1:2" x14ac:dyDescent="0.25">
      <c r="A3127" s="2">
        <v>3122</v>
      </c>
      <c r="B3127" s="3" t="str">
        <f>"00152625"</f>
        <v>00152625</v>
      </c>
    </row>
    <row r="3128" spans="1:2" x14ac:dyDescent="0.25">
      <c r="A3128" s="2">
        <v>3123</v>
      </c>
      <c r="B3128" s="3" t="str">
        <f>"00152698"</f>
        <v>00152698</v>
      </c>
    </row>
    <row r="3129" spans="1:2" x14ac:dyDescent="0.25">
      <c r="A3129" s="2">
        <v>3124</v>
      </c>
      <c r="B3129" s="3" t="str">
        <f>"00152772"</f>
        <v>00152772</v>
      </c>
    </row>
    <row r="3130" spans="1:2" x14ac:dyDescent="0.25">
      <c r="A3130" s="2">
        <v>3125</v>
      </c>
      <c r="B3130" s="3" t="str">
        <f>"00152776"</f>
        <v>00152776</v>
      </c>
    </row>
    <row r="3131" spans="1:2" x14ac:dyDescent="0.25">
      <c r="A3131" s="2">
        <v>3126</v>
      </c>
      <c r="B3131" s="3" t="str">
        <f>"00152819"</f>
        <v>00152819</v>
      </c>
    </row>
    <row r="3132" spans="1:2" x14ac:dyDescent="0.25">
      <c r="A3132" s="2">
        <v>3127</v>
      </c>
      <c r="B3132" s="3" t="str">
        <f>"00152850"</f>
        <v>00152850</v>
      </c>
    </row>
    <row r="3133" spans="1:2" x14ac:dyDescent="0.25">
      <c r="A3133" s="2">
        <v>3128</v>
      </c>
      <c r="B3133" s="3" t="str">
        <f>"00152883"</f>
        <v>00152883</v>
      </c>
    </row>
    <row r="3134" spans="1:2" x14ac:dyDescent="0.25">
      <c r="A3134" s="2">
        <v>3129</v>
      </c>
      <c r="B3134" s="3" t="str">
        <f>"00152887"</f>
        <v>00152887</v>
      </c>
    </row>
    <row r="3135" spans="1:2" x14ac:dyDescent="0.25">
      <c r="A3135" s="2">
        <v>3130</v>
      </c>
      <c r="B3135" s="3" t="str">
        <f>"00152947"</f>
        <v>00152947</v>
      </c>
    </row>
    <row r="3136" spans="1:2" x14ac:dyDescent="0.25">
      <c r="A3136" s="2">
        <v>3131</v>
      </c>
      <c r="B3136" s="3" t="str">
        <f>"00152952"</f>
        <v>00152952</v>
      </c>
    </row>
    <row r="3137" spans="1:2" x14ac:dyDescent="0.25">
      <c r="A3137" s="2">
        <v>3132</v>
      </c>
      <c r="B3137" s="3" t="str">
        <f>"00152955"</f>
        <v>00152955</v>
      </c>
    </row>
    <row r="3138" spans="1:2" x14ac:dyDescent="0.25">
      <c r="A3138" s="2">
        <v>3133</v>
      </c>
      <c r="B3138" s="3" t="str">
        <f>"00152969"</f>
        <v>00152969</v>
      </c>
    </row>
    <row r="3139" spans="1:2" x14ac:dyDescent="0.25">
      <c r="A3139" s="2">
        <v>3134</v>
      </c>
      <c r="B3139" s="3" t="str">
        <f>"00152983"</f>
        <v>00152983</v>
      </c>
    </row>
    <row r="3140" spans="1:2" x14ac:dyDescent="0.25">
      <c r="A3140" s="2">
        <v>3135</v>
      </c>
      <c r="B3140" s="3" t="str">
        <f>"00153002"</f>
        <v>00153002</v>
      </c>
    </row>
    <row r="3141" spans="1:2" x14ac:dyDescent="0.25">
      <c r="A3141" s="2">
        <v>3136</v>
      </c>
      <c r="B3141" s="3" t="str">
        <f>"00153074"</f>
        <v>00153074</v>
      </c>
    </row>
    <row r="3142" spans="1:2" x14ac:dyDescent="0.25">
      <c r="A3142" s="2">
        <v>3137</v>
      </c>
      <c r="B3142" s="3" t="str">
        <f>"00153097"</f>
        <v>00153097</v>
      </c>
    </row>
    <row r="3143" spans="1:2" x14ac:dyDescent="0.25">
      <c r="A3143" s="2">
        <v>3138</v>
      </c>
      <c r="B3143" s="3" t="str">
        <f>"00153106"</f>
        <v>00153106</v>
      </c>
    </row>
    <row r="3144" spans="1:2" x14ac:dyDescent="0.25">
      <c r="A3144" s="2">
        <v>3139</v>
      </c>
      <c r="B3144" s="3" t="str">
        <f>"00153146"</f>
        <v>00153146</v>
      </c>
    </row>
    <row r="3145" spans="1:2" x14ac:dyDescent="0.25">
      <c r="A3145" s="2">
        <v>3140</v>
      </c>
      <c r="B3145" s="3" t="str">
        <f>"00153153"</f>
        <v>00153153</v>
      </c>
    </row>
    <row r="3146" spans="1:2" x14ac:dyDescent="0.25">
      <c r="A3146" s="2">
        <v>3141</v>
      </c>
      <c r="B3146" s="3" t="str">
        <f>"00153203"</f>
        <v>00153203</v>
      </c>
    </row>
    <row r="3147" spans="1:2" x14ac:dyDescent="0.25">
      <c r="A3147" s="2">
        <v>3142</v>
      </c>
      <c r="B3147" s="3" t="str">
        <f>"00153249"</f>
        <v>00153249</v>
      </c>
    </row>
    <row r="3148" spans="1:2" x14ac:dyDescent="0.25">
      <c r="A3148" s="2">
        <v>3143</v>
      </c>
      <c r="B3148" s="3" t="str">
        <f>"00153261"</f>
        <v>00153261</v>
      </c>
    </row>
    <row r="3149" spans="1:2" x14ac:dyDescent="0.25">
      <c r="A3149" s="2">
        <v>3144</v>
      </c>
      <c r="B3149" s="3" t="str">
        <f>"00153328"</f>
        <v>00153328</v>
      </c>
    </row>
    <row r="3150" spans="1:2" x14ac:dyDescent="0.25">
      <c r="A3150" s="2">
        <v>3145</v>
      </c>
      <c r="B3150" s="3" t="str">
        <f>"00153329"</f>
        <v>00153329</v>
      </c>
    </row>
    <row r="3151" spans="1:2" x14ac:dyDescent="0.25">
      <c r="A3151" s="2">
        <v>3146</v>
      </c>
      <c r="B3151" s="3" t="str">
        <f>"00153345"</f>
        <v>00153345</v>
      </c>
    </row>
    <row r="3152" spans="1:2" x14ac:dyDescent="0.25">
      <c r="A3152" s="2">
        <v>3147</v>
      </c>
      <c r="B3152" s="3" t="str">
        <f>"00153349"</f>
        <v>00153349</v>
      </c>
    </row>
    <row r="3153" spans="1:2" x14ac:dyDescent="0.25">
      <c r="A3153" s="2">
        <v>3148</v>
      </c>
      <c r="B3153" s="3" t="str">
        <f>"00153369"</f>
        <v>00153369</v>
      </c>
    </row>
    <row r="3154" spans="1:2" x14ac:dyDescent="0.25">
      <c r="A3154" s="2">
        <v>3149</v>
      </c>
      <c r="B3154" s="3" t="str">
        <f>"00153370"</f>
        <v>00153370</v>
      </c>
    </row>
    <row r="3155" spans="1:2" x14ac:dyDescent="0.25">
      <c r="A3155" s="2">
        <v>3150</v>
      </c>
      <c r="B3155" s="3" t="str">
        <f>"00153405"</f>
        <v>00153405</v>
      </c>
    </row>
    <row r="3156" spans="1:2" x14ac:dyDescent="0.25">
      <c r="A3156" s="2">
        <v>3151</v>
      </c>
      <c r="B3156" s="3" t="str">
        <f>"00153421"</f>
        <v>00153421</v>
      </c>
    </row>
    <row r="3157" spans="1:2" x14ac:dyDescent="0.25">
      <c r="A3157" s="2">
        <v>3152</v>
      </c>
      <c r="B3157" s="3" t="str">
        <f>"00153423"</f>
        <v>00153423</v>
      </c>
    </row>
    <row r="3158" spans="1:2" x14ac:dyDescent="0.25">
      <c r="A3158" s="2">
        <v>3153</v>
      </c>
      <c r="B3158" s="3" t="str">
        <f>"00153473"</f>
        <v>00153473</v>
      </c>
    </row>
    <row r="3159" spans="1:2" x14ac:dyDescent="0.25">
      <c r="A3159" s="2">
        <v>3154</v>
      </c>
      <c r="B3159" s="3" t="str">
        <f>"00153495"</f>
        <v>00153495</v>
      </c>
    </row>
    <row r="3160" spans="1:2" x14ac:dyDescent="0.25">
      <c r="A3160" s="2">
        <v>3155</v>
      </c>
      <c r="B3160" s="3" t="str">
        <f>"00153507"</f>
        <v>00153507</v>
      </c>
    </row>
    <row r="3161" spans="1:2" x14ac:dyDescent="0.25">
      <c r="A3161" s="2">
        <v>3156</v>
      </c>
      <c r="B3161" s="3" t="str">
        <f>"00153524"</f>
        <v>00153524</v>
      </c>
    </row>
    <row r="3162" spans="1:2" x14ac:dyDescent="0.25">
      <c r="A3162" s="2">
        <v>3157</v>
      </c>
      <c r="B3162" s="3" t="str">
        <f>"00153535"</f>
        <v>00153535</v>
      </c>
    </row>
    <row r="3163" spans="1:2" x14ac:dyDescent="0.25">
      <c r="A3163" s="2">
        <v>3158</v>
      </c>
      <c r="B3163" s="3" t="str">
        <f>"00153538"</f>
        <v>00153538</v>
      </c>
    </row>
    <row r="3164" spans="1:2" x14ac:dyDescent="0.25">
      <c r="A3164" s="2">
        <v>3159</v>
      </c>
      <c r="B3164" s="3" t="str">
        <f>"00153561"</f>
        <v>00153561</v>
      </c>
    </row>
    <row r="3165" spans="1:2" x14ac:dyDescent="0.25">
      <c r="A3165" s="2">
        <v>3160</v>
      </c>
      <c r="B3165" s="3" t="str">
        <f>"00153567"</f>
        <v>00153567</v>
      </c>
    </row>
    <row r="3166" spans="1:2" x14ac:dyDescent="0.25">
      <c r="A3166" s="2">
        <v>3161</v>
      </c>
      <c r="B3166" s="3" t="str">
        <f>"00153569"</f>
        <v>00153569</v>
      </c>
    </row>
    <row r="3167" spans="1:2" x14ac:dyDescent="0.25">
      <c r="A3167" s="2">
        <v>3162</v>
      </c>
      <c r="B3167" s="3" t="str">
        <f>"00153577"</f>
        <v>00153577</v>
      </c>
    </row>
    <row r="3168" spans="1:2" x14ac:dyDescent="0.25">
      <c r="A3168" s="2">
        <v>3163</v>
      </c>
      <c r="B3168" s="3" t="str">
        <f>"00153582"</f>
        <v>00153582</v>
      </c>
    </row>
    <row r="3169" spans="1:2" x14ac:dyDescent="0.25">
      <c r="A3169" s="2">
        <v>3164</v>
      </c>
      <c r="B3169" s="3" t="str">
        <f>"00153655"</f>
        <v>00153655</v>
      </c>
    </row>
    <row r="3170" spans="1:2" x14ac:dyDescent="0.25">
      <c r="A3170" s="2">
        <v>3165</v>
      </c>
      <c r="B3170" s="3" t="str">
        <f>"00153698"</f>
        <v>00153698</v>
      </c>
    </row>
    <row r="3171" spans="1:2" x14ac:dyDescent="0.25">
      <c r="A3171" s="2">
        <v>3166</v>
      </c>
      <c r="B3171" s="3" t="str">
        <f>"00153712"</f>
        <v>00153712</v>
      </c>
    </row>
    <row r="3172" spans="1:2" x14ac:dyDescent="0.25">
      <c r="A3172" s="2">
        <v>3167</v>
      </c>
      <c r="B3172" s="3" t="str">
        <f>"00153713"</f>
        <v>00153713</v>
      </c>
    </row>
    <row r="3173" spans="1:2" x14ac:dyDescent="0.25">
      <c r="A3173" s="2">
        <v>3168</v>
      </c>
      <c r="B3173" s="3" t="str">
        <f>"00153818"</f>
        <v>00153818</v>
      </c>
    </row>
    <row r="3174" spans="1:2" x14ac:dyDescent="0.25">
      <c r="A3174" s="2">
        <v>3169</v>
      </c>
      <c r="B3174" s="3" t="str">
        <f>"00153847"</f>
        <v>00153847</v>
      </c>
    </row>
    <row r="3175" spans="1:2" x14ac:dyDescent="0.25">
      <c r="A3175" s="2">
        <v>3170</v>
      </c>
      <c r="B3175" s="3" t="str">
        <f>"00153851"</f>
        <v>00153851</v>
      </c>
    </row>
    <row r="3176" spans="1:2" x14ac:dyDescent="0.25">
      <c r="A3176" s="2">
        <v>3171</v>
      </c>
      <c r="B3176" s="3" t="str">
        <f>"00153854"</f>
        <v>00153854</v>
      </c>
    </row>
    <row r="3177" spans="1:2" x14ac:dyDescent="0.25">
      <c r="A3177" s="2">
        <v>3172</v>
      </c>
      <c r="B3177" s="3" t="str">
        <f>"00153860"</f>
        <v>00153860</v>
      </c>
    </row>
    <row r="3178" spans="1:2" x14ac:dyDescent="0.25">
      <c r="A3178" s="2">
        <v>3173</v>
      </c>
      <c r="B3178" s="3" t="str">
        <f>"00153870"</f>
        <v>00153870</v>
      </c>
    </row>
    <row r="3179" spans="1:2" x14ac:dyDescent="0.25">
      <c r="A3179" s="2">
        <v>3174</v>
      </c>
      <c r="B3179" s="3" t="str">
        <f>"00153874"</f>
        <v>00153874</v>
      </c>
    </row>
    <row r="3180" spans="1:2" x14ac:dyDescent="0.25">
      <c r="A3180" s="2">
        <v>3175</v>
      </c>
      <c r="B3180" s="3" t="str">
        <f>"00154010"</f>
        <v>00154010</v>
      </c>
    </row>
    <row r="3181" spans="1:2" x14ac:dyDescent="0.25">
      <c r="A3181" s="2">
        <v>3176</v>
      </c>
      <c r="B3181" s="3" t="str">
        <f>"00154060"</f>
        <v>00154060</v>
      </c>
    </row>
    <row r="3182" spans="1:2" x14ac:dyDescent="0.25">
      <c r="A3182" s="2">
        <v>3177</v>
      </c>
      <c r="B3182" s="3" t="str">
        <f>"00154067"</f>
        <v>00154067</v>
      </c>
    </row>
    <row r="3183" spans="1:2" x14ac:dyDescent="0.25">
      <c r="A3183" s="2">
        <v>3178</v>
      </c>
      <c r="B3183" s="3" t="str">
        <f>"00154069"</f>
        <v>00154069</v>
      </c>
    </row>
    <row r="3184" spans="1:2" x14ac:dyDescent="0.25">
      <c r="A3184" s="2">
        <v>3179</v>
      </c>
      <c r="B3184" s="3" t="str">
        <f>"00154077"</f>
        <v>00154077</v>
      </c>
    </row>
    <row r="3185" spans="1:2" x14ac:dyDescent="0.25">
      <c r="A3185" s="2">
        <v>3180</v>
      </c>
      <c r="B3185" s="3" t="str">
        <f>"00154099"</f>
        <v>00154099</v>
      </c>
    </row>
    <row r="3186" spans="1:2" x14ac:dyDescent="0.25">
      <c r="A3186" s="2">
        <v>3181</v>
      </c>
      <c r="B3186" s="3" t="str">
        <f>"00154133"</f>
        <v>00154133</v>
      </c>
    </row>
    <row r="3187" spans="1:2" x14ac:dyDescent="0.25">
      <c r="A3187" s="2">
        <v>3182</v>
      </c>
      <c r="B3187" s="3" t="str">
        <f>"00154155"</f>
        <v>00154155</v>
      </c>
    </row>
    <row r="3188" spans="1:2" x14ac:dyDescent="0.25">
      <c r="A3188" s="2">
        <v>3183</v>
      </c>
      <c r="B3188" s="3" t="str">
        <f>"00154189"</f>
        <v>00154189</v>
      </c>
    </row>
    <row r="3189" spans="1:2" x14ac:dyDescent="0.25">
      <c r="A3189" s="2">
        <v>3184</v>
      </c>
      <c r="B3189" s="3" t="str">
        <f>"00154193"</f>
        <v>00154193</v>
      </c>
    </row>
    <row r="3190" spans="1:2" x14ac:dyDescent="0.25">
      <c r="A3190" s="2">
        <v>3185</v>
      </c>
      <c r="B3190" s="3" t="str">
        <f>"00154197"</f>
        <v>00154197</v>
      </c>
    </row>
    <row r="3191" spans="1:2" x14ac:dyDescent="0.25">
      <c r="A3191" s="2">
        <v>3186</v>
      </c>
      <c r="B3191" s="3" t="str">
        <f>"00154198"</f>
        <v>00154198</v>
      </c>
    </row>
    <row r="3192" spans="1:2" x14ac:dyDescent="0.25">
      <c r="A3192" s="2">
        <v>3187</v>
      </c>
      <c r="B3192" s="3" t="str">
        <f>"00154244"</f>
        <v>00154244</v>
      </c>
    </row>
    <row r="3193" spans="1:2" x14ac:dyDescent="0.25">
      <c r="A3193" s="2">
        <v>3188</v>
      </c>
      <c r="B3193" s="3" t="str">
        <f>"00154377"</f>
        <v>00154377</v>
      </c>
    </row>
    <row r="3194" spans="1:2" x14ac:dyDescent="0.25">
      <c r="A3194" s="2">
        <v>3189</v>
      </c>
      <c r="B3194" s="3" t="str">
        <f>"00154389"</f>
        <v>00154389</v>
      </c>
    </row>
    <row r="3195" spans="1:2" x14ac:dyDescent="0.25">
      <c r="A3195" s="2">
        <v>3190</v>
      </c>
      <c r="B3195" s="3" t="str">
        <f>"00154413"</f>
        <v>00154413</v>
      </c>
    </row>
    <row r="3196" spans="1:2" x14ac:dyDescent="0.25">
      <c r="A3196" s="2">
        <v>3191</v>
      </c>
      <c r="B3196" s="3" t="str">
        <f>"00154432"</f>
        <v>00154432</v>
      </c>
    </row>
    <row r="3197" spans="1:2" x14ac:dyDescent="0.25">
      <c r="A3197" s="2">
        <v>3192</v>
      </c>
      <c r="B3197" s="3" t="str">
        <f>"00154487"</f>
        <v>00154487</v>
      </c>
    </row>
    <row r="3198" spans="1:2" x14ac:dyDescent="0.25">
      <c r="A3198" s="2">
        <v>3193</v>
      </c>
      <c r="B3198" s="3" t="str">
        <f>"00154514"</f>
        <v>00154514</v>
      </c>
    </row>
    <row r="3199" spans="1:2" x14ac:dyDescent="0.25">
      <c r="A3199" s="2">
        <v>3194</v>
      </c>
      <c r="B3199" s="3" t="str">
        <f>"00154538"</f>
        <v>00154538</v>
      </c>
    </row>
    <row r="3200" spans="1:2" x14ac:dyDescent="0.25">
      <c r="A3200" s="2">
        <v>3195</v>
      </c>
      <c r="B3200" s="3" t="str">
        <f>"00154578"</f>
        <v>00154578</v>
      </c>
    </row>
    <row r="3201" spans="1:2" x14ac:dyDescent="0.25">
      <c r="A3201" s="2">
        <v>3196</v>
      </c>
      <c r="B3201" s="3" t="str">
        <f>"00154579"</f>
        <v>00154579</v>
      </c>
    </row>
    <row r="3202" spans="1:2" x14ac:dyDescent="0.25">
      <c r="A3202" s="2">
        <v>3197</v>
      </c>
      <c r="B3202" s="3" t="str">
        <f>"00154610"</f>
        <v>00154610</v>
      </c>
    </row>
    <row r="3203" spans="1:2" x14ac:dyDescent="0.25">
      <c r="A3203" s="2">
        <v>3198</v>
      </c>
      <c r="B3203" s="3" t="str">
        <f>"00154658"</f>
        <v>00154658</v>
      </c>
    </row>
    <row r="3204" spans="1:2" x14ac:dyDescent="0.25">
      <c r="A3204" s="2">
        <v>3199</v>
      </c>
      <c r="B3204" s="3" t="str">
        <f>"00154698"</f>
        <v>00154698</v>
      </c>
    </row>
    <row r="3205" spans="1:2" x14ac:dyDescent="0.25">
      <c r="A3205" s="2">
        <v>3200</v>
      </c>
      <c r="B3205" s="3" t="str">
        <f>"00154708"</f>
        <v>00154708</v>
      </c>
    </row>
    <row r="3206" spans="1:2" x14ac:dyDescent="0.25">
      <c r="A3206" s="2">
        <v>3201</v>
      </c>
      <c r="B3206" s="3" t="str">
        <f>"00154726"</f>
        <v>00154726</v>
      </c>
    </row>
    <row r="3207" spans="1:2" x14ac:dyDescent="0.25">
      <c r="A3207" s="2">
        <v>3202</v>
      </c>
      <c r="B3207" s="3" t="str">
        <f>"00154748"</f>
        <v>00154748</v>
      </c>
    </row>
    <row r="3208" spans="1:2" x14ac:dyDescent="0.25">
      <c r="A3208" s="2">
        <v>3203</v>
      </c>
      <c r="B3208" s="3" t="str">
        <f>"00154771"</f>
        <v>00154771</v>
      </c>
    </row>
    <row r="3209" spans="1:2" x14ac:dyDescent="0.25">
      <c r="A3209" s="2">
        <v>3204</v>
      </c>
      <c r="B3209" s="3" t="str">
        <f>"00154823"</f>
        <v>00154823</v>
      </c>
    </row>
    <row r="3210" spans="1:2" x14ac:dyDescent="0.25">
      <c r="A3210" s="2">
        <v>3205</v>
      </c>
      <c r="B3210" s="3" t="str">
        <f>"00154855"</f>
        <v>00154855</v>
      </c>
    </row>
    <row r="3211" spans="1:2" x14ac:dyDescent="0.25">
      <c r="A3211" s="2">
        <v>3206</v>
      </c>
      <c r="B3211" s="3" t="str">
        <f>"00154959"</f>
        <v>00154959</v>
      </c>
    </row>
    <row r="3212" spans="1:2" x14ac:dyDescent="0.25">
      <c r="A3212" s="2">
        <v>3207</v>
      </c>
      <c r="B3212" s="3" t="str">
        <f>"00155018"</f>
        <v>00155018</v>
      </c>
    </row>
    <row r="3213" spans="1:2" x14ac:dyDescent="0.25">
      <c r="A3213" s="2">
        <v>3208</v>
      </c>
      <c r="B3213" s="3" t="str">
        <f>"00155024"</f>
        <v>00155024</v>
      </c>
    </row>
    <row r="3214" spans="1:2" x14ac:dyDescent="0.25">
      <c r="A3214" s="2">
        <v>3209</v>
      </c>
      <c r="B3214" s="3" t="str">
        <f>"00155062"</f>
        <v>00155062</v>
      </c>
    </row>
    <row r="3215" spans="1:2" x14ac:dyDescent="0.25">
      <c r="A3215" s="2">
        <v>3210</v>
      </c>
      <c r="B3215" s="3" t="str">
        <f>"00155112"</f>
        <v>00155112</v>
      </c>
    </row>
    <row r="3216" spans="1:2" x14ac:dyDescent="0.25">
      <c r="A3216" s="2">
        <v>3211</v>
      </c>
      <c r="B3216" s="3" t="str">
        <f>"00155114"</f>
        <v>00155114</v>
      </c>
    </row>
    <row r="3217" spans="1:2" x14ac:dyDescent="0.25">
      <c r="A3217" s="2">
        <v>3212</v>
      </c>
      <c r="B3217" s="3" t="str">
        <f>"00155125"</f>
        <v>00155125</v>
      </c>
    </row>
    <row r="3218" spans="1:2" x14ac:dyDescent="0.25">
      <c r="A3218" s="2">
        <v>3213</v>
      </c>
      <c r="B3218" s="3" t="str">
        <f>"00155129"</f>
        <v>00155129</v>
      </c>
    </row>
    <row r="3219" spans="1:2" x14ac:dyDescent="0.25">
      <c r="A3219" s="2">
        <v>3214</v>
      </c>
      <c r="B3219" s="3" t="str">
        <f>"00155134"</f>
        <v>00155134</v>
      </c>
    </row>
    <row r="3220" spans="1:2" x14ac:dyDescent="0.25">
      <c r="A3220" s="2">
        <v>3215</v>
      </c>
      <c r="B3220" s="3" t="str">
        <f>"00155143"</f>
        <v>00155143</v>
      </c>
    </row>
    <row r="3221" spans="1:2" x14ac:dyDescent="0.25">
      <c r="A3221" s="2">
        <v>3216</v>
      </c>
      <c r="B3221" s="3" t="str">
        <f>"00155165"</f>
        <v>00155165</v>
      </c>
    </row>
    <row r="3222" spans="1:2" x14ac:dyDescent="0.25">
      <c r="A3222" s="2">
        <v>3217</v>
      </c>
      <c r="B3222" s="3" t="str">
        <f>"00155190"</f>
        <v>00155190</v>
      </c>
    </row>
    <row r="3223" spans="1:2" x14ac:dyDescent="0.25">
      <c r="A3223" s="2">
        <v>3218</v>
      </c>
      <c r="B3223" s="3" t="str">
        <f>"00155208"</f>
        <v>00155208</v>
      </c>
    </row>
    <row r="3224" spans="1:2" x14ac:dyDescent="0.25">
      <c r="A3224" s="2">
        <v>3219</v>
      </c>
      <c r="B3224" s="3" t="str">
        <f>"00155224"</f>
        <v>00155224</v>
      </c>
    </row>
    <row r="3225" spans="1:2" x14ac:dyDescent="0.25">
      <c r="A3225" s="2">
        <v>3220</v>
      </c>
      <c r="B3225" s="3" t="str">
        <f>"00155288"</f>
        <v>00155288</v>
      </c>
    </row>
    <row r="3226" spans="1:2" x14ac:dyDescent="0.25">
      <c r="A3226" s="2">
        <v>3221</v>
      </c>
      <c r="B3226" s="3" t="str">
        <f>"00155305"</f>
        <v>00155305</v>
      </c>
    </row>
    <row r="3227" spans="1:2" x14ac:dyDescent="0.25">
      <c r="A3227" s="2">
        <v>3222</v>
      </c>
      <c r="B3227" s="3" t="str">
        <f>"00155342"</f>
        <v>00155342</v>
      </c>
    </row>
    <row r="3228" spans="1:2" x14ac:dyDescent="0.25">
      <c r="A3228" s="2">
        <v>3223</v>
      </c>
      <c r="B3228" s="3" t="str">
        <f>"00155344"</f>
        <v>00155344</v>
      </c>
    </row>
    <row r="3229" spans="1:2" x14ac:dyDescent="0.25">
      <c r="A3229" s="2">
        <v>3224</v>
      </c>
      <c r="B3229" s="3" t="str">
        <f>"00155352"</f>
        <v>00155352</v>
      </c>
    </row>
    <row r="3230" spans="1:2" x14ac:dyDescent="0.25">
      <c r="A3230" s="2">
        <v>3225</v>
      </c>
      <c r="B3230" s="3" t="str">
        <f>"00155370"</f>
        <v>00155370</v>
      </c>
    </row>
    <row r="3231" spans="1:2" x14ac:dyDescent="0.25">
      <c r="A3231" s="2">
        <v>3226</v>
      </c>
      <c r="B3231" s="3" t="str">
        <f>"00155393"</f>
        <v>00155393</v>
      </c>
    </row>
    <row r="3232" spans="1:2" x14ac:dyDescent="0.25">
      <c r="A3232" s="2">
        <v>3227</v>
      </c>
      <c r="B3232" s="3" t="str">
        <f>"00155404"</f>
        <v>00155404</v>
      </c>
    </row>
    <row r="3233" spans="1:2" x14ac:dyDescent="0.25">
      <c r="A3233" s="2">
        <v>3228</v>
      </c>
      <c r="B3233" s="3" t="str">
        <f>"00155415"</f>
        <v>00155415</v>
      </c>
    </row>
    <row r="3234" spans="1:2" x14ac:dyDescent="0.25">
      <c r="A3234" s="2">
        <v>3229</v>
      </c>
      <c r="B3234" s="3" t="str">
        <f>"00155434"</f>
        <v>00155434</v>
      </c>
    </row>
    <row r="3235" spans="1:2" x14ac:dyDescent="0.25">
      <c r="A3235" s="2">
        <v>3230</v>
      </c>
      <c r="B3235" s="3" t="str">
        <f>"00155435"</f>
        <v>00155435</v>
      </c>
    </row>
    <row r="3236" spans="1:2" x14ac:dyDescent="0.25">
      <c r="A3236" s="2">
        <v>3231</v>
      </c>
      <c r="B3236" s="3" t="str">
        <f>"00155437"</f>
        <v>00155437</v>
      </c>
    </row>
    <row r="3237" spans="1:2" x14ac:dyDescent="0.25">
      <c r="A3237" s="2">
        <v>3232</v>
      </c>
      <c r="B3237" s="3" t="str">
        <f>"00155438"</f>
        <v>00155438</v>
      </c>
    </row>
    <row r="3238" spans="1:2" x14ac:dyDescent="0.25">
      <c r="A3238" s="2">
        <v>3233</v>
      </c>
      <c r="B3238" s="3" t="str">
        <f>"00155469"</f>
        <v>00155469</v>
      </c>
    </row>
    <row r="3239" spans="1:2" x14ac:dyDescent="0.25">
      <c r="A3239" s="2">
        <v>3234</v>
      </c>
      <c r="B3239" s="3" t="str">
        <f>"00155475"</f>
        <v>00155475</v>
      </c>
    </row>
    <row r="3240" spans="1:2" x14ac:dyDescent="0.25">
      <c r="A3240" s="2">
        <v>3235</v>
      </c>
      <c r="B3240" s="3" t="str">
        <f>"00155484"</f>
        <v>00155484</v>
      </c>
    </row>
    <row r="3241" spans="1:2" x14ac:dyDescent="0.25">
      <c r="A3241" s="2">
        <v>3236</v>
      </c>
      <c r="B3241" s="3" t="str">
        <f>"00155488"</f>
        <v>00155488</v>
      </c>
    </row>
    <row r="3242" spans="1:2" x14ac:dyDescent="0.25">
      <c r="A3242" s="2">
        <v>3237</v>
      </c>
      <c r="B3242" s="3" t="str">
        <f>"00155526"</f>
        <v>00155526</v>
      </c>
    </row>
    <row r="3243" spans="1:2" x14ac:dyDescent="0.25">
      <c r="A3243" s="2">
        <v>3238</v>
      </c>
      <c r="B3243" s="3" t="str">
        <f>"00155550"</f>
        <v>00155550</v>
      </c>
    </row>
    <row r="3244" spans="1:2" x14ac:dyDescent="0.25">
      <c r="A3244" s="2">
        <v>3239</v>
      </c>
      <c r="B3244" s="3" t="str">
        <f>"00155581"</f>
        <v>00155581</v>
      </c>
    </row>
    <row r="3245" spans="1:2" x14ac:dyDescent="0.25">
      <c r="A3245" s="2">
        <v>3240</v>
      </c>
      <c r="B3245" s="3" t="str">
        <f>"00155593"</f>
        <v>00155593</v>
      </c>
    </row>
    <row r="3246" spans="1:2" x14ac:dyDescent="0.25">
      <c r="A3246" s="2">
        <v>3241</v>
      </c>
      <c r="B3246" s="3" t="str">
        <f>"00155645"</f>
        <v>00155645</v>
      </c>
    </row>
    <row r="3247" spans="1:2" x14ac:dyDescent="0.25">
      <c r="A3247" s="2">
        <v>3242</v>
      </c>
      <c r="B3247" s="3" t="str">
        <f>"00155646"</f>
        <v>00155646</v>
      </c>
    </row>
    <row r="3248" spans="1:2" x14ac:dyDescent="0.25">
      <c r="A3248" s="2">
        <v>3243</v>
      </c>
      <c r="B3248" s="3" t="str">
        <f>"00155666"</f>
        <v>00155666</v>
      </c>
    </row>
    <row r="3249" spans="1:2" x14ac:dyDescent="0.25">
      <c r="A3249" s="2">
        <v>3244</v>
      </c>
      <c r="B3249" s="3" t="str">
        <f>"00155689"</f>
        <v>00155689</v>
      </c>
    </row>
    <row r="3250" spans="1:2" x14ac:dyDescent="0.25">
      <c r="A3250" s="2">
        <v>3245</v>
      </c>
      <c r="B3250" s="3" t="str">
        <f>"00155721"</f>
        <v>00155721</v>
      </c>
    </row>
    <row r="3251" spans="1:2" x14ac:dyDescent="0.25">
      <c r="A3251" s="2">
        <v>3246</v>
      </c>
      <c r="B3251" s="3" t="str">
        <f>"00155810"</f>
        <v>00155810</v>
      </c>
    </row>
    <row r="3252" spans="1:2" x14ac:dyDescent="0.25">
      <c r="A3252" s="2">
        <v>3247</v>
      </c>
      <c r="B3252" s="3" t="str">
        <f>"00155878"</f>
        <v>00155878</v>
      </c>
    </row>
    <row r="3253" spans="1:2" x14ac:dyDescent="0.25">
      <c r="A3253" s="2">
        <v>3248</v>
      </c>
      <c r="B3253" s="3" t="str">
        <f>"00155904"</f>
        <v>00155904</v>
      </c>
    </row>
    <row r="3254" spans="1:2" x14ac:dyDescent="0.25">
      <c r="A3254" s="2">
        <v>3249</v>
      </c>
      <c r="B3254" s="3" t="str">
        <f>"00155928"</f>
        <v>00155928</v>
      </c>
    </row>
    <row r="3255" spans="1:2" x14ac:dyDescent="0.25">
      <c r="A3255" s="2">
        <v>3250</v>
      </c>
      <c r="B3255" s="3" t="str">
        <f>"00155970"</f>
        <v>00155970</v>
      </c>
    </row>
    <row r="3256" spans="1:2" x14ac:dyDescent="0.25">
      <c r="A3256" s="2">
        <v>3251</v>
      </c>
      <c r="B3256" s="3" t="str">
        <f>"00155977"</f>
        <v>00155977</v>
      </c>
    </row>
    <row r="3257" spans="1:2" x14ac:dyDescent="0.25">
      <c r="A3257" s="2">
        <v>3252</v>
      </c>
      <c r="B3257" s="3" t="str">
        <f>"00155979"</f>
        <v>00155979</v>
      </c>
    </row>
    <row r="3258" spans="1:2" x14ac:dyDescent="0.25">
      <c r="A3258" s="2">
        <v>3253</v>
      </c>
      <c r="B3258" s="3" t="str">
        <f>"00156061"</f>
        <v>00156061</v>
      </c>
    </row>
    <row r="3259" spans="1:2" x14ac:dyDescent="0.25">
      <c r="A3259" s="2">
        <v>3254</v>
      </c>
      <c r="B3259" s="3" t="str">
        <f>"00156066"</f>
        <v>00156066</v>
      </c>
    </row>
    <row r="3260" spans="1:2" x14ac:dyDescent="0.25">
      <c r="A3260" s="2">
        <v>3255</v>
      </c>
      <c r="B3260" s="3" t="str">
        <f>"00156080"</f>
        <v>00156080</v>
      </c>
    </row>
    <row r="3261" spans="1:2" x14ac:dyDescent="0.25">
      <c r="A3261" s="2">
        <v>3256</v>
      </c>
      <c r="B3261" s="3" t="str">
        <f>"00156188"</f>
        <v>00156188</v>
      </c>
    </row>
    <row r="3262" spans="1:2" x14ac:dyDescent="0.25">
      <c r="A3262" s="2">
        <v>3257</v>
      </c>
      <c r="B3262" s="3" t="str">
        <f>"00156211"</f>
        <v>00156211</v>
      </c>
    </row>
    <row r="3263" spans="1:2" x14ac:dyDescent="0.25">
      <c r="A3263" s="2">
        <v>3258</v>
      </c>
      <c r="B3263" s="3" t="str">
        <f>"00156227"</f>
        <v>00156227</v>
      </c>
    </row>
    <row r="3264" spans="1:2" x14ac:dyDescent="0.25">
      <c r="A3264" s="2">
        <v>3259</v>
      </c>
      <c r="B3264" s="3" t="str">
        <f>"00156233"</f>
        <v>00156233</v>
      </c>
    </row>
    <row r="3265" spans="1:2" x14ac:dyDescent="0.25">
      <c r="A3265" s="2">
        <v>3260</v>
      </c>
      <c r="B3265" s="3" t="str">
        <f>"00156246"</f>
        <v>00156246</v>
      </c>
    </row>
    <row r="3266" spans="1:2" x14ac:dyDescent="0.25">
      <c r="A3266" s="2">
        <v>3261</v>
      </c>
      <c r="B3266" s="3" t="str">
        <f>"00156302"</f>
        <v>00156302</v>
      </c>
    </row>
    <row r="3267" spans="1:2" x14ac:dyDescent="0.25">
      <c r="A3267" s="2">
        <v>3262</v>
      </c>
      <c r="B3267" s="3" t="str">
        <f>"00156380"</f>
        <v>00156380</v>
      </c>
    </row>
    <row r="3268" spans="1:2" x14ac:dyDescent="0.25">
      <c r="A3268" s="2">
        <v>3263</v>
      </c>
      <c r="B3268" s="3" t="str">
        <f>"00156388"</f>
        <v>00156388</v>
      </c>
    </row>
    <row r="3269" spans="1:2" x14ac:dyDescent="0.25">
      <c r="A3269" s="2">
        <v>3264</v>
      </c>
      <c r="B3269" s="3" t="str">
        <f>"00156435"</f>
        <v>00156435</v>
      </c>
    </row>
    <row r="3270" spans="1:2" x14ac:dyDescent="0.25">
      <c r="A3270" s="2">
        <v>3265</v>
      </c>
      <c r="B3270" s="3" t="str">
        <f>"00156461"</f>
        <v>00156461</v>
      </c>
    </row>
    <row r="3271" spans="1:2" x14ac:dyDescent="0.25">
      <c r="A3271" s="2">
        <v>3266</v>
      </c>
      <c r="B3271" s="3" t="str">
        <f>"00156492"</f>
        <v>00156492</v>
      </c>
    </row>
    <row r="3272" spans="1:2" x14ac:dyDescent="0.25">
      <c r="A3272" s="2">
        <v>3267</v>
      </c>
      <c r="B3272" s="3" t="str">
        <f>"00156507"</f>
        <v>00156507</v>
      </c>
    </row>
    <row r="3273" spans="1:2" x14ac:dyDescent="0.25">
      <c r="A3273" s="2">
        <v>3268</v>
      </c>
      <c r="B3273" s="3" t="str">
        <f>"00156524"</f>
        <v>00156524</v>
      </c>
    </row>
    <row r="3274" spans="1:2" x14ac:dyDescent="0.25">
      <c r="A3274" s="2">
        <v>3269</v>
      </c>
      <c r="B3274" s="3" t="str">
        <f>"00156545"</f>
        <v>00156545</v>
      </c>
    </row>
    <row r="3275" spans="1:2" x14ac:dyDescent="0.25">
      <c r="A3275" s="2">
        <v>3270</v>
      </c>
      <c r="B3275" s="3" t="str">
        <f>"00156570"</f>
        <v>00156570</v>
      </c>
    </row>
    <row r="3276" spans="1:2" x14ac:dyDescent="0.25">
      <c r="A3276" s="2">
        <v>3271</v>
      </c>
      <c r="B3276" s="3" t="str">
        <f>"00156572"</f>
        <v>00156572</v>
      </c>
    </row>
    <row r="3277" spans="1:2" x14ac:dyDescent="0.25">
      <c r="A3277" s="2">
        <v>3272</v>
      </c>
      <c r="B3277" s="3" t="str">
        <f>"00156577"</f>
        <v>00156577</v>
      </c>
    </row>
    <row r="3278" spans="1:2" x14ac:dyDescent="0.25">
      <c r="A3278" s="2">
        <v>3273</v>
      </c>
      <c r="B3278" s="3" t="str">
        <f>"00156602"</f>
        <v>00156602</v>
      </c>
    </row>
    <row r="3279" spans="1:2" x14ac:dyDescent="0.25">
      <c r="A3279" s="2">
        <v>3274</v>
      </c>
      <c r="B3279" s="3" t="str">
        <f>"00156731"</f>
        <v>00156731</v>
      </c>
    </row>
    <row r="3280" spans="1:2" x14ac:dyDescent="0.25">
      <c r="A3280" s="2">
        <v>3275</v>
      </c>
      <c r="B3280" s="3" t="str">
        <f>"00156740"</f>
        <v>00156740</v>
      </c>
    </row>
    <row r="3281" spans="1:2" x14ac:dyDescent="0.25">
      <c r="A3281" s="2">
        <v>3276</v>
      </c>
      <c r="B3281" s="3" t="str">
        <f>"00156748"</f>
        <v>00156748</v>
      </c>
    </row>
    <row r="3282" spans="1:2" x14ac:dyDescent="0.25">
      <c r="A3282" s="2">
        <v>3277</v>
      </c>
      <c r="B3282" s="3" t="str">
        <f>"00156754"</f>
        <v>00156754</v>
      </c>
    </row>
    <row r="3283" spans="1:2" x14ac:dyDescent="0.25">
      <c r="A3283" s="2">
        <v>3278</v>
      </c>
      <c r="B3283" s="3" t="str">
        <f>"00156817"</f>
        <v>00156817</v>
      </c>
    </row>
    <row r="3284" spans="1:2" x14ac:dyDescent="0.25">
      <c r="A3284" s="2">
        <v>3279</v>
      </c>
      <c r="B3284" s="3" t="str">
        <f>"00156830"</f>
        <v>00156830</v>
      </c>
    </row>
    <row r="3285" spans="1:2" x14ac:dyDescent="0.25">
      <c r="A3285" s="2">
        <v>3280</v>
      </c>
      <c r="B3285" s="3" t="str">
        <f>"00156848"</f>
        <v>00156848</v>
      </c>
    </row>
    <row r="3286" spans="1:2" x14ac:dyDescent="0.25">
      <c r="A3286" s="2">
        <v>3281</v>
      </c>
      <c r="B3286" s="3" t="str">
        <f>"00156863"</f>
        <v>00156863</v>
      </c>
    </row>
    <row r="3287" spans="1:2" x14ac:dyDescent="0.25">
      <c r="A3287" s="2">
        <v>3282</v>
      </c>
      <c r="B3287" s="3" t="str">
        <f>"00156888"</f>
        <v>00156888</v>
      </c>
    </row>
    <row r="3288" spans="1:2" x14ac:dyDescent="0.25">
      <c r="A3288" s="2">
        <v>3283</v>
      </c>
      <c r="B3288" s="3" t="str">
        <f>"00156893"</f>
        <v>00156893</v>
      </c>
    </row>
    <row r="3289" spans="1:2" x14ac:dyDescent="0.25">
      <c r="A3289" s="2">
        <v>3284</v>
      </c>
      <c r="B3289" s="3" t="str">
        <f>"00156914"</f>
        <v>00156914</v>
      </c>
    </row>
    <row r="3290" spans="1:2" x14ac:dyDescent="0.25">
      <c r="A3290" s="2">
        <v>3285</v>
      </c>
      <c r="B3290" s="3" t="str">
        <f>"00156985"</f>
        <v>00156985</v>
      </c>
    </row>
    <row r="3291" spans="1:2" x14ac:dyDescent="0.25">
      <c r="A3291" s="2">
        <v>3286</v>
      </c>
      <c r="B3291" s="3" t="str">
        <f>"00156993"</f>
        <v>00156993</v>
      </c>
    </row>
    <row r="3292" spans="1:2" x14ac:dyDescent="0.25">
      <c r="A3292" s="2">
        <v>3287</v>
      </c>
      <c r="B3292" s="3" t="str">
        <f>"00157020"</f>
        <v>00157020</v>
      </c>
    </row>
    <row r="3293" spans="1:2" x14ac:dyDescent="0.25">
      <c r="A3293" s="2">
        <v>3288</v>
      </c>
      <c r="B3293" s="3" t="str">
        <f>"00157062"</f>
        <v>00157062</v>
      </c>
    </row>
    <row r="3294" spans="1:2" x14ac:dyDescent="0.25">
      <c r="A3294" s="2">
        <v>3289</v>
      </c>
      <c r="B3294" s="3" t="str">
        <f>"00157100"</f>
        <v>00157100</v>
      </c>
    </row>
    <row r="3295" spans="1:2" x14ac:dyDescent="0.25">
      <c r="A3295" s="2">
        <v>3290</v>
      </c>
      <c r="B3295" s="3" t="str">
        <f>"00157173"</f>
        <v>00157173</v>
      </c>
    </row>
    <row r="3296" spans="1:2" x14ac:dyDescent="0.25">
      <c r="A3296" s="2">
        <v>3291</v>
      </c>
      <c r="B3296" s="3" t="str">
        <f>"00157200"</f>
        <v>00157200</v>
      </c>
    </row>
    <row r="3297" spans="1:2" x14ac:dyDescent="0.25">
      <c r="A3297" s="2">
        <v>3292</v>
      </c>
      <c r="B3297" s="3" t="str">
        <f>"00157208"</f>
        <v>00157208</v>
      </c>
    </row>
    <row r="3298" spans="1:2" x14ac:dyDescent="0.25">
      <c r="A3298" s="2">
        <v>3293</v>
      </c>
      <c r="B3298" s="3" t="str">
        <f>"00157259"</f>
        <v>00157259</v>
      </c>
    </row>
    <row r="3299" spans="1:2" x14ac:dyDescent="0.25">
      <c r="A3299" s="2">
        <v>3294</v>
      </c>
      <c r="B3299" s="3" t="str">
        <f>"00157263"</f>
        <v>00157263</v>
      </c>
    </row>
    <row r="3300" spans="1:2" x14ac:dyDescent="0.25">
      <c r="A3300" s="2">
        <v>3295</v>
      </c>
      <c r="B3300" s="3" t="str">
        <f>"00157265"</f>
        <v>00157265</v>
      </c>
    </row>
    <row r="3301" spans="1:2" x14ac:dyDescent="0.25">
      <c r="A3301" s="2">
        <v>3296</v>
      </c>
      <c r="B3301" s="3" t="str">
        <f>"00157289"</f>
        <v>00157289</v>
      </c>
    </row>
    <row r="3302" spans="1:2" x14ac:dyDescent="0.25">
      <c r="A3302" s="2">
        <v>3297</v>
      </c>
      <c r="B3302" s="3" t="str">
        <f>"00157293"</f>
        <v>00157293</v>
      </c>
    </row>
    <row r="3303" spans="1:2" x14ac:dyDescent="0.25">
      <c r="A3303" s="2">
        <v>3298</v>
      </c>
      <c r="B3303" s="3" t="str">
        <f>"00157313"</f>
        <v>00157313</v>
      </c>
    </row>
    <row r="3304" spans="1:2" x14ac:dyDescent="0.25">
      <c r="A3304" s="2">
        <v>3299</v>
      </c>
      <c r="B3304" s="3" t="str">
        <f>"00157318"</f>
        <v>00157318</v>
      </c>
    </row>
    <row r="3305" spans="1:2" x14ac:dyDescent="0.25">
      <c r="A3305" s="2">
        <v>3300</v>
      </c>
      <c r="B3305" s="3" t="str">
        <f>"00157324"</f>
        <v>00157324</v>
      </c>
    </row>
    <row r="3306" spans="1:2" x14ac:dyDescent="0.25">
      <c r="A3306" s="2">
        <v>3301</v>
      </c>
      <c r="B3306" s="3" t="str">
        <f>"00157328"</f>
        <v>00157328</v>
      </c>
    </row>
    <row r="3307" spans="1:2" x14ac:dyDescent="0.25">
      <c r="A3307" s="2">
        <v>3302</v>
      </c>
      <c r="B3307" s="3" t="str">
        <f>"00157343"</f>
        <v>00157343</v>
      </c>
    </row>
    <row r="3308" spans="1:2" x14ac:dyDescent="0.25">
      <c r="A3308" s="2">
        <v>3303</v>
      </c>
      <c r="B3308" s="3" t="str">
        <f>"00157369"</f>
        <v>00157369</v>
      </c>
    </row>
    <row r="3309" spans="1:2" x14ac:dyDescent="0.25">
      <c r="A3309" s="2">
        <v>3304</v>
      </c>
      <c r="B3309" s="3" t="str">
        <f>"00157411"</f>
        <v>00157411</v>
      </c>
    </row>
    <row r="3310" spans="1:2" x14ac:dyDescent="0.25">
      <c r="A3310" s="2">
        <v>3305</v>
      </c>
      <c r="B3310" s="3" t="str">
        <f>"00157414"</f>
        <v>00157414</v>
      </c>
    </row>
    <row r="3311" spans="1:2" x14ac:dyDescent="0.25">
      <c r="A3311" s="2">
        <v>3306</v>
      </c>
      <c r="B3311" s="3" t="str">
        <f>"00157418"</f>
        <v>00157418</v>
      </c>
    </row>
    <row r="3312" spans="1:2" x14ac:dyDescent="0.25">
      <c r="A3312" s="2">
        <v>3307</v>
      </c>
      <c r="B3312" s="3" t="str">
        <f>"00157443"</f>
        <v>00157443</v>
      </c>
    </row>
    <row r="3313" spans="1:2" x14ac:dyDescent="0.25">
      <c r="A3313" s="2">
        <v>3308</v>
      </c>
      <c r="B3313" s="3" t="str">
        <f>"00157459"</f>
        <v>00157459</v>
      </c>
    </row>
    <row r="3314" spans="1:2" x14ac:dyDescent="0.25">
      <c r="A3314" s="2">
        <v>3309</v>
      </c>
      <c r="B3314" s="3" t="str">
        <f>"00157460"</f>
        <v>00157460</v>
      </c>
    </row>
    <row r="3315" spans="1:2" x14ac:dyDescent="0.25">
      <c r="A3315" s="2">
        <v>3310</v>
      </c>
      <c r="B3315" s="3" t="str">
        <f>"00157465"</f>
        <v>00157465</v>
      </c>
    </row>
    <row r="3316" spans="1:2" x14ac:dyDescent="0.25">
      <c r="A3316" s="2">
        <v>3311</v>
      </c>
      <c r="B3316" s="3" t="str">
        <f>"00157555"</f>
        <v>00157555</v>
      </c>
    </row>
    <row r="3317" spans="1:2" x14ac:dyDescent="0.25">
      <c r="A3317" s="2">
        <v>3312</v>
      </c>
      <c r="B3317" s="3" t="str">
        <f>"00157582"</f>
        <v>00157582</v>
      </c>
    </row>
    <row r="3318" spans="1:2" x14ac:dyDescent="0.25">
      <c r="A3318" s="2">
        <v>3313</v>
      </c>
      <c r="B3318" s="3" t="str">
        <f>"00157589"</f>
        <v>00157589</v>
      </c>
    </row>
    <row r="3319" spans="1:2" x14ac:dyDescent="0.25">
      <c r="A3319" s="2">
        <v>3314</v>
      </c>
      <c r="B3319" s="3" t="str">
        <f>"00157598"</f>
        <v>00157598</v>
      </c>
    </row>
    <row r="3320" spans="1:2" x14ac:dyDescent="0.25">
      <c r="A3320" s="2">
        <v>3315</v>
      </c>
      <c r="B3320" s="3" t="str">
        <f>"00157600"</f>
        <v>00157600</v>
      </c>
    </row>
    <row r="3321" spans="1:2" x14ac:dyDescent="0.25">
      <c r="A3321" s="2">
        <v>3316</v>
      </c>
      <c r="B3321" s="3" t="str">
        <f>"00157626"</f>
        <v>00157626</v>
      </c>
    </row>
    <row r="3322" spans="1:2" x14ac:dyDescent="0.25">
      <c r="A3322" s="2">
        <v>3317</v>
      </c>
      <c r="B3322" s="3" t="str">
        <f>"00157634"</f>
        <v>00157634</v>
      </c>
    </row>
    <row r="3323" spans="1:2" x14ac:dyDescent="0.25">
      <c r="A3323" s="2">
        <v>3318</v>
      </c>
      <c r="B3323" s="3" t="str">
        <f>"00157659"</f>
        <v>00157659</v>
      </c>
    </row>
    <row r="3324" spans="1:2" x14ac:dyDescent="0.25">
      <c r="A3324" s="2">
        <v>3319</v>
      </c>
      <c r="B3324" s="3" t="str">
        <f>"00157661"</f>
        <v>00157661</v>
      </c>
    </row>
    <row r="3325" spans="1:2" x14ac:dyDescent="0.25">
      <c r="A3325" s="2">
        <v>3320</v>
      </c>
      <c r="B3325" s="3" t="str">
        <f>"00157668"</f>
        <v>00157668</v>
      </c>
    </row>
    <row r="3326" spans="1:2" x14ac:dyDescent="0.25">
      <c r="A3326" s="2">
        <v>3321</v>
      </c>
      <c r="B3326" s="3" t="str">
        <f>"00157702"</f>
        <v>00157702</v>
      </c>
    </row>
    <row r="3327" spans="1:2" x14ac:dyDescent="0.25">
      <c r="A3327" s="2">
        <v>3322</v>
      </c>
      <c r="B3327" s="3" t="str">
        <f>"00157744"</f>
        <v>00157744</v>
      </c>
    </row>
    <row r="3328" spans="1:2" x14ac:dyDescent="0.25">
      <c r="A3328" s="2">
        <v>3323</v>
      </c>
      <c r="B3328" s="3" t="str">
        <f>"00157779"</f>
        <v>00157779</v>
      </c>
    </row>
    <row r="3329" spans="1:2" x14ac:dyDescent="0.25">
      <c r="A3329" s="2">
        <v>3324</v>
      </c>
      <c r="B3329" s="3" t="str">
        <f>"00157791"</f>
        <v>00157791</v>
      </c>
    </row>
    <row r="3330" spans="1:2" x14ac:dyDescent="0.25">
      <c r="A3330" s="2">
        <v>3325</v>
      </c>
      <c r="B3330" s="3" t="str">
        <f>"00157796"</f>
        <v>00157796</v>
      </c>
    </row>
    <row r="3331" spans="1:2" x14ac:dyDescent="0.25">
      <c r="A3331" s="2">
        <v>3326</v>
      </c>
      <c r="B3331" s="3" t="str">
        <f>"00157826"</f>
        <v>00157826</v>
      </c>
    </row>
    <row r="3332" spans="1:2" x14ac:dyDescent="0.25">
      <c r="A3332" s="2">
        <v>3327</v>
      </c>
      <c r="B3332" s="3" t="str">
        <f>"00157831"</f>
        <v>00157831</v>
      </c>
    </row>
    <row r="3333" spans="1:2" x14ac:dyDescent="0.25">
      <c r="A3333" s="2">
        <v>3328</v>
      </c>
      <c r="B3333" s="3" t="str">
        <f>"00157903"</f>
        <v>00157903</v>
      </c>
    </row>
    <row r="3334" spans="1:2" x14ac:dyDescent="0.25">
      <c r="A3334" s="2">
        <v>3329</v>
      </c>
      <c r="B3334" s="3" t="str">
        <f>"00157915"</f>
        <v>00157915</v>
      </c>
    </row>
    <row r="3335" spans="1:2" x14ac:dyDescent="0.25">
      <c r="A3335" s="2">
        <v>3330</v>
      </c>
      <c r="B3335" s="3" t="str">
        <f>"00157958"</f>
        <v>00157958</v>
      </c>
    </row>
    <row r="3336" spans="1:2" x14ac:dyDescent="0.25">
      <c r="A3336" s="2">
        <v>3331</v>
      </c>
      <c r="B3336" s="3" t="str">
        <f>"00157960"</f>
        <v>00157960</v>
      </c>
    </row>
    <row r="3337" spans="1:2" x14ac:dyDescent="0.25">
      <c r="A3337" s="2">
        <v>3332</v>
      </c>
      <c r="B3337" s="3" t="str">
        <f>"00157980"</f>
        <v>00157980</v>
      </c>
    </row>
    <row r="3338" spans="1:2" x14ac:dyDescent="0.25">
      <c r="A3338" s="2">
        <v>3333</v>
      </c>
      <c r="B3338" s="3" t="str">
        <f>"00157984"</f>
        <v>00157984</v>
      </c>
    </row>
    <row r="3339" spans="1:2" x14ac:dyDescent="0.25">
      <c r="A3339" s="2">
        <v>3334</v>
      </c>
      <c r="B3339" s="3" t="str">
        <f>"00158015"</f>
        <v>00158015</v>
      </c>
    </row>
    <row r="3340" spans="1:2" x14ac:dyDescent="0.25">
      <c r="A3340" s="2">
        <v>3335</v>
      </c>
      <c r="B3340" s="3" t="str">
        <f>"00158018"</f>
        <v>00158018</v>
      </c>
    </row>
    <row r="3341" spans="1:2" x14ac:dyDescent="0.25">
      <c r="A3341" s="2">
        <v>3336</v>
      </c>
      <c r="B3341" s="3" t="str">
        <f>"00158026"</f>
        <v>00158026</v>
      </c>
    </row>
    <row r="3342" spans="1:2" x14ac:dyDescent="0.25">
      <c r="A3342" s="2">
        <v>3337</v>
      </c>
      <c r="B3342" s="3" t="str">
        <f>"00158027"</f>
        <v>00158027</v>
      </c>
    </row>
    <row r="3343" spans="1:2" x14ac:dyDescent="0.25">
      <c r="A3343" s="2">
        <v>3338</v>
      </c>
      <c r="B3343" s="3" t="str">
        <f>"00158041"</f>
        <v>00158041</v>
      </c>
    </row>
    <row r="3344" spans="1:2" x14ac:dyDescent="0.25">
      <c r="A3344" s="2">
        <v>3339</v>
      </c>
      <c r="B3344" s="3" t="str">
        <f>"00158053"</f>
        <v>00158053</v>
      </c>
    </row>
    <row r="3345" spans="1:2" x14ac:dyDescent="0.25">
      <c r="A3345" s="2">
        <v>3340</v>
      </c>
      <c r="B3345" s="3" t="str">
        <f>"00158091"</f>
        <v>00158091</v>
      </c>
    </row>
    <row r="3346" spans="1:2" x14ac:dyDescent="0.25">
      <c r="A3346" s="2">
        <v>3341</v>
      </c>
      <c r="B3346" s="3" t="str">
        <f>"00158141"</f>
        <v>00158141</v>
      </c>
    </row>
    <row r="3347" spans="1:2" x14ac:dyDescent="0.25">
      <c r="A3347" s="2">
        <v>3342</v>
      </c>
      <c r="B3347" s="3" t="str">
        <f>"00158161"</f>
        <v>00158161</v>
      </c>
    </row>
    <row r="3348" spans="1:2" x14ac:dyDescent="0.25">
      <c r="A3348" s="2">
        <v>3343</v>
      </c>
      <c r="B3348" s="3" t="str">
        <f>"00158162"</f>
        <v>00158162</v>
      </c>
    </row>
    <row r="3349" spans="1:2" x14ac:dyDescent="0.25">
      <c r="A3349" s="2">
        <v>3344</v>
      </c>
      <c r="B3349" s="3" t="str">
        <f>"00158180"</f>
        <v>00158180</v>
      </c>
    </row>
    <row r="3350" spans="1:2" x14ac:dyDescent="0.25">
      <c r="A3350" s="2">
        <v>3345</v>
      </c>
      <c r="B3350" s="3" t="str">
        <f>"00158182"</f>
        <v>00158182</v>
      </c>
    </row>
    <row r="3351" spans="1:2" x14ac:dyDescent="0.25">
      <c r="A3351" s="2">
        <v>3346</v>
      </c>
      <c r="B3351" s="3" t="str">
        <f>"00158202"</f>
        <v>00158202</v>
      </c>
    </row>
    <row r="3352" spans="1:2" x14ac:dyDescent="0.25">
      <c r="A3352" s="2">
        <v>3347</v>
      </c>
      <c r="B3352" s="3" t="str">
        <f>"00158252"</f>
        <v>00158252</v>
      </c>
    </row>
    <row r="3353" spans="1:2" x14ac:dyDescent="0.25">
      <c r="A3353" s="2">
        <v>3348</v>
      </c>
      <c r="B3353" s="3" t="str">
        <f>"00158295"</f>
        <v>00158295</v>
      </c>
    </row>
    <row r="3354" spans="1:2" x14ac:dyDescent="0.25">
      <c r="A3354" s="2">
        <v>3349</v>
      </c>
      <c r="B3354" s="3" t="str">
        <f>"00158303"</f>
        <v>00158303</v>
      </c>
    </row>
    <row r="3355" spans="1:2" x14ac:dyDescent="0.25">
      <c r="A3355" s="2">
        <v>3350</v>
      </c>
      <c r="B3355" s="3" t="str">
        <f>"00158339"</f>
        <v>00158339</v>
      </c>
    </row>
    <row r="3356" spans="1:2" x14ac:dyDescent="0.25">
      <c r="A3356" s="2">
        <v>3351</v>
      </c>
      <c r="B3356" s="3" t="str">
        <f>"00158359"</f>
        <v>00158359</v>
      </c>
    </row>
    <row r="3357" spans="1:2" x14ac:dyDescent="0.25">
      <c r="A3357" s="2">
        <v>3352</v>
      </c>
      <c r="B3357" s="3" t="str">
        <f>"00158363"</f>
        <v>00158363</v>
      </c>
    </row>
    <row r="3358" spans="1:2" x14ac:dyDescent="0.25">
      <c r="A3358" s="2">
        <v>3353</v>
      </c>
      <c r="B3358" s="3" t="str">
        <f>"00158368"</f>
        <v>00158368</v>
      </c>
    </row>
    <row r="3359" spans="1:2" x14ac:dyDescent="0.25">
      <c r="A3359" s="2">
        <v>3354</v>
      </c>
      <c r="B3359" s="3" t="str">
        <f>"00158399"</f>
        <v>00158399</v>
      </c>
    </row>
    <row r="3360" spans="1:2" x14ac:dyDescent="0.25">
      <c r="A3360" s="2">
        <v>3355</v>
      </c>
      <c r="B3360" s="3" t="str">
        <f>"00158406"</f>
        <v>00158406</v>
      </c>
    </row>
    <row r="3361" spans="1:2" x14ac:dyDescent="0.25">
      <c r="A3361" s="2">
        <v>3356</v>
      </c>
      <c r="B3361" s="3" t="str">
        <f>"00158407"</f>
        <v>00158407</v>
      </c>
    </row>
    <row r="3362" spans="1:2" x14ac:dyDescent="0.25">
      <c r="A3362" s="2">
        <v>3357</v>
      </c>
      <c r="B3362" s="3" t="str">
        <f>"00158418"</f>
        <v>00158418</v>
      </c>
    </row>
    <row r="3363" spans="1:2" x14ac:dyDescent="0.25">
      <c r="A3363" s="2">
        <v>3358</v>
      </c>
      <c r="B3363" s="3" t="str">
        <f>"00158495"</f>
        <v>00158495</v>
      </c>
    </row>
    <row r="3364" spans="1:2" x14ac:dyDescent="0.25">
      <c r="A3364" s="2">
        <v>3359</v>
      </c>
      <c r="B3364" s="3" t="str">
        <f>"00158515"</f>
        <v>00158515</v>
      </c>
    </row>
    <row r="3365" spans="1:2" x14ac:dyDescent="0.25">
      <c r="A3365" s="2">
        <v>3360</v>
      </c>
      <c r="B3365" s="3" t="str">
        <f>"00158519"</f>
        <v>00158519</v>
      </c>
    </row>
    <row r="3366" spans="1:2" x14ac:dyDescent="0.25">
      <c r="A3366" s="2">
        <v>3361</v>
      </c>
      <c r="B3366" s="3" t="str">
        <f>"00158530"</f>
        <v>00158530</v>
      </c>
    </row>
    <row r="3367" spans="1:2" x14ac:dyDescent="0.25">
      <c r="A3367" s="2">
        <v>3362</v>
      </c>
      <c r="B3367" s="3" t="str">
        <f>"00158584"</f>
        <v>00158584</v>
      </c>
    </row>
    <row r="3368" spans="1:2" x14ac:dyDescent="0.25">
      <c r="A3368" s="2">
        <v>3363</v>
      </c>
      <c r="B3368" s="3" t="str">
        <f>"00158618"</f>
        <v>00158618</v>
      </c>
    </row>
    <row r="3369" spans="1:2" x14ac:dyDescent="0.25">
      <c r="A3369" s="2">
        <v>3364</v>
      </c>
      <c r="B3369" s="3" t="str">
        <f>"00158620"</f>
        <v>00158620</v>
      </c>
    </row>
    <row r="3370" spans="1:2" x14ac:dyDescent="0.25">
      <c r="A3370" s="2">
        <v>3365</v>
      </c>
      <c r="B3370" s="3" t="str">
        <f>"00158664"</f>
        <v>00158664</v>
      </c>
    </row>
    <row r="3371" spans="1:2" x14ac:dyDescent="0.25">
      <c r="A3371" s="2">
        <v>3366</v>
      </c>
      <c r="B3371" s="3" t="str">
        <f>"00158665"</f>
        <v>00158665</v>
      </c>
    </row>
    <row r="3372" spans="1:2" x14ac:dyDescent="0.25">
      <c r="A3372" s="2">
        <v>3367</v>
      </c>
      <c r="B3372" s="3" t="str">
        <f>"00158681"</f>
        <v>00158681</v>
      </c>
    </row>
    <row r="3373" spans="1:2" x14ac:dyDescent="0.25">
      <c r="A3373" s="2">
        <v>3368</v>
      </c>
      <c r="B3373" s="3" t="str">
        <f>"00158696"</f>
        <v>00158696</v>
      </c>
    </row>
    <row r="3374" spans="1:2" x14ac:dyDescent="0.25">
      <c r="A3374" s="2">
        <v>3369</v>
      </c>
      <c r="B3374" s="3" t="str">
        <f>"00158714"</f>
        <v>00158714</v>
      </c>
    </row>
    <row r="3375" spans="1:2" x14ac:dyDescent="0.25">
      <c r="A3375" s="2">
        <v>3370</v>
      </c>
      <c r="B3375" s="3" t="str">
        <f>"00158716"</f>
        <v>00158716</v>
      </c>
    </row>
    <row r="3376" spans="1:2" x14ac:dyDescent="0.25">
      <c r="A3376" s="2">
        <v>3371</v>
      </c>
      <c r="B3376" s="3" t="str">
        <f>"00158725"</f>
        <v>00158725</v>
      </c>
    </row>
    <row r="3377" spans="1:2" x14ac:dyDescent="0.25">
      <c r="A3377" s="2">
        <v>3372</v>
      </c>
      <c r="B3377" s="3" t="str">
        <f>"00158766"</f>
        <v>00158766</v>
      </c>
    </row>
    <row r="3378" spans="1:2" x14ac:dyDescent="0.25">
      <c r="A3378" s="2">
        <v>3373</v>
      </c>
      <c r="B3378" s="3" t="str">
        <f>"00158775"</f>
        <v>00158775</v>
      </c>
    </row>
    <row r="3379" spans="1:2" x14ac:dyDescent="0.25">
      <c r="A3379" s="2">
        <v>3374</v>
      </c>
      <c r="B3379" s="3" t="str">
        <f>"00158824"</f>
        <v>00158824</v>
      </c>
    </row>
    <row r="3380" spans="1:2" x14ac:dyDescent="0.25">
      <c r="A3380" s="2">
        <v>3375</v>
      </c>
      <c r="B3380" s="3" t="str">
        <f>"00158827"</f>
        <v>00158827</v>
      </c>
    </row>
    <row r="3381" spans="1:2" x14ac:dyDescent="0.25">
      <c r="A3381" s="2">
        <v>3376</v>
      </c>
      <c r="B3381" s="3" t="str">
        <f>"00158834"</f>
        <v>00158834</v>
      </c>
    </row>
    <row r="3382" spans="1:2" x14ac:dyDescent="0.25">
      <c r="A3382" s="2">
        <v>3377</v>
      </c>
      <c r="B3382" s="3" t="str">
        <f>"00158898"</f>
        <v>00158898</v>
      </c>
    </row>
    <row r="3383" spans="1:2" x14ac:dyDescent="0.25">
      <c r="A3383" s="2">
        <v>3378</v>
      </c>
      <c r="B3383" s="3" t="str">
        <f>"00158921"</f>
        <v>00158921</v>
      </c>
    </row>
    <row r="3384" spans="1:2" x14ac:dyDescent="0.25">
      <c r="A3384" s="2">
        <v>3379</v>
      </c>
      <c r="B3384" s="3" t="str">
        <f>"00158948"</f>
        <v>00158948</v>
      </c>
    </row>
    <row r="3385" spans="1:2" x14ac:dyDescent="0.25">
      <c r="A3385" s="2">
        <v>3380</v>
      </c>
      <c r="B3385" s="3" t="str">
        <f>"00158961"</f>
        <v>00158961</v>
      </c>
    </row>
    <row r="3386" spans="1:2" x14ac:dyDescent="0.25">
      <c r="A3386" s="2">
        <v>3381</v>
      </c>
      <c r="B3386" s="3" t="str">
        <f>"00158981"</f>
        <v>00158981</v>
      </c>
    </row>
    <row r="3387" spans="1:2" x14ac:dyDescent="0.25">
      <c r="A3387" s="2">
        <v>3382</v>
      </c>
      <c r="B3387" s="3" t="str">
        <f>"00159003"</f>
        <v>00159003</v>
      </c>
    </row>
    <row r="3388" spans="1:2" x14ac:dyDescent="0.25">
      <c r="A3388" s="2">
        <v>3383</v>
      </c>
      <c r="B3388" s="3" t="str">
        <f>"00159010"</f>
        <v>00159010</v>
      </c>
    </row>
    <row r="3389" spans="1:2" x14ac:dyDescent="0.25">
      <c r="A3389" s="2">
        <v>3384</v>
      </c>
      <c r="B3389" s="3" t="str">
        <f>"00159012"</f>
        <v>00159012</v>
      </c>
    </row>
    <row r="3390" spans="1:2" x14ac:dyDescent="0.25">
      <c r="A3390" s="2">
        <v>3385</v>
      </c>
      <c r="B3390" s="3" t="str">
        <f>"00159038"</f>
        <v>00159038</v>
      </c>
    </row>
    <row r="3391" spans="1:2" x14ac:dyDescent="0.25">
      <c r="A3391" s="2">
        <v>3386</v>
      </c>
      <c r="B3391" s="3" t="str">
        <f>"00159046"</f>
        <v>00159046</v>
      </c>
    </row>
    <row r="3392" spans="1:2" x14ac:dyDescent="0.25">
      <c r="A3392" s="2">
        <v>3387</v>
      </c>
      <c r="B3392" s="3" t="str">
        <f>"00159059"</f>
        <v>00159059</v>
      </c>
    </row>
    <row r="3393" spans="1:2" x14ac:dyDescent="0.25">
      <c r="A3393" s="2">
        <v>3388</v>
      </c>
      <c r="B3393" s="3" t="str">
        <f>"00159062"</f>
        <v>00159062</v>
      </c>
    </row>
    <row r="3394" spans="1:2" x14ac:dyDescent="0.25">
      <c r="A3394" s="2">
        <v>3389</v>
      </c>
      <c r="B3394" s="3" t="str">
        <f>"00159063"</f>
        <v>00159063</v>
      </c>
    </row>
    <row r="3395" spans="1:2" x14ac:dyDescent="0.25">
      <c r="A3395" s="2">
        <v>3390</v>
      </c>
      <c r="B3395" s="3" t="str">
        <f>"00159103"</f>
        <v>00159103</v>
      </c>
    </row>
    <row r="3396" spans="1:2" x14ac:dyDescent="0.25">
      <c r="A3396" s="2">
        <v>3391</v>
      </c>
      <c r="B3396" s="3" t="str">
        <f>"00159135"</f>
        <v>00159135</v>
      </c>
    </row>
    <row r="3397" spans="1:2" x14ac:dyDescent="0.25">
      <c r="A3397" s="2">
        <v>3392</v>
      </c>
      <c r="B3397" s="3" t="str">
        <f>"00159136"</f>
        <v>00159136</v>
      </c>
    </row>
    <row r="3398" spans="1:2" x14ac:dyDescent="0.25">
      <c r="A3398" s="2">
        <v>3393</v>
      </c>
      <c r="B3398" s="3" t="str">
        <f>"00159149"</f>
        <v>00159149</v>
      </c>
    </row>
    <row r="3399" spans="1:2" x14ac:dyDescent="0.25">
      <c r="A3399" s="2">
        <v>3394</v>
      </c>
      <c r="B3399" s="3" t="str">
        <f>"00159182"</f>
        <v>00159182</v>
      </c>
    </row>
    <row r="3400" spans="1:2" x14ac:dyDescent="0.25">
      <c r="A3400" s="2">
        <v>3395</v>
      </c>
      <c r="B3400" s="3" t="str">
        <f>"00159209"</f>
        <v>00159209</v>
      </c>
    </row>
    <row r="3401" spans="1:2" x14ac:dyDescent="0.25">
      <c r="A3401" s="2">
        <v>3396</v>
      </c>
      <c r="B3401" s="3" t="str">
        <f>"00159240"</f>
        <v>00159240</v>
      </c>
    </row>
    <row r="3402" spans="1:2" x14ac:dyDescent="0.25">
      <c r="A3402" s="2">
        <v>3397</v>
      </c>
      <c r="B3402" s="3" t="str">
        <f>"00159258"</f>
        <v>00159258</v>
      </c>
    </row>
    <row r="3403" spans="1:2" x14ac:dyDescent="0.25">
      <c r="A3403" s="2">
        <v>3398</v>
      </c>
      <c r="B3403" s="3" t="str">
        <f>"00159292"</f>
        <v>00159292</v>
      </c>
    </row>
    <row r="3404" spans="1:2" x14ac:dyDescent="0.25">
      <c r="A3404" s="2">
        <v>3399</v>
      </c>
      <c r="B3404" s="3" t="str">
        <f>"00159391"</f>
        <v>00159391</v>
      </c>
    </row>
    <row r="3405" spans="1:2" x14ac:dyDescent="0.25">
      <c r="A3405" s="2">
        <v>3400</v>
      </c>
      <c r="B3405" s="3" t="str">
        <f>"00159433"</f>
        <v>00159433</v>
      </c>
    </row>
    <row r="3406" spans="1:2" x14ac:dyDescent="0.25">
      <c r="A3406" s="2">
        <v>3401</v>
      </c>
      <c r="B3406" s="3" t="str">
        <f>"00159633"</f>
        <v>00159633</v>
      </c>
    </row>
    <row r="3407" spans="1:2" x14ac:dyDescent="0.25">
      <c r="A3407" s="2">
        <v>3402</v>
      </c>
      <c r="B3407" s="3" t="str">
        <f>"00159638"</f>
        <v>00159638</v>
      </c>
    </row>
    <row r="3408" spans="1:2" x14ac:dyDescent="0.25">
      <c r="A3408" s="2">
        <v>3403</v>
      </c>
      <c r="B3408" s="3" t="str">
        <f>"00159646"</f>
        <v>00159646</v>
      </c>
    </row>
    <row r="3409" spans="1:2" x14ac:dyDescent="0.25">
      <c r="A3409" s="2">
        <v>3404</v>
      </c>
      <c r="B3409" s="3" t="str">
        <f>"00159647"</f>
        <v>00159647</v>
      </c>
    </row>
    <row r="3410" spans="1:2" x14ac:dyDescent="0.25">
      <c r="A3410" s="2">
        <v>3405</v>
      </c>
      <c r="B3410" s="3" t="str">
        <f>"00159651"</f>
        <v>00159651</v>
      </c>
    </row>
    <row r="3411" spans="1:2" x14ac:dyDescent="0.25">
      <c r="A3411" s="2">
        <v>3406</v>
      </c>
      <c r="B3411" s="3" t="str">
        <f>"00159669"</f>
        <v>00159669</v>
      </c>
    </row>
    <row r="3412" spans="1:2" x14ac:dyDescent="0.25">
      <c r="A3412" s="2">
        <v>3407</v>
      </c>
      <c r="B3412" s="3" t="str">
        <f>"00159705"</f>
        <v>00159705</v>
      </c>
    </row>
    <row r="3413" spans="1:2" x14ac:dyDescent="0.25">
      <c r="A3413" s="2">
        <v>3408</v>
      </c>
      <c r="B3413" s="3" t="str">
        <f>"00159739"</f>
        <v>00159739</v>
      </c>
    </row>
    <row r="3414" spans="1:2" x14ac:dyDescent="0.25">
      <c r="A3414" s="2">
        <v>3409</v>
      </c>
      <c r="B3414" s="3" t="str">
        <f>"00159748"</f>
        <v>00159748</v>
      </c>
    </row>
    <row r="3415" spans="1:2" x14ac:dyDescent="0.25">
      <c r="A3415" s="2">
        <v>3410</v>
      </c>
      <c r="B3415" s="3" t="str">
        <f>"00159758"</f>
        <v>00159758</v>
      </c>
    </row>
    <row r="3416" spans="1:2" x14ac:dyDescent="0.25">
      <c r="A3416" s="2">
        <v>3411</v>
      </c>
      <c r="B3416" s="3" t="str">
        <f>"00159772"</f>
        <v>00159772</v>
      </c>
    </row>
    <row r="3417" spans="1:2" x14ac:dyDescent="0.25">
      <c r="A3417" s="2">
        <v>3412</v>
      </c>
      <c r="B3417" s="3" t="str">
        <f>"00159791"</f>
        <v>00159791</v>
      </c>
    </row>
    <row r="3418" spans="1:2" x14ac:dyDescent="0.25">
      <c r="A3418" s="2">
        <v>3413</v>
      </c>
      <c r="B3418" s="3" t="str">
        <f>"00159856"</f>
        <v>00159856</v>
      </c>
    </row>
    <row r="3419" spans="1:2" x14ac:dyDescent="0.25">
      <c r="A3419" s="2">
        <v>3414</v>
      </c>
      <c r="B3419" s="3" t="str">
        <f>"00159857"</f>
        <v>00159857</v>
      </c>
    </row>
    <row r="3420" spans="1:2" x14ac:dyDescent="0.25">
      <c r="A3420" s="2">
        <v>3415</v>
      </c>
      <c r="B3420" s="3" t="str">
        <f>"00159878"</f>
        <v>00159878</v>
      </c>
    </row>
    <row r="3421" spans="1:2" x14ac:dyDescent="0.25">
      <c r="A3421" s="2">
        <v>3416</v>
      </c>
      <c r="B3421" s="3" t="str">
        <f>"00159890"</f>
        <v>00159890</v>
      </c>
    </row>
    <row r="3422" spans="1:2" x14ac:dyDescent="0.25">
      <c r="A3422" s="2">
        <v>3417</v>
      </c>
      <c r="B3422" s="3" t="str">
        <f>"00159902"</f>
        <v>00159902</v>
      </c>
    </row>
    <row r="3423" spans="1:2" x14ac:dyDescent="0.25">
      <c r="A3423" s="2">
        <v>3418</v>
      </c>
      <c r="B3423" s="3" t="str">
        <f>"00159964"</f>
        <v>00159964</v>
      </c>
    </row>
    <row r="3424" spans="1:2" x14ac:dyDescent="0.25">
      <c r="A3424" s="2">
        <v>3419</v>
      </c>
      <c r="B3424" s="3" t="str">
        <f>"00159991"</f>
        <v>00159991</v>
      </c>
    </row>
    <row r="3425" spans="1:2" x14ac:dyDescent="0.25">
      <c r="A3425" s="2">
        <v>3420</v>
      </c>
      <c r="B3425" s="3" t="str">
        <f>"00160012"</f>
        <v>00160012</v>
      </c>
    </row>
    <row r="3426" spans="1:2" x14ac:dyDescent="0.25">
      <c r="A3426" s="2">
        <v>3421</v>
      </c>
      <c r="B3426" s="3" t="str">
        <f>"00160024"</f>
        <v>00160024</v>
      </c>
    </row>
    <row r="3427" spans="1:2" x14ac:dyDescent="0.25">
      <c r="A3427" s="2">
        <v>3422</v>
      </c>
      <c r="B3427" s="3" t="str">
        <f>"00160046"</f>
        <v>00160046</v>
      </c>
    </row>
    <row r="3428" spans="1:2" x14ac:dyDescent="0.25">
      <c r="A3428" s="2">
        <v>3423</v>
      </c>
      <c r="B3428" s="3" t="str">
        <f>"00160068"</f>
        <v>00160068</v>
      </c>
    </row>
    <row r="3429" spans="1:2" x14ac:dyDescent="0.25">
      <c r="A3429" s="2">
        <v>3424</v>
      </c>
      <c r="B3429" s="3" t="str">
        <f>"00160096"</f>
        <v>00160096</v>
      </c>
    </row>
    <row r="3430" spans="1:2" x14ac:dyDescent="0.25">
      <c r="A3430" s="2">
        <v>3425</v>
      </c>
      <c r="B3430" s="3" t="str">
        <f>"00160108"</f>
        <v>00160108</v>
      </c>
    </row>
    <row r="3431" spans="1:2" x14ac:dyDescent="0.25">
      <c r="A3431" s="2">
        <v>3426</v>
      </c>
      <c r="B3431" s="3" t="str">
        <f>"00160117"</f>
        <v>00160117</v>
      </c>
    </row>
    <row r="3432" spans="1:2" x14ac:dyDescent="0.25">
      <c r="A3432" s="2">
        <v>3427</v>
      </c>
      <c r="B3432" s="3" t="str">
        <f>"00160148"</f>
        <v>00160148</v>
      </c>
    </row>
    <row r="3433" spans="1:2" x14ac:dyDescent="0.25">
      <c r="A3433" s="2">
        <v>3428</v>
      </c>
      <c r="B3433" s="3" t="str">
        <f>"00160156"</f>
        <v>00160156</v>
      </c>
    </row>
    <row r="3434" spans="1:2" x14ac:dyDescent="0.25">
      <c r="A3434" s="2">
        <v>3429</v>
      </c>
      <c r="B3434" s="3" t="str">
        <f>"00160190"</f>
        <v>00160190</v>
      </c>
    </row>
    <row r="3435" spans="1:2" x14ac:dyDescent="0.25">
      <c r="A3435" s="2">
        <v>3430</v>
      </c>
      <c r="B3435" s="3" t="str">
        <f>"00160250"</f>
        <v>00160250</v>
      </c>
    </row>
    <row r="3436" spans="1:2" x14ac:dyDescent="0.25">
      <c r="A3436" s="2">
        <v>3431</v>
      </c>
      <c r="B3436" s="3" t="str">
        <f>"00160254"</f>
        <v>00160254</v>
      </c>
    </row>
    <row r="3437" spans="1:2" x14ac:dyDescent="0.25">
      <c r="A3437" s="2">
        <v>3432</v>
      </c>
      <c r="B3437" s="3" t="str">
        <f>"00160255"</f>
        <v>00160255</v>
      </c>
    </row>
    <row r="3438" spans="1:2" x14ac:dyDescent="0.25">
      <c r="A3438" s="2">
        <v>3433</v>
      </c>
      <c r="B3438" s="3" t="str">
        <f>"00160269"</f>
        <v>00160269</v>
      </c>
    </row>
    <row r="3439" spans="1:2" x14ac:dyDescent="0.25">
      <c r="A3439" s="2">
        <v>3434</v>
      </c>
      <c r="B3439" s="3" t="str">
        <f>"00160274"</f>
        <v>00160274</v>
      </c>
    </row>
    <row r="3440" spans="1:2" x14ac:dyDescent="0.25">
      <c r="A3440" s="2">
        <v>3435</v>
      </c>
      <c r="B3440" s="3" t="str">
        <f>"00160278"</f>
        <v>00160278</v>
      </c>
    </row>
    <row r="3441" spans="1:2" x14ac:dyDescent="0.25">
      <c r="A3441" s="2">
        <v>3436</v>
      </c>
      <c r="B3441" s="3" t="str">
        <f>"00160286"</f>
        <v>00160286</v>
      </c>
    </row>
    <row r="3442" spans="1:2" x14ac:dyDescent="0.25">
      <c r="A3442" s="2">
        <v>3437</v>
      </c>
      <c r="B3442" s="3" t="str">
        <f>"00160287"</f>
        <v>00160287</v>
      </c>
    </row>
    <row r="3443" spans="1:2" x14ac:dyDescent="0.25">
      <c r="A3443" s="2">
        <v>3438</v>
      </c>
      <c r="B3443" s="3" t="str">
        <f>"00160292"</f>
        <v>00160292</v>
      </c>
    </row>
    <row r="3444" spans="1:2" x14ac:dyDescent="0.25">
      <c r="A3444" s="2">
        <v>3439</v>
      </c>
      <c r="B3444" s="3" t="str">
        <f>"00160364"</f>
        <v>00160364</v>
      </c>
    </row>
    <row r="3445" spans="1:2" x14ac:dyDescent="0.25">
      <c r="A3445" s="2">
        <v>3440</v>
      </c>
      <c r="B3445" s="3" t="str">
        <f>"00160367"</f>
        <v>00160367</v>
      </c>
    </row>
    <row r="3446" spans="1:2" x14ac:dyDescent="0.25">
      <c r="A3446" s="2">
        <v>3441</v>
      </c>
      <c r="B3446" s="3" t="str">
        <f>"00160368"</f>
        <v>00160368</v>
      </c>
    </row>
    <row r="3447" spans="1:2" x14ac:dyDescent="0.25">
      <c r="A3447" s="2">
        <v>3442</v>
      </c>
      <c r="B3447" s="3" t="str">
        <f>"00160401"</f>
        <v>00160401</v>
      </c>
    </row>
    <row r="3448" spans="1:2" x14ac:dyDescent="0.25">
      <c r="A3448" s="2">
        <v>3443</v>
      </c>
      <c r="B3448" s="3" t="str">
        <f>"00160410"</f>
        <v>00160410</v>
      </c>
    </row>
    <row r="3449" spans="1:2" x14ac:dyDescent="0.25">
      <c r="A3449" s="2">
        <v>3444</v>
      </c>
      <c r="B3449" s="3" t="str">
        <f>"00160419"</f>
        <v>00160419</v>
      </c>
    </row>
    <row r="3450" spans="1:2" x14ac:dyDescent="0.25">
      <c r="A3450" s="2">
        <v>3445</v>
      </c>
      <c r="B3450" s="3" t="str">
        <f>"00160458"</f>
        <v>00160458</v>
      </c>
    </row>
    <row r="3451" spans="1:2" x14ac:dyDescent="0.25">
      <c r="A3451" s="2">
        <v>3446</v>
      </c>
      <c r="B3451" s="3" t="str">
        <f>"00160472"</f>
        <v>00160472</v>
      </c>
    </row>
    <row r="3452" spans="1:2" x14ac:dyDescent="0.25">
      <c r="A3452" s="2">
        <v>3447</v>
      </c>
      <c r="B3452" s="3" t="str">
        <f>"00160501"</f>
        <v>00160501</v>
      </c>
    </row>
    <row r="3453" spans="1:2" x14ac:dyDescent="0.25">
      <c r="A3453" s="2">
        <v>3448</v>
      </c>
      <c r="B3453" s="3" t="str">
        <f>"00160506"</f>
        <v>00160506</v>
      </c>
    </row>
    <row r="3454" spans="1:2" x14ac:dyDescent="0.25">
      <c r="A3454" s="2">
        <v>3449</v>
      </c>
      <c r="B3454" s="3" t="str">
        <f>"00160512"</f>
        <v>00160512</v>
      </c>
    </row>
    <row r="3455" spans="1:2" x14ac:dyDescent="0.25">
      <c r="A3455" s="2">
        <v>3450</v>
      </c>
      <c r="B3455" s="3" t="str">
        <f>"00160528"</f>
        <v>00160528</v>
      </c>
    </row>
    <row r="3456" spans="1:2" x14ac:dyDescent="0.25">
      <c r="A3456" s="2">
        <v>3451</v>
      </c>
      <c r="B3456" s="3" t="str">
        <f>"00160534"</f>
        <v>00160534</v>
      </c>
    </row>
    <row r="3457" spans="1:2" x14ac:dyDescent="0.25">
      <c r="A3457" s="2">
        <v>3452</v>
      </c>
      <c r="B3457" s="3" t="str">
        <f>"00160540"</f>
        <v>00160540</v>
      </c>
    </row>
    <row r="3458" spans="1:2" x14ac:dyDescent="0.25">
      <c r="A3458" s="2">
        <v>3453</v>
      </c>
      <c r="B3458" s="3" t="str">
        <f>"00160599"</f>
        <v>00160599</v>
      </c>
    </row>
    <row r="3459" spans="1:2" x14ac:dyDescent="0.25">
      <c r="A3459" s="2">
        <v>3454</v>
      </c>
      <c r="B3459" s="3" t="str">
        <f>"00160616"</f>
        <v>00160616</v>
      </c>
    </row>
    <row r="3460" spans="1:2" x14ac:dyDescent="0.25">
      <c r="A3460" s="2">
        <v>3455</v>
      </c>
      <c r="B3460" s="3" t="str">
        <f>"00160644"</f>
        <v>00160644</v>
      </c>
    </row>
    <row r="3461" spans="1:2" x14ac:dyDescent="0.25">
      <c r="A3461" s="2">
        <v>3456</v>
      </c>
      <c r="B3461" s="3" t="str">
        <f>"00160645"</f>
        <v>00160645</v>
      </c>
    </row>
    <row r="3462" spans="1:2" x14ac:dyDescent="0.25">
      <c r="A3462" s="2">
        <v>3457</v>
      </c>
      <c r="B3462" s="3" t="str">
        <f>"00160658"</f>
        <v>00160658</v>
      </c>
    </row>
    <row r="3463" spans="1:2" x14ac:dyDescent="0.25">
      <c r="A3463" s="2">
        <v>3458</v>
      </c>
      <c r="B3463" s="3" t="str">
        <f>"00160695"</f>
        <v>00160695</v>
      </c>
    </row>
    <row r="3464" spans="1:2" x14ac:dyDescent="0.25">
      <c r="A3464" s="2">
        <v>3459</v>
      </c>
      <c r="B3464" s="3" t="str">
        <f>"00160701"</f>
        <v>00160701</v>
      </c>
    </row>
    <row r="3465" spans="1:2" x14ac:dyDescent="0.25">
      <c r="A3465" s="2">
        <v>3460</v>
      </c>
      <c r="B3465" s="3" t="str">
        <f>"00160722"</f>
        <v>00160722</v>
      </c>
    </row>
    <row r="3466" spans="1:2" x14ac:dyDescent="0.25">
      <c r="A3466" s="2">
        <v>3461</v>
      </c>
      <c r="B3466" s="3" t="str">
        <f>"00160752"</f>
        <v>00160752</v>
      </c>
    </row>
    <row r="3467" spans="1:2" x14ac:dyDescent="0.25">
      <c r="A3467" s="2">
        <v>3462</v>
      </c>
      <c r="B3467" s="3" t="str">
        <f>"00160788"</f>
        <v>00160788</v>
      </c>
    </row>
    <row r="3468" spans="1:2" x14ac:dyDescent="0.25">
      <c r="A3468" s="2">
        <v>3463</v>
      </c>
      <c r="B3468" s="3" t="str">
        <f>"00160822"</f>
        <v>00160822</v>
      </c>
    </row>
    <row r="3469" spans="1:2" x14ac:dyDescent="0.25">
      <c r="A3469" s="2">
        <v>3464</v>
      </c>
      <c r="B3469" s="3" t="str">
        <f>"00160842"</f>
        <v>00160842</v>
      </c>
    </row>
    <row r="3470" spans="1:2" x14ac:dyDescent="0.25">
      <c r="A3470" s="2">
        <v>3465</v>
      </c>
      <c r="B3470" s="3" t="str">
        <f>"00160869"</f>
        <v>00160869</v>
      </c>
    </row>
    <row r="3471" spans="1:2" x14ac:dyDescent="0.25">
      <c r="A3471" s="2">
        <v>3466</v>
      </c>
      <c r="B3471" s="3" t="str">
        <f>"00160875"</f>
        <v>00160875</v>
      </c>
    </row>
    <row r="3472" spans="1:2" x14ac:dyDescent="0.25">
      <c r="A3472" s="2">
        <v>3467</v>
      </c>
      <c r="B3472" s="3" t="str">
        <f>"00160896"</f>
        <v>00160896</v>
      </c>
    </row>
    <row r="3473" spans="1:2" x14ac:dyDescent="0.25">
      <c r="A3473" s="2">
        <v>3468</v>
      </c>
      <c r="B3473" s="3" t="str">
        <f>"00160902"</f>
        <v>00160902</v>
      </c>
    </row>
    <row r="3474" spans="1:2" x14ac:dyDescent="0.25">
      <c r="A3474" s="2">
        <v>3469</v>
      </c>
      <c r="B3474" s="3" t="str">
        <f>"00160934"</f>
        <v>00160934</v>
      </c>
    </row>
    <row r="3475" spans="1:2" x14ac:dyDescent="0.25">
      <c r="A3475" s="2">
        <v>3470</v>
      </c>
      <c r="B3475" s="3" t="str">
        <f>"00160951"</f>
        <v>00160951</v>
      </c>
    </row>
    <row r="3476" spans="1:2" x14ac:dyDescent="0.25">
      <c r="A3476" s="2">
        <v>3471</v>
      </c>
      <c r="B3476" s="3" t="str">
        <f>"00161074"</f>
        <v>00161074</v>
      </c>
    </row>
    <row r="3477" spans="1:2" x14ac:dyDescent="0.25">
      <c r="A3477" s="2">
        <v>3472</v>
      </c>
      <c r="B3477" s="3" t="str">
        <f>"00161117"</f>
        <v>00161117</v>
      </c>
    </row>
    <row r="3478" spans="1:2" x14ac:dyDescent="0.25">
      <c r="A3478" s="2">
        <v>3473</v>
      </c>
      <c r="B3478" s="3" t="str">
        <f>"00161127"</f>
        <v>00161127</v>
      </c>
    </row>
    <row r="3479" spans="1:2" x14ac:dyDescent="0.25">
      <c r="A3479" s="2">
        <v>3474</v>
      </c>
      <c r="B3479" s="3" t="str">
        <f>"00161141"</f>
        <v>00161141</v>
      </c>
    </row>
    <row r="3480" spans="1:2" x14ac:dyDescent="0.25">
      <c r="A3480" s="2">
        <v>3475</v>
      </c>
      <c r="B3480" s="3" t="str">
        <f>"00161158"</f>
        <v>00161158</v>
      </c>
    </row>
    <row r="3481" spans="1:2" x14ac:dyDescent="0.25">
      <c r="A3481" s="2">
        <v>3476</v>
      </c>
      <c r="B3481" s="3" t="str">
        <f>"00161205"</f>
        <v>00161205</v>
      </c>
    </row>
    <row r="3482" spans="1:2" x14ac:dyDescent="0.25">
      <c r="A3482" s="2">
        <v>3477</v>
      </c>
      <c r="B3482" s="3" t="str">
        <f>"00161213"</f>
        <v>00161213</v>
      </c>
    </row>
    <row r="3483" spans="1:2" x14ac:dyDescent="0.25">
      <c r="A3483" s="2">
        <v>3478</v>
      </c>
      <c r="B3483" s="3" t="str">
        <f>"00161286"</f>
        <v>00161286</v>
      </c>
    </row>
    <row r="3484" spans="1:2" x14ac:dyDescent="0.25">
      <c r="A3484" s="2">
        <v>3479</v>
      </c>
      <c r="B3484" s="3" t="str">
        <f>"00161371"</f>
        <v>00161371</v>
      </c>
    </row>
    <row r="3485" spans="1:2" x14ac:dyDescent="0.25">
      <c r="A3485" s="2">
        <v>3480</v>
      </c>
      <c r="B3485" s="3" t="str">
        <f>"00161382"</f>
        <v>00161382</v>
      </c>
    </row>
    <row r="3486" spans="1:2" x14ac:dyDescent="0.25">
      <c r="A3486" s="2">
        <v>3481</v>
      </c>
      <c r="B3486" s="3" t="str">
        <f>"00161395"</f>
        <v>00161395</v>
      </c>
    </row>
    <row r="3487" spans="1:2" x14ac:dyDescent="0.25">
      <c r="A3487" s="2">
        <v>3482</v>
      </c>
      <c r="B3487" s="3" t="str">
        <f>"00161410"</f>
        <v>00161410</v>
      </c>
    </row>
    <row r="3488" spans="1:2" x14ac:dyDescent="0.25">
      <c r="A3488" s="2">
        <v>3483</v>
      </c>
      <c r="B3488" s="3" t="str">
        <f>"00161445"</f>
        <v>00161445</v>
      </c>
    </row>
    <row r="3489" spans="1:2" x14ac:dyDescent="0.25">
      <c r="A3489" s="2">
        <v>3484</v>
      </c>
      <c r="B3489" s="3" t="str">
        <f>"00161475"</f>
        <v>00161475</v>
      </c>
    </row>
    <row r="3490" spans="1:2" x14ac:dyDescent="0.25">
      <c r="A3490" s="2">
        <v>3485</v>
      </c>
      <c r="B3490" s="3" t="str">
        <f>"00161542"</f>
        <v>00161542</v>
      </c>
    </row>
    <row r="3491" spans="1:2" x14ac:dyDescent="0.25">
      <c r="A3491" s="2">
        <v>3486</v>
      </c>
      <c r="B3491" s="3" t="str">
        <f>"00161622"</f>
        <v>00161622</v>
      </c>
    </row>
    <row r="3492" spans="1:2" x14ac:dyDescent="0.25">
      <c r="A3492" s="2">
        <v>3487</v>
      </c>
      <c r="B3492" s="3" t="str">
        <f>"00161623"</f>
        <v>00161623</v>
      </c>
    </row>
    <row r="3493" spans="1:2" x14ac:dyDescent="0.25">
      <c r="A3493" s="2">
        <v>3488</v>
      </c>
      <c r="B3493" s="3" t="str">
        <f>"00161633"</f>
        <v>00161633</v>
      </c>
    </row>
    <row r="3494" spans="1:2" x14ac:dyDescent="0.25">
      <c r="A3494" s="2">
        <v>3489</v>
      </c>
      <c r="B3494" s="3" t="str">
        <f>"00161651"</f>
        <v>00161651</v>
      </c>
    </row>
    <row r="3495" spans="1:2" x14ac:dyDescent="0.25">
      <c r="A3495" s="2">
        <v>3490</v>
      </c>
      <c r="B3495" s="3" t="str">
        <f>"00161665"</f>
        <v>00161665</v>
      </c>
    </row>
    <row r="3496" spans="1:2" x14ac:dyDescent="0.25">
      <c r="A3496" s="2">
        <v>3491</v>
      </c>
      <c r="B3496" s="3" t="str">
        <f>"00161691"</f>
        <v>00161691</v>
      </c>
    </row>
    <row r="3497" spans="1:2" x14ac:dyDescent="0.25">
      <c r="A3497" s="2">
        <v>3492</v>
      </c>
      <c r="B3497" s="3" t="str">
        <f>"00161703"</f>
        <v>00161703</v>
      </c>
    </row>
    <row r="3498" spans="1:2" x14ac:dyDescent="0.25">
      <c r="A3498" s="2">
        <v>3493</v>
      </c>
      <c r="B3498" s="3" t="str">
        <f>"00161714"</f>
        <v>00161714</v>
      </c>
    </row>
    <row r="3499" spans="1:2" x14ac:dyDescent="0.25">
      <c r="A3499" s="2">
        <v>3494</v>
      </c>
      <c r="B3499" s="3" t="str">
        <f>"00161787"</f>
        <v>00161787</v>
      </c>
    </row>
    <row r="3500" spans="1:2" x14ac:dyDescent="0.25">
      <c r="A3500" s="2">
        <v>3495</v>
      </c>
      <c r="B3500" s="3" t="str">
        <f>"00161805"</f>
        <v>00161805</v>
      </c>
    </row>
    <row r="3501" spans="1:2" x14ac:dyDescent="0.25">
      <c r="A3501" s="2">
        <v>3496</v>
      </c>
      <c r="B3501" s="3" t="str">
        <f>"00161811"</f>
        <v>00161811</v>
      </c>
    </row>
    <row r="3502" spans="1:2" x14ac:dyDescent="0.25">
      <c r="A3502" s="2">
        <v>3497</v>
      </c>
      <c r="B3502" s="3" t="str">
        <f>"00161828"</f>
        <v>00161828</v>
      </c>
    </row>
    <row r="3503" spans="1:2" x14ac:dyDescent="0.25">
      <c r="A3503" s="2">
        <v>3498</v>
      </c>
      <c r="B3503" s="3" t="str">
        <f>"00161862"</f>
        <v>00161862</v>
      </c>
    </row>
    <row r="3504" spans="1:2" x14ac:dyDescent="0.25">
      <c r="A3504" s="2">
        <v>3499</v>
      </c>
      <c r="B3504" s="3" t="str">
        <f>"00161890"</f>
        <v>00161890</v>
      </c>
    </row>
    <row r="3505" spans="1:2" x14ac:dyDescent="0.25">
      <c r="A3505" s="2">
        <v>3500</v>
      </c>
      <c r="B3505" s="3" t="str">
        <f>"00161904"</f>
        <v>00161904</v>
      </c>
    </row>
    <row r="3506" spans="1:2" x14ac:dyDescent="0.25">
      <c r="A3506" s="2">
        <v>3501</v>
      </c>
      <c r="B3506" s="3" t="str">
        <f>"00161960"</f>
        <v>00161960</v>
      </c>
    </row>
    <row r="3507" spans="1:2" x14ac:dyDescent="0.25">
      <c r="A3507" s="2">
        <v>3502</v>
      </c>
      <c r="B3507" s="3" t="str">
        <f>"00162101"</f>
        <v>00162101</v>
      </c>
    </row>
    <row r="3508" spans="1:2" x14ac:dyDescent="0.25">
      <c r="A3508" s="2">
        <v>3503</v>
      </c>
      <c r="B3508" s="3" t="str">
        <f>"00162105"</f>
        <v>00162105</v>
      </c>
    </row>
    <row r="3509" spans="1:2" x14ac:dyDescent="0.25">
      <c r="A3509" s="2">
        <v>3504</v>
      </c>
      <c r="B3509" s="3" t="str">
        <f>"00162149"</f>
        <v>00162149</v>
      </c>
    </row>
    <row r="3510" spans="1:2" x14ac:dyDescent="0.25">
      <c r="A3510" s="2">
        <v>3505</v>
      </c>
      <c r="B3510" s="3" t="str">
        <f>"00162207"</f>
        <v>00162207</v>
      </c>
    </row>
    <row r="3511" spans="1:2" x14ac:dyDescent="0.25">
      <c r="A3511" s="2">
        <v>3506</v>
      </c>
      <c r="B3511" s="3" t="str">
        <f>"00162212"</f>
        <v>00162212</v>
      </c>
    </row>
    <row r="3512" spans="1:2" x14ac:dyDescent="0.25">
      <c r="A3512" s="2">
        <v>3507</v>
      </c>
      <c r="B3512" s="3" t="str">
        <f>"00162231"</f>
        <v>00162231</v>
      </c>
    </row>
    <row r="3513" spans="1:2" x14ac:dyDescent="0.25">
      <c r="A3513" s="2">
        <v>3508</v>
      </c>
      <c r="B3513" s="3" t="str">
        <f>"00162289"</f>
        <v>00162289</v>
      </c>
    </row>
    <row r="3514" spans="1:2" x14ac:dyDescent="0.25">
      <c r="A3514" s="2">
        <v>3509</v>
      </c>
      <c r="B3514" s="3" t="str">
        <f>"00162310"</f>
        <v>00162310</v>
      </c>
    </row>
    <row r="3515" spans="1:2" x14ac:dyDescent="0.25">
      <c r="A3515" s="2">
        <v>3510</v>
      </c>
      <c r="B3515" s="3" t="str">
        <f>"00162318"</f>
        <v>00162318</v>
      </c>
    </row>
    <row r="3516" spans="1:2" x14ac:dyDescent="0.25">
      <c r="A3516" s="2">
        <v>3511</v>
      </c>
      <c r="B3516" s="3" t="str">
        <f>"00162345"</f>
        <v>00162345</v>
      </c>
    </row>
    <row r="3517" spans="1:2" x14ac:dyDescent="0.25">
      <c r="A3517" s="2">
        <v>3512</v>
      </c>
      <c r="B3517" s="3" t="str">
        <f>"00162359"</f>
        <v>00162359</v>
      </c>
    </row>
    <row r="3518" spans="1:2" x14ac:dyDescent="0.25">
      <c r="A3518" s="2">
        <v>3513</v>
      </c>
      <c r="B3518" s="3" t="str">
        <f>"00162389"</f>
        <v>00162389</v>
      </c>
    </row>
    <row r="3519" spans="1:2" x14ac:dyDescent="0.25">
      <c r="A3519" s="2">
        <v>3514</v>
      </c>
      <c r="B3519" s="3" t="str">
        <f>"00162391"</f>
        <v>00162391</v>
      </c>
    </row>
    <row r="3520" spans="1:2" x14ac:dyDescent="0.25">
      <c r="A3520" s="2">
        <v>3515</v>
      </c>
      <c r="B3520" s="3" t="str">
        <f>"00162426"</f>
        <v>00162426</v>
      </c>
    </row>
    <row r="3521" spans="1:2" x14ac:dyDescent="0.25">
      <c r="A3521" s="2">
        <v>3516</v>
      </c>
      <c r="B3521" s="3" t="str">
        <f>"00162439"</f>
        <v>00162439</v>
      </c>
    </row>
    <row r="3522" spans="1:2" x14ac:dyDescent="0.25">
      <c r="A3522" s="2">
        <v>3517</v>
      </c>
      <c r="B3522" s="3" t="str">
        <f>"00162530"</f>
        <v>00162530</v>
      </c>
    </row>
    <row r="3523" spans="1:2" x14ac:dyDescent="0.25">
      <c r="A3523" s="2">
        <v>3518</v>
      </c>
      <c r="B3523" s="3" t="str">
        <f>"00162560"</f>
        <v>00162560</v>
      </c>
    </row>
    <row r="3524" spans="1:2" x14ac:dyDescent="0.25">
      <c r="A3524" s="2">
        <v>3519</v>
      </c>
      <c r="B3524" s="3" t="str">
        <f>"00162591"</f>
        <v>00162591</v>
      </c>
    </row>
    <row r="3525" spans="1:2" x14ac:dyDescent="0.25">
      <c r="A3525" s="2">
        <v>3520</v>
      </c>
      <c r="B3525" s="3" t="str">
        <f>"00162621"</f>
        <v>00162621</v>
      </c>
    </row>
    <row r="3526" spans="1:2" x14ac:dyDescent="0.25">
      <c r="A3526" s="2">
        <v>3521</v>
      </c>
      <c r="B3526" s="3" t="str">
        <f>"00162634"</f>
        <v>00162634</v>
      </c>
    </row>
    <row r="3527" spans="1:2" x14ac:dyDescent="0.25">
      <c r="A3527" s="2">
        <v>3522</v>
      </c>
      <c r="B3527" s="3" t="str">
        <f>"00162669"</f>
        <v>00162669</v>
      </c>
    </row>
    <row r="3528" spans="1:2" x14ac:dyDescent="0.25">
      <c r="A3528" s="2">
        <v>3523</v>
      </c>
      <c r="B3528" s="3" t="str">
        <f>"00162680"</f>
        <v>00162680</v>
      </c>
    </row>
    <row r="3529" spans="1:2" x14ac:dyDescent="0.25">
      <c r="A3529" s="2">
        <v>3524</v>
      </c>
      <c r="B3529" s="3" t="str">
        <f>"00162682"</f>
        <v>00162682</v>
      </c>
    </row>
    <row r="3530" spans="1:2" x14ac:dyDescent="0.25">
      <c r="A3530" s="2">
        <v>3525</v>
      </c>
      <c r="B3530" s="3" t="str">
        <f>"00162685"</f>
        <v>00162685</v>
      </c>
    </row>
    <row r="3531" spans="1:2" x14ac:dyDescent="0.25">
      <c r="A3531" s="2">
        <v>3526</v>
      </c>
      <c r="B3531" s="3" t="str">
        <f>"00162716"</f>
        <v>00162716</v>
      </c>
    </row>
    <row r="3532" spans="1:2" x14ac:dyDescent="0.25">
      <c r="A3532" s="2">
        <v>3527</v>
      </c>
      <c r="B3532" s="3" t="str">
        <f>"00162718"</f>
        <v>00162718</v>
      </c>
    </row>
    <row r="3533" spans="1:2" x14ac:dyDescent="0.25">
      <c r="A3533" s="2">
        <v>3528</v>
      </c>
      <c r="B3533" s="3" t="str">
        <f>"00162796"</f>
        <v>00162796</v>
      </c>
    </row>
    <row r="3534" spans="1:2" x14ac:dyDescent="0.25">
      <c r="A3534" s="2">
        <v>3529</v>
      </c>
      <c r="B3534" s="3" t="str">
        <f>"00162847"</f>
        <v>00162847</v>
      </c>
    </row>
    <row r="3535" spans="1:2" x14ac:dyDescent="0.25">
      <c r="A3535" s="2">
        <v>3530</v>
      </c>
      <c r="B3535" s="3" t="str">
        <f>"00162857"</f>
        <v>00162857</v>
      </c>
    </row>
    <row r="3536" spans="1:2" x14ac:dyDescent="0.25">
      <c r="A3536" s="2">
        <v>3531</v>
      </c>
      <c r="B3536" s="3" t="str">
        <f>"00162860"</f>
        <v>00162860</v>
      </c>
    </row>
    <row r="3537" spans="1:2" x14ac:dyDescent="0.25">
      <c r="A3537" s="2">
        <v>3532</v>
      </c>
      <c r="B3537" s="3" t="str">
        <f>"00162887"</f>
        <v>00162887</v>
      </c>
    </row>
    <row r="3538" spans="1:2" x14ac:dyDescent="0.25">
      <c r="A3538" s="2">
        <v>3533</v>
      </c>
      <c r="B3538" s="3" t="str">
        <f>"00162897"</f>
        <v>00162897</v>
      </c>
    </row>
    <row r="3539" spans="1:2" x14ac:dyDescent="0.25">
      <c r="A3539" s="2">
        <v>3534</v>
      </c>
      <c r="B3539" s="3" t="str">
        <f>"00162934"</f>
        <v>00162934</v>
      </c>
    </row>
    <row r="3540" spans="1:2" x14ac:dyDescent="0.25">
      <c r="A3540" s="2">
        <v>3535</v>
      </c>
      <c r="B3540" s="3" t="str">
        <f>"00162972"</f>
        <v>00162972</v>
      </c>
    </row>
    <row r="3541" spans="1:2" x14ac:dyDescent="0.25">
      <c r="A3541" s="2">
        <v>3536</v>
      </c>
      <c r="B3541" s="3" t="str">
        <f>"00162991"</f>
        <v>00162991</v>
      </c>
    </row>
    <row r="3542" spans="1:2" x14ac:dyDescent="0.25">
      <c r="A3542" s="2">
        <v>3537</v>
      </c>
      <c r="B3542" s="3" t="str">
        <f>"00163025"</f>
        <v>00163025</v>
      </c>
    </row>
    <row r="3543" spans="1:2" x14ac:dyDescent="0.25">
      <c r="A3543" s="2">
        <v>3538</v>
      </c>
      <c r="B3543" s="3" t="str">
        <f>"00163038"</f>
        <v>00163038</v>
      </c>
    </row>
    <row r="3544" spans="1:2" x14ac:dyDescent="0.25">
      <c r="A3544" s="2">
        <v>3539</v>
      </c>
      <c r="B3544" s="3" t="str">
        <f>"00163045"</f>
        <v>00163045</v>
      </c>
    </row>
    <row r="3545" spans="1:2" x14ac:dyDescent="0.25">
      <c r="A3545" s="2">
        <v>3540</v>
      </c>
      <c r="B3545" s="3" t="str">
        <f>"00163075"</f>
        <v>00163075</v>
      </c>
    </row>
    <row r="3546" spans="1:2" x14ac:dyDescent="0.25">
      <c r="A3546" s="2">
        <v>3541</v>
      </c>
      <c r="B3546" s="3" t="str">
        <f>"00163078"</f>
        <v>00163078</v>
      </c>
    </row>
    <row r="3547" spans="1:2" x14ac:dyDescent="0.25">
      <c r="A3547" s="2">
        <v>3542</v>
      </c>
      <c r="B3547" s="3" t="str">
        <f>"00163103"</f>
        <v>00163103</v>
      </c>
    </row>
    <row r="3548" spans="1:2" x14ac:dyDescent="0.25">
      <c r="A3548" s="2">
        <v>3543</v>
      </c>
      <c r="B3548" s="3" t="str">
        <f>"00163183"</f>
        <v>00163183</v>
      </c>
    </row>
    <row r="3549" spans="1:2" x14ac:dyDescent="0.25">
      <c r="A3549" s="2">
        <v>3544</v>
      </c>
      <c r="B3549" s="3" t="str">
        <f>"00163213"</f>
        <v>00163213</v>
      </c>
    </row>
    <row r="3550" spans="1:2" x14ac:dyDescent="0.25">
      <c r="A3550" s="2">
        <v>3545</v>
      </c>
      <c r="B3550" s="3" t="str">
        <f>"00163231"</f>
        <v>00163231</v>
      </c>
    </row>
    <row r="3551" spans="1:2" x14ac:dyDescent="0.25">
      <c r="A3551" s="2">
        <v>3546</v>
      </c>
      <c r="B3551" s="3" t="str">
        <f>"00163232"</f>
        <v>00163232</v>
      </c>
    </row>
    <row r="3552" spans="1:2" x14ac:dyDescent="0.25">
      <c r="A3552" s="2">
        <v>3547</v>
      </c>
      <c r="B3552" s="3" t="str">
        <f>"00163300"</f>
        <v>00163300</v>
      </c>
    </row>
    <row r="3553" spans="1:2" x14ac:dyDescent="0.25">
      <c r="A3553" s="2">
        <v>3548</v>
      </c>
      <c r="B3553" s="3" t="str">
        <f>"00163419"</f>
        <v>00163419</v>
      </c>
    </row>
    <row r="3554" spans="1:2" x14ac:dyDescent="0.25">
      <c r="A3554" s="2">
        <v>3549</v>
      </c>
      <c r="B3554" s="3" t="str">
        <f>"00163448"</f>
        <v>00163448</v>
      </c>
    </row>
    <row r="3555" spans="1:2" x14ac:dyDescent="0.25">
      <c r="A3555" s="2">
        <v>3550</v>
      </c>
      <c r="B3555" s="3" t="str">
        <f>"00163464"</f>
        <v>00163464</v>
      </c>
    </row>
    <row r="3556" spans="1:2" x14ac:dyDescent="0.25">
      <c r="A3556" s="2">
        <v>3551</v>
      </c>
      <c r="B3556" s="3" t="str">
        <f>"00163479"</f>
        <v>00163479</v>
      </c>
    </row>
    <row r="3557" spans="1:2" x14ac:dyDescent="0.25">
      <c r="A3557" s="2">
        <v>3552</v>
      </c>
      <c r="B3557" s="3" t="str">
        <f>"00163484"</f>
        <v>00163484</v>
      </c>
    </row>
    <row r="3558" spans="1:2" x14ac:dyDescent="0.25">
      <c r="A3558" s="2">
        <v>3553</v>
      </c>
      <c r="B3558" s="3" t="str">
        <f>"00163534"</f>
        <v>00163534</v>
      </c>
    </row>
    <row r="3559" spans="1:2" x14ac:dyDescent="0.25">
      <c r="A3559" s="2">
        <v>3554</v>
      </c>
      <c r="B3559" s="3" t="str">
        <f>"00163583"</f>
        <v>00163583</v>
      </c>
    </row>
    <row r="3560" spans="1:2" x14ac:dyDescent="0.25">
      <c r="A3560" s="2">
        <v>3555</v>
      </c>
      <c r="B3560" s="3" t="str">
        <f>"00163618"</f>
        <v>00163618</v>
      </c>
    </row>
    <row r="3561" spans="1:2" x14ac:dyDescent="0.25">
      <c r="A3561" s="2">
        <v>3556</v>
      </c>
      <c r="B3561" s="3" t="str">
        <f>"00163625"</f>
        <v>00163625</v>
      </c>
    </row>
    <row r="3562" spans="1:2" x14ac:dyDescent="0.25">
      <c r="A3562" s="2">
        <v>3557</v>
      </c>
      <c r="B3562" s="3" t="str">
        <f>"00163631"</f>
        <v>00163631</v>
      </c>
    </row>
    <row r="3563" spans="1:2" x14ac:dyDescent="0.25">
      <c r="A3563" s="2">
        <v>3558</v>
      </c>
      <c r="B3563" s="3" t="str">
        <f>"00163633"</f>
        <v>00163633</v>
      </c>
    </row>
    <row r="3564" spans="1:2" x14ac:dyDescent="0.25">
      <c r="A3564" s="2">
        <v>3559</v>
      </c>
      <c r="B3564" s="3" t="str">
        <f>"00163653"</f>
        <v>00163653</v>
      </c>
    </row>
    <row r="3565" spans="1:2" x14ac:dyDescent="0.25">
      <c r="A3565" s="2">
        <v>3560</v>
      </c>
      <c r="B3565" s="3" t="str">
        <f>"00163684"</f>
        <v>00163684</v>
      </c>
    </row>
    <row r="3566" spans="1:2" x14ac:dyDescent="0.25">
      <c r="A3566" s="2">
        <v>3561</v>
      </c>
      <c r="B3566" s="3" t="str">
        <f>"00163854"</f>
        <v>00163854</v>
      </c>
    </row>
    <row r="3567" spans="1:2" x14ac:dyDescent="0.25">
      <c r="A3567" s="2">
        <v>3562</v>
      </c>
      <c r="B3567" s="3" t="str">
        <f>"00163877"</f>
        <v>00163877</v>
      </c>
    </row>
    <row r="3568" spans="1:2" x14ac:dyDescent="0.25">
      <c r="A3568" s="2">
        <v>3563</v>
      </c>
      <c r="B3568" s="3" t="str">
        <f>"00163885"</f>
        <v>00163885</v>
      </c>
    </row>
    <row r="3569" spans="1:2" x14ac:dyDescent="0.25">
      <c r="A3569" s="2">
        <v>3564</v>
      </c>
      <c r="B3569" s="3" t="str">
        <f>"00163892"</f>
        <v>00163892</v>
      </c>
    </row>
    <row r="3570" spans="1:2" x14ac:dyDescent="0.25">
      <c r="A3570" s="2">
        <v>3565</v>
      </c>
      <c r="B3570" s="3" t="str">
        <f>"00163893"</f>
        <v>00163893</v>
      </c>
    </row>
    <row r="3571" spans="1:2" x14ac:dyDescent="0.25">
      <c r="A3571" s="2">
        <v>3566</v>
      </c>
      <c r="B3571" s="3" t="str">
        <f>"00163924"</f>
        <v>00163924</v>
      </c>
    </row>
    <row r="3572" spans="1:2" x14ac:dyDescent="0.25">
      <c r="A3572" s="2">
        <v>3567</v>
      </c>
      <c r="B3572" s="3" t="str">
        <f>"00164062"</f>
        <v>00164062</v>
      </c>
    </row>
    <row r="3573" spans="1:2" x14ac:dyDescent="0.25">
      <c r="A3573" s="2">
        <v>3568</v>
      </c>
      <c r="B3573" s="3" t="str">
        <f>"00164064"</f>
        <v>00164064</v>
      </c>
    </row>
    <row r="3574" spans="1:2" x14ac:dyDescent="0.25">
      <c r="A3574" s="2">
        <v>3569</v>
      </c>
      <c r="B3574" s="3" t="str">
        <f>"00164081"</f>
        <v>00164081</v>
      </c>
    </row>
    <row r="3575" spans="1:2" x14ac:dyDescent="0.25">
      <c r="A3575" s="2">
        <v>3570</v>
      </c>
      <c r="B3575" s="3" t="str">
        <f>"00164082"</f>
        <v>00164082</v>
      </c>
    </row>
    <row r="3576" spans="1:2" x14ac:dyDescent="0.25">
      <c r="A3576" s="2">
        <v>3571</v>
      </c>
      <c r="B3576" s="3" t="str">
        <f>"00164090"</f>
        <v>00164090</v>
      </c>
    </row>
    <row r="3577" spans="1:2" x14ac:dyDescent="0.25">
      <c r="A3577" s="2">
        <v>3572</v>
      </c>
      <c r="B3577" s="3" t="str">
        <f>"00164104"</f>
        <v>00164104</v>
      </c>
    </row>
    <row r="3578" spans="1:2" x14ac:dyDescent="0.25">
      <c r="A3578" s="2">
        <v>3573</v>
      </c>
      <c r="B3578" s="3" t="str">
        <f>"00164133"</f>
        <v>00164133</v>
      </c>
    </row>
    <row r="3579" spans="1:2" x14ac:dyDescent="0.25">
      <c r="A3579" s="2">
        <v>3574</v>
      </c>
      <c r="B3579" s="3" t="str">
        <f>"00164201"</f>
        <v>00164201</v>
      </c>
    </row>
    <row r="3580" spans="1:2" x14ac:dyDescent="0.25">
      <c r="A3580" s="2">
        <v>3575</v>
      </c>
      <c r="B3580" s="3" t="str">
        <f>"00164241"</f>
        <v>00164241</v>
      </c>
    </row>
    <row r="3581" spans="1:2" x14ac:dyDescent="0.25">
      <c r="A3581" s="2">
        <v>3576</v>
      </c>
      <c r="B3581" s="3" t="str">
        <f>"00164371"</f>
        <v>00164371</v>
      </c>
    </row>
    <row r="3582" spans="1:2" x14ac:dyDescent="0.25">
      <c r="A3582" s="2">
        <v>3577</v>
      </c>
      <c r="B3582" s="3" t="str">
        <f>"00164377"</f>
        <v>00164377</v>
      </c>
    </row>
    <row r="3583" spans="1:2" x14ac:dyDescent="0.25">
      <c r="A3583" s="2">
        <v>3578</v>
      </c>
      <c r="B3583" s="3" t="str">
        <f>"00164406"</f>
        <v>00164406</v>
      </c>
    </row>
    <row r="3584" spans="1:2" x14ac:dyDescent="0.25">
      <c r="A3584" s="2">
        <v>3579</v>
      </c>
      <c r="B3584" s="3" t="str">
        <f>"00164439"</f>
        <v>00164439</v>
      </c>
    </row>
    <row r="3585" spans="1:2" x14ac:dyDescent="0.25">
      <c r="A3585" s="2">
        <v>3580</v>
      </c>
      <c r="B3585" s="3" t="str">
        <f>"00164441"</f>
        <v>00164441</v>
      </c>
    </row>
    <row r="3586" spans="1:2" x14ac:dyDescent="0.25">
      <c r="A3586" s="2">
        <v>3581</v>
      </c>
      <c r="B3586" s="3" t="str">
        <f>"00164445"</f>
        <v>00164445</v>
      </c>
    </row>
    <row r="3587" spans="1:2" x14ac:dyDescent="0.25">
      <c r="A3587" s="2">
        <v>3582</v>
      </c>
      <c r="B3587" s="3" t="str">
        <f>"00164880"</f>
        <v>00164880</v>
      </c>
    </row>
    <row r="3588" spans="1:2" x14ac:dyDescent="0.25">
      <c r="A3588" s="2">
        <v>3583</v>
      </c>
      <c r="B3588" s="3" t="str">
        <f>"00165118"</f>
        <v>00165118</v>
      </c>
    </row>
    <row r="3589" spans="1:2" x14ac:dyDescent="0.25">
      <c r="A3589" s="2">
        <v>3584</v>
      </c>
      <c r="B3589" s="3" t="str">
        <f>"00165723"</f>
        <v>00165723</v>
      </c>
    </row>
    <row r="3590" spans="1:2" x14ac:dyDescent="0.25">
      <c r="A3590" s="2">
        <v>3585</v>
      </c>
      <c r="B3590" s="3" t="str">
        <f>"00165726"</f>
        <v>00165726</v>
      </c>
    </row>
    <row r="3591" spans="1:2" x14ac:dyDescent="0.25">
      <c r="A3591" s="2">
        <v>3586</v>
      </c>
      <c r="B3591" s="3" t="str">
        <f>"00165736"</f>
        <v>00165736</v>
      </c>
    </row>
    <row r="3592" spans="1:2" x14ac:dyDescent="0.25">
      <c r="A3592" s="2">
        <v>3587</v>
      </c>
      <c r="B3592" s="3" t="str">
        <f>"00165742"</f>
        <v>00165742</v>
      </c>
    </row>
    <row r="3593" spans="1:2" x14ac:dyDescent="0.25">
      <c r="A3593" s="2">
        <v>3588</v>
      </c>
      <c r="B3593" s="3" t="str">
        <f>"00165744"</f>
        <v>00165744</v>
      </c>
    </row>
    <row r="3594" spans="1:2" x14ac:dyDescent="0.25">
      <c r="A3594" s="2">
        <v>3589</v>
      </c>
      <c r="B3594" s="3" t="str">
        <f>"00165750"</f>
        <v>00165750</v>
      </c>
    </row>
    <row r="3595" spans="1:2" x14ac:dyDescent="0.25">
      <c r="A3595" s="2">
        <v>3590</v>
      </c>
      <c r="B3595" s="3" t="str">
        <f>"00165763"</f>
        <v>00165763</v>
      </c>
    </row>
    <row r="3596" spans="1:2" x14ac:dyDescent="0.25">
      <c r="A3596" s="2">
        <v>3591</v>
      </c>
      <c r="B3596" s="3" t="str">
        <f>"00165775"</f>
        <v>00165775</v>
      </c>
    </row>
    <row r="3597" spans="1:2" x14ac:dyDescent="0.25">
      <c r="A3597" s="2">
        <v>3592</v>
      </c>
      <c r="B3597" s="3" t="str">
        <f>"00165788"</f>
        <v>00165788</v>
      </c>
    </row>
    <row r="3598" spans="1:2" x14ac:dyDescent="0.25">
      <c r="A3598" s="2">
        <v>3593</v>
      </c>
      <c r="B3598" s="3" t="str">
        <f>"00165808"</f>
        <v>00165808</v>
      </c>
    </row>
    <row r="3599" spans="1:2" x14ac:dyDescent="0.25">
      <c r="A3599" s="2">
        <v>3594</v>
      </c>
      <c r="B3599" s="3" t="str">
        <f>"00165827"</f>
        <v>00165827</v>
      </c>
    </row>
    <row r="3600" spans="1:2" x14ac:dyDescent="0.25">
      <c r="A3600" s="2">
        <v>3595</v>
      </c>
      <c r="B3600" s="3" t="str">
        <f>"00165979"</f>
        <v>00165979</v>
      </c>
    </row>
    <row r="3601" spans="1:2" x14ac:dyDescent="0.25">
      <c r="A3601" s="2">
        <v>3596</v>
      </c>
      <c r="B3601" s="3" t="str">
        <f>"00166004"</f>
        <v>00166004</v>
      </c>
    </row>
    <row r="3602" spans="1:2" x14ac:dyDescent="0.25">
      <c r="A3602" s="2">
        <v>3597</v>
      </c>
      <c r="B3602" s="3" t="str">
        <f>"00166016"</f>
        <v>00166016</v>
      </c>
    </row>
    <row r="3603" spans="1:2" x14ac:dyDescent="0.25">
      <c r="A3603" s="2">
        <v>3598</v>
      </c>
      <c r="B3603" s="3" t="str">
        <f>"00166035"</f>
        <v>00166035</v>
      </c>
    </row>
    <row r="3604" spans="1:2" x14ac:dyDescent="0.25">
      <c r="A3604" s="2">
        <v>3599</v>
      </c>
      <c r="B3604" s="3" t="str">
        <f>"00166037"</f>
        <v>00166037</v>
      </c>
    </row>
    <row r="3605" spans="1:2" x14ac:dyDescent="0.25">
      <c r="A3605" s="2">
        <v>3600</v>
      </c>
      <c r="B3605" s="3" t="str">
        <f>"00166042"</f>
        <v>00166042</v>
      </c>
    </row>
    <row r="3606" spans="1:2" x14ac:dyDescent="0.25">
      <c r="A3606" s="2">
        <v>3601</v>
      </c>
      <c r="B3606" s="3" t="str">
        <f>"00166046"</f>
        <v>00166046</v>
      </c>
    </row>
    <row r="3607" spans="1:2" x14ac:dyDescent="0.25">
      <c r="A3607" s="2">
        <v>3602</v>
      </c>
      <c r="B3607" s="3" t="str">
        <f>"00166050"</f>
        <v>00166050</v>
      </c>
    </row>
    <row r="3608" spans="1:2" x14ac:dyDescent="0.25">
      <c r="A3608" s="2">
        <v>3603</v>
      </c>
      <c r="B3608" s="3" t="str">
        <f>"00166052"</f>
        <v>00166052</v>
      </c>
    </row>
    <row r="3609" spans="1:2" x14ac:dyDescent="0.25">
      <c r="A3609" s="2">
        <v>3604</v>
      </c>
      <c r="B3609" s="3" t="str">
        <f>"00166118"</f>
        <v>00166118</v>
      </c>
    </row>
    <row r="3610" spans="1:2" x14ac:dyDescent="0.25">
      <c r="A3610" s="2">
        <v>3605</v>
      </c>
      <c r="B3610" s="3" t="str">
        <f>"00166131"</f>
        <v>00166131</v>
      </c>
    </row>
    <row r="3611" spans="1:2" x14ac:dyDescent="0.25">
      <c r="A3611" s="2">
        <v>3606</v>
      </c>
      <c r="B3611" s="3" t="str">
        <f>"00166153"</f>
        <v>00166153</v>
      </c>
    </row>
    <row r="3612" spans="1:2" x14ac:dyDescent="0.25">
      <c r="A3612" s="2">
        <v>3607</v>
      </c>
      <c r="B3612" s="3" t="str">
        <f>"00166170"</f>
        <v>00166170</v>
      </c>
    </row>
    <row r="3613" spans="1:2" x14ac:dyDescent="0.25">
      <c r="A3613" s="2">
        <v>3608</v>
      </c>
      <c r="B3613" s="3" t="str">
        <f>"00166181"</f>
        <v>00166181</v>
      </c>
    </row>
    <row r="3614" spans="1:2" x14ac:dyDescent="0.25">
      <c r="A3614" s="2">
        <v>3609</v>
      </c>
      <c r="B3614" s="3" t="str">
        <f>"00166524"</f>
        <v>00166524</v>
      </c>
    </row>
    <row r="3615" spans="1:2" x14ac:dyDescent="0.25">
      <c r="A3615" s="2">
        <v>3610</v>
      </c>
      <c r="B3615" s="3" t="str">
        <f>"00166532"</f>
        <v>00166532</v>
      </c>
    </row>
    <row r="3616" spans="1:2" x14ac:dyDescent="0.25">
      <c r="A3616" s="2">
        <v>3611</v>
      </c>
      <c r="B3616" s="3" t="str">
        <f>"00166537"</f>
        <v>00166537</v>
      </c>
    </row>
    <row r="3617" spans="1:2" x14ac:dyDescent="0.25">
      <c r="A3617" s="2">
        <v>3612</v>
      </c>
      <c r="B3617" s="3" t="str">
        <f>"00166549"</f>
        <v>00166549</v>
      </c>
    </row>
    <row r="3618" spans="1:2" x14ac:dyDescent="0.25">
      <c r="A3618" s="2">
        <v>3613</v>
      </c>
      <c r="B3618" s="3" t="str">
        <f>"00166612"</f>
        <v>00166612</v>
      </c>
    </row>
    <row r="3619" spans="1:2" x14ac:dyDescent="0.25">
      <c r="A3619" s="2">
        <v>3614</v>
      </c>
      <c r="B3619" s="3" t="str">
        <f>"00166894"</f>
        <v>00166894</v>
      </c>
    </row>
    <row r="3620" spans="1:2" x14ac:dyDescent="0.25">
      <c r="A3620" s="2">
        <v>3615</v>
      </c>
      <c r="B3620" s="3" t="str">
        <f>"00166913"</f>
        <v>00166913</v>
      </c>
    </row>
    <row r="3621" spans="1:2" x14ac:dyDescent="0.25">
      <c r="A3621" s="2">
        <v>3616</v>
      </c>
      <c r="B3621" s="3" t="str">
        <f>"00166915"</f>
        <v>00166915</v>
      </c>
    </row>
    <row r="3622" spans="1:2" x14ac:dyDescent="0.25">
      <c r="A3622" s="2">
        <v>3617</v>
      </c>
      <c r="B3622" s="3" t="str">
        <f>"00166920"</f>
        <v>00166920</v>
      </c>
    </row>
    <row r="3623" spans="1:2" x14ac:dyDescent="0.25">
      <c r="A3623" s="2">
        <v>3618</v>
      </c>
      <c r="B3623" s="3" t="str">
        <f>"00167416"</f>
        <v>00167416</v>
      </c>
    </row>
    <row r="3624" spans="1:2" x14ac:dyDescent="0.25">
      <c r="A3624" s="2">
        <v>3619</v>
      </c>
      <c r="B3624" s="3" t="str">
        <f>"00167417"</f>
        <v>00167417</v>
      </c>
    </row>
    <row r="3625" spans="1:2" x14ac:dyDescent="0.25">
      <c r="A3625" s="2">
        <v>3620</v>
      </c>
      <c r="B3625" s="3" t="str">
        <f>"00167474"</f>
        <v>00167474</v>
      </c>
    </row>
    <row r="3626" spans="1:2" x14ac:dyDescent="0.25">
      <c r="A3626" s="2">
        <v>3621</v>
      </c>
      <c r="B3626" s="3" t="str">
        <f>"00167498"</f>
        <v>00167498</v>
      </c>
    </row>
    <row r="3627" spans="1:2" x14ac:dyDescent="0.25">
      <c r="A3627" s="2">
        <v>3622</v>
      </c>
      <c r="B3627" s="3" t="str">
        <f>"00167617"</f>
        <v>00167617</v>
      </c>
    </row>
    <row r="3628" spans="1:2" x14ac:dyDescent="0.25">
      <c r="A3628" s="2">
        <v>3623</v>
      </c>
      <c r="B3628" s="3" t="str">
        <f>"00167626"</f>
        <v>00167626</v>
      </c>
    </row>
    <row r="3629" spans="1:2" x14ac:dyDescent="0.25">
      <c r="A3629" s="2">
        <v>3624</v>
      </c>
      <c r="B3629" s="3" t="str">
        <f>"00167633"</f>
        <v>00167633</v>
      </c>
    </row>
    <row r="3630" spans="1:2" x14ac:dyDescent="0.25">
      <c r="A3630" s="2">
        <v>3625</v>
      </c>
      <c r="B3630" s="3" t="str">
        <f>"00167662"</f>
        <v>00167662</v>
      </c>
    </row>
    <row r="3631" spans="1:2" x14ac:dyDescent="0.25">
      <c r="A3631" s="2">
        <v>3626</v>
      </c>
      <c r="B3631" s="3" t="str">
        <f>"00167663"</f>
        <v>00167663</v>
      </c>
    </row>
    <row r="3632" spans="1:2" x14ac:dyDescent="0.25">
      <c r="A3632" s="2">
        <v>3627</v>
      </c>
      <c r="B3632" s="3" t="str">
        <f>"00167675"</f>
        <v>00167675</v>
      </c>
    </row>
    <row r="3633" spans="1:2" x14ac:dyDescent="0.25">
      <c r="A3633" s="2">
        <v>3628</v>
      </c>
      <c r="B3633" s="3" t="str">
        <f>"00167685"</f>
        <v>00167685</v>
      </c>
    </row>
    <row r="3634" spans="1:2" x14ac:dyDescent="0.25">
      <c r="A3634" s="2">
        <v>3629</v>
      </c>
      <c r="B3634" s="3" t="str">
        <f>"00167768"</f>
        <v>00167768</v>
      </c>
    </row>
    <row r="3635" spans="1:2" x14ac:dyDescent="0.25">
      <c r="A3635" s="2">
        <v>3630</v>
      </c>
      <c r="B3635" s="3" t="str">
        <f>"00167769"</f>
        <v>00167769</v>
      </c>
    </row>
    <row r="3636" spans="1:2" x14ac:dyDescent="0.25">
      <c r="A3636" s="2">
        <v>3631</v>
      </c>
      <c r="B3636" s="3" t="str">
        <f>"00167814"</f>
        <v>00167814</v>
      </c>
    </row>
    <row r="3637" spans="1:2" x14ac:dyDescent="0.25">
      <c r="A3637" s="2">
        <v>3632</v>
      </c>
      <c r="B3637" s="3" t="str">
        <f>"00167841"</f>
        <v>00167841</v>
      </c>
    </row>
    <row r="3638" spans="1:2" x14ac:dyDescent="0.25">
      <c r="A3638" s="2">
        <v>3633</v>
      </c>
      <c r="B3638" s="3" t="str">
        <f>"00168515"</f>
        <v>00168515</v>
      </c>
    </row>
    <row r="3639" spans="1:2" x14ac:dyDescent="0.25">
      <c r="A3639" s="2">
        <v>3634</v>
      </c>
      <c r="B3639" s="3" t="str">
        <f>"00168552"</f>
        <v>00168552</v>
      </c>
    </row>
    <row r="3640" spans="1:2" x14ac:dyDescent="0.25">
      <c r="A3640" s="2">
        <v>3635</v>
      </c>
      <c r="B3640" s="3" t="str">
        <f>"00168567"</f>
        <v>00168567</v>
      </c>
    </row>
    <row r="3641" spans="1:2" x14ac:dyDescent="0.25">
      <c r="A3641" s="2">
        <v>3636</v>
      </c>
      <c r="B3641" s="3" t="str">
        <f>"00168728"</f>
        <v>00168728</v>
      </c>
    </row>
    <row r="3642" spans="1:2" x14ac:dyDescent="0.25">
      <c r="A3642" s="2">
        <v>3637</v>
      </c>
      <c r="B3642" s="3" t="str">
        <f>"00168729"</f>
        <v>00168729</v>
      </c>
    </row>
    <row r="3643" spans="1:2" x14ac:dyDescent="0.25">
      <c r="A3643" s="2">
        <v>3638</v>
      </c>
      <c r="B3643" s="3" t="str">
        <f>"00169230"</f>
        <v>00169230</v>
      </c>
    </row>
    <row r="3644" spans="1:2" x14ac:dyDescent="0.25">
      <c r="A3644" s="2">
        <v>3639</v>
      </c>
      <c r="B3644" s="3" t="str">
        <f>"00169234"</f>
        <v>00169234</v>
      </c>
    </row>
    <row r="3645" spans="1:2" x14ac:dyDescent="0.25">
      <c r="A3645" s="2">
        <v>3640</v>
      </c>
      <c r="B3645" s="3" t="str">
        <f>"00169248"</f>
        <v>00169248</v>
      </c>
    </row>
    <row r="3646" spans="1:2" x14ac:dyDescent="0.25">
      <c r="A3646" s="2">
        <v>3641</v>
      </c>
      <c r="B3646" s="3" t="str">
        <f>"00169266"</f>
        <v>00169266</v>
      </c>
    </row>
    <row r="3647" spans="1:2" x14ac:dyDescent="0.25">
      <c r="A3647" s="2">
        <v>3642</v>
      </c>
      <c r="B3647" s="3" t="str">
        <f>"00169956"</f>
        <v>00169956</v>
      </c>
    </row>
    <row r="3648" spans="1:2" x14ac:dyDescent="0.25">
      <c r="A3648" s="2">
        <v>3643</v>
      </c>
      <c r="B3648" s="3" t="str">
        <f>"00169977"</f>
        <v>00169977</v>
      </c>
    </row>
    <row r="3649" spans="1:2" x14ac:dyDescent="0.25">
      <c r="A3649" s="2">
        <v>3644</v>
      </c>
      <c r="B3649" s="3" t="str">
        <f>"00169981"</f>
        <v>00169981</v>
      </c>
    </row>
    <row r="3650" spans="1:2" x14ac:dyDescent="0.25">
      <c r="A3650" s="2">
        <v>3645</v>
      </c>
      <c r="B3650" s="3" t="str">
        <f>"00170025"</f>
        <v>00170025</v>
      </c>
    </row>
    <row r="3651" spans="1:2" x14ac:dyDescent="0.25">
      <c r="A3651" s="2">
        <v>3646</v>
      </c>
      <c r="B3651" s="3" t="str">
        <f>"00170034"</f>
        <v>00170034</v>
      </c>
    </row>
    <row r="3652" spans="1:2" x14ac:dyDescent="0.25">
      <c r="A3652" s="2">
        <v>3647</v>
      </c>
      <c r="B3652" s="3" t="str">
        <f>"00170092"</f>
        <v>00170092</v>
      </c>
    </row>
    <row r="3653" spans="1:2" x14ac:dyDescent="0.25">
      <c r="A3653" s="2">
        <v>3648</v>
      </c>
      <c r="B3653" s="3" t="str">
        <f>"00170101"</f>
        <v>00170101</v>
      </c>
    </row>
    <row r="3654" spans="1:2" x14ac:dyDescent="0.25">
      <c r="A3654" s="2">
        <v>3649</v>
      </c>
      <c r="B3654" s="3" t="str">
        <f>"00170103"</f>
        <v>00170103</v>
      </c>
    </row>
    <row r="3655" spans="1:2" x14ac:dyDescent="0.25">
      <c r="A3655" s="2">
        <v>3650</v>
      </c>
      <c r="B3655" s="3" t="str">
        <f>"00170136"</f>
        <v>00170136</v>
      </c>
    </row>
    <row r="3656" spans="1:2" x14ac:dyDescent="0.25">
      <c r="A3656" s="2">
        <v>3651</v>
      </c>
      <c r="B3656" s="3" t="str">
        <f>"00170164"</f>
        <v>00170164</v>
      </c>
    </row>
    <row r="3657" spans="1:2" x14ac:dyDescent="0.25">
      <c r="A3657" s="2">
        <v>3652</v>
      </c>
      <c r="B3657" s="3" t="str">
        <f>"00170251"</f>
        <v>00170251</v>
      </c>
    </row>
    <row r="3658" spans="1:2" x14ac:dyDescent="0.25">
      <c r="A3658" s="2">
        <v>3653</v>
      </c>
      <c r="B3658" s="3" t="str">
        <f>"00170259"</f>
        <v>00170259</v>
      </c>
    </row>
    <row r="3659" spans="1:2" x14ac:dyDescent="0.25">
      <c r="A3659" s="2">
        <v>3654</v>
      </c>
      <c r="B3659" s="3" t="str">
        <f>"00170521"</f>
        <v>00170521</v>
      </c>
    </row>
    <row r="3660" spans="1:2" x14ac:dyDescent="0.25">
      <c r="A3660" s="2">
        <v>3655</v>
      </c>
      <c r="B3660" s="3" t="str">
        <f>"00170555"</f>
        <v>00170555</v>
      </c>
    </row>
    <row r="3661" spans="1:2" x14ac:dyDescent="0.25">
      <c r="A3661" s="2">
        <v>3656</v>
      </c>
      <c r="B3661" s="3" t="str">
        <f>"00170688"</f>
        <v>00170688</v>
      </c>
    </row>
    <row r="3662" spans="1:2" x14ac:dyDescent="0.25">
      <c r="A3662" s="2">
        <v>3657</v>
      </c>
      <c r="B3662" s="3" t="str">
        <f>"00170698"</f>
        <v>00170698</v>
      </c>
    </row>
    <row r="3663" spans="1:2" x14ac:dyDescent="0.25">
      <c r="A3663" s="2">
        <v>3658</v>
      </c>
      <c r="B3663" s="3" t="str">
        <f>"00171658"</f>
        <v>00171658</v>
      </c>
    </row>
    <row r="3664" spans="1:2" x14ac:dyDescent="0.25">
      <c r="A3664" s="2">
        <v>3659</v>
      </c>
      <c r="B3664" s="3" t="str">
        <f>"00171665"</f>
        <v>00171665</v>
      </c>
    </row>
    <row r="3665" spans="1:2" x14ac:dyDescent="0.25">
      <c r="A3665" s="2">
        <v>3660</v>
      </c>
      <c r="B3665" s="3" t="str">
        <f>"00171704"</f>
        <v>00171704</v>
      </c>
    </row>
    <row r="3666" spans="1:2" x14ac:dyDescent="0.25">
      <c r="A3666" s="2">
        <v>3661</v>
      </c>
      <c r="B3666" s="3" t="str">
        <f>"00171744"</f>
        <v>00171744</v>
      </c>
    </row>
    <row r="3667" spans="1:2" x14ac:dyDescent="0.25">
      <c r="A3667" s="2">
        <v>3662</v>
      </c>
      <c r="B3667" s="3" t="str">
        <f>"00171747"</f>
        <v>00171747</v>
      </c>
    </row>
    <row r="3668" spans="1:2" x14ac:dyDescent="0.25">
      <c r="A3668" s="2">
        <v>3663</v>
      </c>
      <c r="B3668" s="3" t="str">
        <f>"00171792"</f>
        <v>00171792</v>
      </c>
    </row>
    <row r="3669" spans="1:2" x14ac:dyDescent="0.25">
      <c r="A3669" s="2">
        <v>3664</v>
      </c>
      <c r="B3669" s="3" t="str">
        <f>"00171806"</f>
        <v>00171806</v>
      </c>
    </row>
    <row r="3670" spans="1:2" x14ac:dyDescent="0.25">
      <c r="A3670" s="2">
        <v>3665</v>
      </c>
      <c r="B3670" s="3" t="str">
        <f>"00171812"</f>
        <v>00171812</v>
      </c>
    </row>
    <row r="3671" spans="1:2" x14ac:dyDescent="0.25">
      <c r="A3671" s="2">
        <v>3666</v>
      </c>
      <c r="B3671" s="3" t="str">
        <f>"00171813"</f>
        <v>00171813</v>
      </c>
    </row>
    <row r="3672" spans="1:2" x14ac:dyDescent="0.25">
      <c r="A3672" s="2">
        <v>3667</v>
      </c>
      <c r="B3672" s="3" t="str">
        <f>"00171852"</f>
        <v>00171852</v>
      </c>
    </row>
    <row r="3673" spans="1:2" x14ac:dyDescent="0.25">
      <c r="A3673" s="2">
        <v>3668</v>
      </c>
      <c r="B3673" s="3" t="str">
        <f>"00171857"</f>
        <v>00171857</v>
      </c>
    </row>
    <row r="3674" spans="1:2" x14ac:dyDescent="0.25">
      <c r="A3674" s="2">
        <v>3669</v>
      </c>
      <c r="B3674" s="3" t="str">
        <f>"00172186"</f>
        <v>00172186</v>
      </c>
    </row>
    <row r="3675" spans="1:2" x14ac:dyDescent="0.25">
      <c r="A3675" s="2">
        <v>3670</v>
      </c>
      <c r="B3675" s="3" t="str">
        <f>"00172197"</f>
        <v>00172197</v>
      </c>
    </row>
    <row r="3676" spans="1:2" x14ac:dyDescent="0.25">
      <c r="A3676" s="2">
        <v>3671</v>
      </c>
      <c r="B3676" s="3" t="str">
        <f>"00172213"</f>
        <v>00172213</v>
      </c>
    </row>
    <row r="3677" spans="1:2" x14ac:dyDescent="0.25">
      <c r="A3677" s="2">
        <v>3672</v>
      </c>
      <c r="B3677" s="3" t="str">
        <f>"00172214"</f>
        <v>00172214</v>
      </c>
    </row>
    <row r="3678" spans="1:2" x14ac:dyDescent="0.25">
      <c r="A3678" s="2">
        <v>3673</v>
      </c>
      <c r="B3678" s="3" t="str">
        <f>"00172250"</f>
        <v>00172250</v>
      </c>
    </row>
    <row r="3679" spans="1:2" x14ac:dyDescent="0.25">
      <c r="A3679" s="2">
        <v>3674</v>
      </c>
      <c r="B3679" s="3" t="str">
        <f>"00172341"</f>
        <v>00172341</v>
      </c>
    </row>
    <row r="3680" spans="1:2" x14ac:dyDescent="0.25">
      <c r="A3680" s="2">
        <v>3675</v>
      </c>
      <c r="B3680" s="3" t="str">
        <f>"00172348"</f>
        <v>00172348</v>
      </c>
    </row>
    <row r="3681" spans="1:2" x14ac:dyDescent="0.25">
      <c r="A3681" s="2">
        <v>3676</v>
      </c>
      <c r="B3681" s="3" t="str">
        <f>"00172395"</f>
        <v>00172395</v>
      </c>
    </row>
    <row r="3682" spans="1:2" x14ac:dyDescent="0.25">
      <c r="A3682" s="2">
        <v>3677</v>
      </c>
      <c r="B3682" s="3" t="str">
        <f>"00172424"</f>
        <v>00172424</v>
      </c>
    </row>
    <row r="3683" spans="1:2" x14ac:dyDescent="0.25">
      <c r="A3683" s="2">
        <v>3678</v>
      </c>
      <c r="B3683" s="3" t="str">
        <f>"00172433"</f>
        <v>00172433</v>
      </c>
    </row>
    <row r="3684" spans="1:2" x14ac:dyDescent="0.25">
      <c r="A3684" s="2">
        <v>3679</v>
      </c>
      <c r="B3684" s="3" t="str">
        <f>"00172456"</f>
        <v>00172456</v>
      </c>
    </row>
    <row r="3685" spans="1:2" x14ac:dyDescent="0.25">
      <c r="A3685" s="2">
        <v>3680</v>
      </c>
      <c r="B3685" s="3" t="str">
        <f>"00172756"</f>
        <v>00172756</v>
      </c>
    </row>
    <row r="3686" spans="1:2" x14ac:dyDescent="0.25">
      <c r="A3686" s="2">
        <v>3681</v>
      </c>
      <c r="B3686" s="3" t="str">
        <f>"00172811"</f>
        <v>00172811</v>
      </c>
    </row>
    <row r="3687" spans="1:2" x14ac:dyDescent="0.25">
      <c r="A3687" s="2">
        <v>3682</v>
      </c>
      <c r="B3687" s="3" t="str">
        <f>"00172821"</f>
        <v>00172821</v>
      </c>
    </row>
    <row r="3688" spans="1:2" x14ac:dyDescent="0.25">
      <c r="A3688" s="2">
        <v>3683</v>
      </c>
      <c r="B3688" s="3" t="str">
        <f>"00172834"</f>
        <v>00172834</v>
      </c>
    </row>
    <row r="3689" spans="1:2" x14ac:dyDescent="0.25">
      <c r="A3689" s="2">
        <v>3684</v>
      </c>
      <c r="B3689" s="3" t="str">
        <f>"00172836"</f>
        <v>00172836</v>
      </c>
    </row>
    <row r="3690" spans="1:2" x14ac:dyDescent="0.25">
      <c r="A3690" s="2">
        <v>3685</v>
      </c>
      <c r="B3690" s="3" t="str">
        <f>"00172840"</f>
        <v>00172840</v>
      </c>
    </row>
    <row r="3691" spans="1:2" x14ac:dyDescent="0.25">
      <c r="A3691" s="2">
        <v>3686</v>
      </c>
      <c r="B3691" s="3" t="str">
        <f>"00172862"</f>
        <v>00172862</v>
      </c>
    </row>
    <row r="3692" spans="1:2" x14ac:dyDescent="0.25">
      <c r="A3692" s="2">
        <v>3687</v>
      </c>
      <c r="B3692" s="3" t="str">
        <f>"00173203"</f>
        <v>00173203</v>
      </c>
    </row>
    <row r="3693" spans="1:2" x14ac:dyDescent="0.25">
      <c r="A3693" s="2">
        <v>3688</v>
      </c>
      <c r="B3693" s="3" t="str">
        <f>"00173250"</f>
        <v>00173250</v>
      </c>
    </row>
    <row r="3694" spans="1:2" x14ac:dyDescent="0.25">
      <c r="A3694" s="2">
        <v>3689</v>
      </c>
      <c r="B3694" s="3" t="str">
        <f>"00173493"</f>
        <v>00173493</v>
      </c>
    </row>
    <row r="3695" spans="1:2" x14ac:dyDescent="0.25">
      <c r="A3695" s="2">
        <v>3690</v>
      </c>
      <c r="B3695" s="3" t="str">
        <f>"00173527"</f>
        <v>00173527</v>
      </c>
    </row>
    <row r="3696" spans="1:2" x14ac:dyDescent="0.25">
      <c r="A3696" s="2">
        <v>3691</v>
      </c>
      <c r="B3696" s="3" t="str">
        <f>"00173539"</f>
        <v>00173539</v>
      </c>
    </row>
    <row r="3697" spans="1:2" x14ac:dyDescent="0.25">
      <c r="A3697" s="2">
        <v>3692</v>
      </c>
      <c r="B3697" s="3" t="str">
        <f>"00173549"</f>
        <v>00173549</v>
      </c>
    </row>
    <row r="3698" spans="1:2" x14ac:dyDescent="0.25">
      <c r="A3698" s="2">
        <v>3693</v>
      </c>
      <c r="B3698" s="3" t="str">
        <f>"00173606"</f>
        <v>00173606</v>
      </c>
    </row>
    <row r="3699" spans="1:2" x14ac:dyDescent="0.25">
      <c r="A3699" s="2">
        <v>3694</v>
      </c>
      <c r="B3699" s="3" t="str">
        <f>"00173714"</f>
        <v>00173714</v>
      </c>
    </row>
    <row r="3700" spans="1:2" x14ac:dyDescent="0.25">
      <c r="A3700" s="2">
        <v>3695</v>
      </c>
      <c r="B3700" s="3" t="str">
        <f>"00173730"</f>
        <v>00173730</v>
      </c>
    </row>
    <row r="3701" spans="1:2" x14ac:dyDescent="0.25">
      <c r="A3701" s="2">
        <v>3696</v>
      </c>
      <c r="B3701" s="3" t="str">
        <f>"00173745"</f>
        <v>00173745</v>
      </c>
    </row>
    <row r="3702" spans="1:2" x14ac:dyDescent="0.25">
      <c r="A3702" s="2">
        <v>3697</v>
      </c>
      <c r="B3702" s="3" t="str">
        <f>"00173762"</f>
        <v>00173762</v>
      </c>
    </row>
    <row r="3703" spans="1:2" x14ac:dyDescent="0.25">
      <c r="A3703" s="2">
        <v>3698</v>
      </c>
      <c r="B3703" s="3" t="str">
        <f>"00173788"</f>
        <v>00173788</v>
      </c>
    </row>
    <row r="3704" spans="1:2" x14ac:dyDescent="0.25">
      <c r="A3704" s="2">
        <v>3699</v>
      </c>
      <c r="B3704" s="3" t="str">
        <f>"00173956"</f>
        <v>00173956</v>
      </c>
    </row>
    <row r="3705" spans="1:2" x14ac:dyDescent="0.25">
      <c r="A3705" s="2">
        <v>3700</v>
      </c>
      <c r="B3705" s="3" t="str">
        <f>"00173977"</f>
        <v>00173977</v>
      </c>
    </row>
    <row r="3706" spans="1:2" x14ac:dyDescent="0.25">
      <c r="A3706" s="2">
        <v>3701</v>
      </c>
      <c r="B3706" s="3" t="str">
        <f>"00173990"</f>
        <v>00173990</v>
      </c>
    </row>
    <row r="3707" spans="1:2" x14ac:dyDescent="0.25">
      <c r="A3707" s="2">
        <v>3702</v>
      </c>
      <c r="B3707" s="3" t="str">
        <f>"00174004"</f>
        <v>00174004</v>
      </c>
    </row>
    <row r="3708" spans="1:2" x14ac:dyDescent="0.25">
      <c r="A3708" s="2">
        <v>3703</v>
      </c>
      <c r="B3708" s="3" t="str">
        <f>"00174019"</f>
        <v>00174019</v>
      </c>
    </row>
    <row r="3709" spans="1:2" x14ac:dyDescent="0.25">
      <c r="A3709" s="2">
        <v>3704</v>
      </c>
      <c r="B3709" s="3" t="str">
        <f>"00174039"</f>
        <v>00174039</v>
      </c>
    </row>
    <row r="3710" spans="1:2" x14ac:dyDescent="0.25">
      <c r="A3710" s="2">
        <v>3705</v>
      </c>
      <c r="B3710" s="3" t="str">
        <f>"00174053"</f>
        <v>00174053</v>
      </c>
    </row>
    <row r="3711" spans="1:2" x14ac:dyDescent="0.25">
      <c r="A3711" s="2">
        <v>3706</v>
      </c>
      <c r="B3711" s="3" t="str">
        <f>"00174063"</f>
        <v>00174063</v>
      </c>
    </row>
    <row r="3712" spans="1:2" x14ac:dyDescent="0.25">
      <c r="A3712" s="2">
        <v>3707</v>
      </c>
      <c r="B3712" s="3" t="str">
        <f>"00174079"</f>
        <v>00174079</v>
      </c>
    </row>
    <row r="3713" spans="1:2" x14ac:dyDescent="0.25">
      <c r="A3713" s="2">
        <v>3708</v>
      </c>
      <c r="B3713" s="3" t="str">
        <f>"00174110"</f>
        <v>00174110</v>
      </c>
    </row>
    <row r="3714" spans="1:2" x14ac:dyDescent="0.25">
      <c r="A3714" s="2">
        <v>3709</v>
      </c>
      <c r="B3714" s="3" t="str">
        <f>"00174147"</f>
        <v>00174147</v>
      </c>
    </row>
    <row r="3715" spans="1:2" x14ac:dyDescent="0.25">
      <c r="A3715" s="2">
        <v>3710</v>
      </c>
      <c r="B3715" s="3" t="str">
        <f>"00174169"</f>
        <v>00174169</v>
      </c>
    </row>
    <row r="3716" spans="1:2" x14ac:dyDescent="0.25">
      <c r="A3716" s="2">
        <v>3711</v>
      </c>
      <c r="B3716" s="3" t="str">
        <f>"00174327"</f>
        <v>00174327</v>
      </c>
    </row>
    <row r="3717" spans="1:2" x14ac:dyDescent="0.25">
      <c r="A3717" s="2">
        <v>3712</v>
      </c>
      <c r="B3717" s="3" t="str">
        <f>"00174448"</f>
        <v>00174448</v>
      </c>
    </row>
    <row r="3718" spans="1:2" x14ac:dyDescent="0.25">
      <c r="A3718" s="2">
        <v>3713</v>
      </c>
      <c r="B3718" s="3" t="str">
        <f>"00174721"</f>
        <v>00174721</v>
      </c>
    </row>
    <row r="3719" spans="1:2" x14ac:dyDescent="0.25">
      <c r="A3719" s="2">
        <v>3714</v>
      </c>
      <c r="B3719" s="3" t="str">
        <f>"00174967"</f>
        <v>00174967</v>
      </c>
    </row>
    <row r="3720" spans="1:2" x14ac:dyDescent="0.25">
      <c r="A3720" s="2">
        <v>3715</v>
      </c>
      <c r="B3720" s="3" t="str">
        <f>"00174981"</f>
        <v>00174981</v>
      </c>
    </row>
    <row r="3721" spans="1:2" x14ac:dyDescent="0.25">
      <c r="A3721" s="2">
        <v>3716</v>
      </c>
      <c r="B3721" s="3" t="str">
        <f>"00175012"</f>
        <v>00175012</v>
      </c>
    </row>
    <row r="3722" spans="1:2" x14ac:dyDescent="0.25">
      <c r="A3722" s="2">
        <v>3717</v>
      </c>
      <c r="B3722" s="3" t="str">
        <f>"00175051"</f>
        <v>00175051</v>
      </c>
    </row>
    <row r="3723" spans="1:2" x14ac:dyDescent="0.25">
      <c r="A3723" s="2">
        <v>3718</v>
      </c>
      <c r="B3723" s="3" t="str">
        <f>"00175691"</f>
        <v>00175691</v>
      </c>
    </row>
    <row r="3724" spans="1:2" x14ac:dyDescent="0.25">
      <c r="A3724" s="2">
        <v>3719</v>
      </c>
      <c r="B3724" s="3" t="str">
        <f>"00175776"</f>
        <v>00175776</v>
      </c>
    </row>
    <row r="3725" spans="1:2" x14ac:dyDescent="0.25">
      <c r="A3725" s="2">
        <v>3720</v>
      </c>
      <c r="B3725" s="3" t="str">
        <f>"00175791"</f>
        <v>00175791</v>
      </c>
    </row>
    <row r="3726" spans="1:2" x14ac:dyDescent="0.25">
      <c r="A3726" s="2">
        <v>3721</v>
      </c>
      <c r="B3726" s="3" t="str">
        <f>"00175793"</f>
        <v>00175793</v>
      </c>
    </row>
    <row r="3727" spans="1:2" x14ac:dyDescent="0.25">
      <c r="A3727" s="2">
        <v>3722</v>
      </c>
      <c r="B3727" s="3" t="str">
        <f>"00175832"</f>
        <v>00175832</v>
      </c>
    </row>
    <row r="3728" spans="1:2" x14ac:dyDescent="0.25">
      <c r="A3728" s="2">
        <v>3723</v>
      </c>
      <c r="B3728" s="3" t="str">
        <f>"00175863"</f>
        <v>00175863</v>
      </c>
    </row>
    <row r="3729" spans="1:2" x14ac:dyDescent="0.25">
      <c r="A3729" s="2">
        <v>3724</v>
      </c>
      <c r="B3729" s="3" t="str">
        <f>"00175871"</f>
        <v>00175871</v>
      </c>
    </row>
    <row r="3730" spans="1:2" x14ac:dyDescent="0.25">
      <c r="A3730" s="2">
        <v>3725</v>
      </c>
      <c r="B3730" s="3" t="str">
        <f>"00175971"</f>
        <v>00175971</v>
      </c>
    </row>
    <row r="3731" spans="1:2" x14ac:dyDescent="0.25">
      <c r="A3731" s="2">
        <v>3726</v>
      </c>
      <c r="B3731" s="3" t="str">
        <f>"00176057"</f>
        <v>00176057</v>
      </c>
    </row>
    <row r="3732" spans="1:2" x14ac:dyDescent="0.25">
      <c r="A3732" s="2">
        <v>3727</v>
      </c>
      <c r="B3732" s="3" t="str">
        <f>"00176074"</f>
        <v>00176074</v>
      </c>
    </row>
    <row r="3733" spans="1:2" x14ac:dyDescent="0.25">
      <c r="A3733" s="2">
        <v>3728</v>
      </c>
      <c r="B3733" s="3" t="str">
        <f>"00176138"</f>
        <v>00176138</v>
      </c>
    </row>
    <row r="3734" spans="1:2" x14ac:dyDescent="0.25">
      <c r="A3734" s="2">
        <v>3729</v>
      </c>
      <c r="B3734" s="3" t="str">
        <f>"00176173"</f>
        <v>00176173</v>
      </c>
    </row>
    <row r="3735" spans="1:2" x14ac:dyDescent="0.25">
      <c r="A3735" s="2">
        <v>3730</v>
      </c>
      <c r="B3735" s="3" t="str">
        <f>"00176181"</f>
        <v>00176181</v>
      </c>
    </row>
    <row r="3736" spans="1:2" x14ac:dyDescent="0.25">
      <c r="A3736" s="2">
        <v>3731</v>
      </c>
      <c r="B3736" s="3" t="str">
        <f>"00176216"</f>
        <v>00176216</v>
      </c>
    </row>
    <row r="3737" spans="1:2" x14ac:dyDescent="0.25">
      <c r="A3737" s="2">
        <v>3732</v>
      </c>
      <c r="B3737" s="3" t="str">
        <f>"00176220"</f>
        <v>00176220</v>
      </c>
    </row>
    <row r="3738" spans="1:2" x14ac:dyDescent="0.25">
      <c r="A3738" s="2">
        <v>3733</v>
      </c>
      <c r="B3738" s="3" t="str">
        <f>"00176222"</f>
        <v>00176222</v>
      </c>
    </row>
    <row r="3739" spans="1:2" x14ac:dyDescent="0.25">
      <c r="A3739" s="2">
        <v>3734</v>
      </c>
      <c r="B3739" s="3" t="str">
        <f>"00176227"</f>
        <v>00176227</v>
      </c>
    </row>
    <row r="3740" spans="1:2" x14ac:dyDescent="0.25">
      <c r="A3740" s="2">
        <v>3735</v>
      </c>
      <c r="B3740" s="3" t="str">
        <f>"00176247"</f>
        <v>00176247</v>
      </c>
    </row>
    <row r="3741" spans="1:2" x14ac:dyDescent="0.25">
      <c r="A3741" s="2">
        <v>3736</v>
      </c>
      <c r="B3741" s="3" t="str">
        <f>"00176281"</f>
        <v>00176281</v>
      </c>
    </row>
    <row r="3742" spans="1:2" x14ac:dyDescent="0.25">
      <c r="A3742" s="2">
        <v>3737</v>
      </c>
      <c r="B3742" s="3" t="str">
        <f>"00176282"</f>
        <v>00176282</v>
      </c>
    </row>
    <row r="3743" spans="1:2" x14ac:dyDescent="0.25">
      <c r="A3743" s="2">
        <v>3738</v>
      </c>
      <c r="B3743" s="3" t="str">
        <f>"00176304"</f>
        <v>00176304</v>
      </c>
    </row>
    <row r="3744" spans="1:2" x14ac:dyDescent="0.25">
      <c r="A3744" s="2">
        <v>3739</v>
      </c>
      <c r="B3744" s="3" t="str">
        <f>"00176306"</f>
        <v>00176306</v>
      </c>
    </row>
    <row r="3745" spans="1:2" x14ac:dyDescent="0.25">
      <c r="A3745" s="2">
        <v>3740</v>
      </c>
      <c r="B3745" s="3" t="str">
        <f>"00176366"</f>
        <v>00176366</v>
      </c>
    </row>
    <row r="3746" spans="1:2" x14ac:dyDescent="0.25">
      <c r="A3746" s="2">
        <v>3741</v>
      </c>
      <c r="B3746" s="3" t="str">
        <f>"00176384"</f>
        <v>00176384</v>
      </c>
    </row>
    <row r="3747" spans="1:2" x14ac:dyDescent="0.25">
      <c r="A3747" s="2">
        <v>3742</v>
      </c>
      <c r="B3747" s="3" t="str">
        <f>"00176388"</f>
        <v>00176388</v>
      </c>
    </row>
    <row r="3748" spans="1:2" x14ac:dyDescent="0.25">
      <c r="A3748" s="2">
        <v>3743</v>
      </c>
      <c r="B3748" s="3" t="str">
        <f>"00176422"</f>
        <v>00176422</v>
      </c>
    </row>
    <row r="3749" spans="1:2" x14ac:dyDescent="0.25">
      <c r="A3749" s="2">
        <v>3744</v>
      </c>
      <c r="B3749" s="3" t="str">
        <f>"00176449"</f>
        <v>00176449</v>
      </c>
    </row>
    <row r="3750" spans="1:2" x14ac:dyDescent="0.25">
      <c r="A3750" s="2">
        <v>3745</v>
      </c>
      <c r="B3750" s="3" t="str">
        <f>"00176595"</f>
        <v>00176595</v>
      </c>
    </row>
    <row r="3751" spans="1:2" x14ac:dyDescent="0.25">
      <c r="A3751" s="2">
        <v>3746</v>
      </c>
      <c r="B3751" s="3" t="str">
        <f>"00176614"</f>
        <v>00176614</v>
      </c>
    </row>
    <row r="3752" spans="1:2" x14ac:dyDescent="0.25">
      <c r="A3752" s="2">
        <v>3747</v>
      </c>
      <c r="B3752" s="3" t="str">
        <f>"00176627"</f>
        <v>00176627</v>
      </c>
    </row>
    <row r="3753" spans="1:2" x14ac:dyDescent="0.25">
      <c r="A3753" s="2">
        <v>3748</v>
      </c>
      <c r="B3753" s="3" t="str">
        <f>"00176658"</f>
        <v>00176658</v>
      </c>
    </row>
    <row r="3754" spans="1:2" x14ac:dyDescent="0.25">
      <c r="A3754" s="2">
        <v>3749</v>
      </c>
      <c r="B3754" s="3" t="str">
        <f>"00176663"</f>
        <v>00176663</v>
      </c>
    </row>
    <row r="3755" spans="1:2" x14ac:dyDescent="0.25">
      <c r="A3755" s="2">
        <v>3750</v>
      </c>
      <c r="B3755" s="3" t="str">
        <f>"00177249"</f>
        <v>00177249</v>
      </c>
    </row>
    <row r="3756" spans="1:2" x14ac:dyDescent="0.25">
      <c r="A3756" s="2">
        <v>3751</v>
      </c>
      <c r="B3756" s="3" t="str">
        <f>"00177314"</f>
        <v>00177314</v>
      </c>
    </row>
    <row r="3757" spans="1:2" x14ac:dyDescent="0.25">
      <c r="A3757" s="2">
        <v>3752</v>
      </c>
      <c r="B3757" s="3" t="str">
        <f>"00178684"</f>
        <v>00178684</v>
      </c>
    </row>
    <row r="3758" spans="1:2" x14ac:dyDescent="0.25">
      <c r="A3758" s="2">
        <v>3753</v>
      </c>
      <c r="B3758" s="3" t="str">
        <f>"00178691"</f>
        <v>00178691</v>
      </c>
    </row>
    <row r="3759" spans="1:2" x14ac:dyDescent="0.25">
      <c r="A3759" s="2">
        <v>3754</v>
      </c>
      <c r="B3759" s="3" t="str">
        <f>"00178714"</f>
        <v>00178714</v>
      </c>
    </row>
    <row r="3760" spans="1:2" x14ac:dyDescent="0.25">
      <c r="A3760" s="2">
        <v>3755</v>
      </c>
      <c r="B3760" s="3" t="str">
        <f>"00178721"</f>
        <v>00178721</v>
      </c>
    </row>
    <row r="3761" spans="1:2" x14ac:dyDescent="0.25">
      <c r="A3761" s="2">
        <v>3756</v>
      </c>
      <c r="B3761" s="3" t="str">
        <f>"00178754"</f>
        <v>00178754</v>
      </c>
    </row>
    <row r="3762" spans="1:2" x14ac:dyDescent="0.25">
      <c r="A3762" s="2">
        <v>3757</v>
      </c>
      <c r="B3762" s="3" t="str">
        <f>"00179313"</f>
        <v>00179313</v>
      </c>
    </row>
    <row r="3763" spans="1:2" x14ac:dyDescent="0.25">
      <c r="A3763" s="2">
        <v>3758</v>
      </c>
      <c r="B3763" s="3" t="str">
        <f>"00179351"</f>
        <v>00179351</v>
      </c>
    </row>
    <row r="3764" spans="1:2" x14ac:dyDescent="0.25">
      <c r="A3764" s="2">
        <v>3759</v>
      </c>
      <c r="B3764" s="3" t="str">
        <f>"00179370"</f>
        <v>00179370</v>
      </c>
    </row>
    <row r="3765" spans="1:2" x14ac:dyDescent="0.25">
      <c r="A3765" s="2">
        <v>3760</v>
      </c>
      <c r="B3765" s="3" t="str">
        <f>"00179379"</f>
        <v>00179379</v>
      </c>
    </row>
    <row r="3766" spans="1:2" x14ac:dyDescent="0.25">
      <c r="A3766" s="2">
        <v>3761</v>
      </c>
      <c r="B3766" s="3" t="str">
        <f>"00179386"</f>
        <v>00179386</v>
      </c>
    </row>
    <row r="3767" spans="1:2" x14ac:dyDescent="0.25">
      <c r="A3767" s="2">
        <v>3762</v>
      </c>
      <c r="B3767" s="3" t="str">
        <f>"00179767"</f>
        <v>00179767</v>
      </c>
    </row>
    <row r="3768" spans="1:2" x14ac:dyDescent="0.25">
      <c r="A3768" s="2">
        <v>3763</v>
      </c>
      <c r="B3768" s="3" t="str">
        <f>"00179918"</f>
        <v>00179918</v>
      </c>
    </row>
    <row r="3769" spans="1:2" x14ac:dyDescent="0.25">
      <c r="A3769" s="2">
        <v>3764</v>
      </c>
      <c r="B3769" s="3" t="str">
        <f>"00179945"</f>
        <v>00179945</v>
      </c>
    </row>
    <row r="3770" spans="1:2" x14ac:dyDescent="0.25">
      <c r="A3770" s="2">
        <v>3765</v>
      </c>
      <c r="B3770" s="3" t="str">
        <f>"00179959"</f>
        <v>00179959</v>
      </c>
    </row>
    <row r="3771" spans="1:2" x14ac:dyDescent="0.25">
      <c r="A3771" s="2">
        <v>3766</v>
      </c>
      <c r="B3771" s="3" t="str">
        <f>"00179961"</f>
        <v>00179961</v>
      </c>
    </row>
    <row r="3772" spans="1:2" x14ac:dyDescent="0.25">
      <c r="A3772" s="2">
        <v>3767</v>
      </c>
      <c r="B3772" s="3" t="str">
        <f>"00181389"</f>
        <v>00181389</v>
      </c>
    </row>
    <row r="3773" spans="1:2" x14ac:dyDescent="0.25">
      <c r="A3773" s="2">
        <v>3768</v>
      </c>
      <c r="B3773" s="3" t="str">
        <f>"00181401"</f>
        <v>00181401</v>
      </c>
    </row>
    <row r="3774" spans="1:2" x14ac:dyDescent="0.25">
      <c r="A3774" s="2">
        <v>3769</v>
      </c>
      <c r="B3774" s="3" t="str">
        <f>"00181439"</f>
        <v>00181439</v>
      </c>
    </row>
    <row r="3775" spans="1:2" x14ac:dyDescent="0.25">
      <c r="A3775" s="2">
        <v>3770</v>
      </c>
      <c r="B3775" s="3" t="str">
        <f>"00181451"</f>
        <v>00181451</v>
      </c>
    </row>
    <row r="3776" spans="1:2" x14ac:dyDescent="0.25">
      <c r="A3776" s="2">
        <v>3771</v>
      </c>
      <c r="B3776" s="3" t="str">
        <f>"00181481"</f>
        <v>00181481</v>
      </c>
    </row>
    <row r="3777" spans="1:2" x14ac:dyDescent="0.25">
      <c r="A3777" s="2">
        <v>3772</v>
      </c>
      <c r="B3777" s="3" t="str">
        <f>"00181504"</f>
        <v>00181504</v>
      </c>
    </row>
    <row r="3778" spans="1:2" x14ac:dyDescent="0.25">
      <c r="A3778" s="2">
        <v>3773</v>
      </c>
      <c r="B3778" s="3" t="str">
        <f>"00181927"</f>
        <v>00181927</v>
      </c>
    </row>
    <row r="3779" spans="1:2" x14ac:dyDescent="0.25">
      <c r="A3779" s="2">
        <v>3774</v>
      </c>
      <c r="B3779" s="3" t="str">
        <f>"00182169"</f>
        <v>00182169</v>
      </c>
    </row>
    <row r="3780" spans="1:2" x14ac:dyDescent="0.25">
      <c r="A3780" s="2">
        <v>3775</v>
      </c>
      <c r="B3780" s="3" t="str">
        <f>"00182193"</f>
        <v>00182193</v>
      </c>
    </row>
    <row r="3781" spans="1:2" x14ac:dyDescent="0.25">
      <c r="A3781" s="2">
        <v>3776</v>
      </c>
      <c r="B3781" s="3" t="str">
        <f>"00182199"</f>
        <v>00182199</v>
      </c>
    </row>
    <row r="3782" spans="1:2" x14ac:dyDescent="0.25">
      <c r="A3782" s="2">
        <v>3777</v>
      </c>
      <c r="B3782" s="3" t="str">
        <f>"00182208"</f>
        <v>00182208</v>
      </c>
    </row>
    <row r="3783" spans="1:2" x14ac:dyDescent="0.25">
      <c r="A3783" s="2">
        <v>3778</v>
      </c>
      <c r="B3783" s="3" t="str">
        <f>"00182218"</f>
        <v>00182218</v>
      </c>
    </row>
    <row r="3784" spans="1:2" x14ac:dyDescent="0.25">
      <c r="A3784" s="2">
        <v>3779</v>
      </c>
      <c r="B3784" s="3" t="str">
        <f>"00182220"</f>
        <v>00182220</v>
      </c>
    </row>
    <row r="3785" spans="1:2" x14ac:dyDescent="0.25">
      <c r="A3785" s="2">
        <v>3780</v>
      </c>
      <c r="B3785" s="3" t="str">
        <f>"00182227"</f>
        <v>00182227</v>
      </c>
    </row>
    <row r="3786" spans="1:2" x14ac:dyDescent="0.25">
      <c r="A3786" s="2">
        <v>3781</v>
      </c>
      <c r="B3786" s="3" t="str">
        <f>"00182265"</f>
        <v>00182265</v>
      </c>
    </row>
    <row r="3787" spans="1:2" x14ac:dyDescent="0.25">
      <c r="A3787" s="2">
        <v>3782</v>
      </c>
      <c r="B3787" s="3" t="str">
        <f>"00182294"</f>
        <v>00182294</v>
      </c>
    </row>
    <row r="3788" spans="1:2" x14ac:dyDescent="0.25">
      <c r="A3788" s="2">
        <v>3783</v>
      </c>
      <c r="B3788" s="3" t="str">
        <f>"00182405"</f>
        <v>00182405</v>
      </c>
    </row>
    <row r="3789" spans="1:2" x14ac:dyDescent="0.25">
      <c r="A3789" s="2">
        <v>3784</v>
      </c>
      <c r="B3789" s="3" t="str">
        <f>"00182421"</f>
        <v>00182421</v>
      </c>
    </row>
    <row r="3790" spans="1:2" x14ac:dyDescent="0.25">
      <c r="A3790" s="2">
        <v>3785</v>
      </c>
      <c r="B3790" s="3" t="str">
        <f>"00182466"</f>
        <v>00182466</v>
      </c>
    </row>
    <row r="3791" spans="1:2" x14ac:dyDescent="0.25">
      <c r="A3791" s="2">
        <v>3786</v>
      </c>
      <c r="B3791" s="3" t="str">
        <f>"00182570"</f>
        <v>00182570</v>
      </c>
    </row>
    <row r="3792" spans="1:2" x14ac:dyDescent="0.25">
      <c r="A3792" s="2">
        <v>3787</v>
      </c>
      <c r="B3792" s="3" t="str">
        <f>"00182575"</f>
        <v>00182575</v>
      </c>
    </row>
    <row r="3793" spans="1:2" x14ac:dyDescent="0.25">
      <c r="A3793" s="2">
        <v>3788</v>
      </c>
      <c r="B3793" s="3" t="str">
        <f>"00182595"</f>
        <v>00182595</v>
      </c>
    </row>
    <row r="3794" spans="1:2" x14ac:dyDescent="0.25">
      <c r="A3794" s="2">
        <v>3789</v>
      </c>
      <c r="B3794" s="3" t="str">
        <f>"00182767"</f>
        <v>00182767</v>
      </c>
    </row>
    <row r="3795" spans="1:2" x14ac:dyDescent="0.25">
      <c r="A3795" s="2">
        <v>3790</v>
      </c>
      <c r="B3795" s="3" t="str">
        <f>"00182801"</f>
        <v>00182801</v>
      </c>
    </row>
    <row r="3796" spans="1:2" x14ac:dyDescent="0.25">
      <c r="A3796" s="2">
        <v>3791</v>
      </c>
      <c r="B3796" s="3" t="str">
        <f>"00182871"</f>
        <v>00182871</v>
      </c>
    </row>
    <row r="3797" spans="1:2" x14ac:dyDescent="0.25">
      <c r="A3797" s="2">
        <v>3792</v>
      </c>
      <c r="B3797" s="3" t="str">
        <f>"00183029"</f>
        <v>00183029</v>
      </c>
    </row>
    <row r="3798" spans="1:2" x14ac:dyDescent="0.25">
      <c r="A3798" s="2">
        <v>3793</v>
      </c>
      <c r="B3798" s="3" t="str">
        <f>"00183151"</f>
        <v>00183151</v>
      </c>
    </row>
    <row r="3799" spans="1:2" x14ac:dyDescent="0.25">
      <c r="A3799" s="2">
        <v>3794</v>
      </c>
      <c r="B3799" s="3" t="str">
        <f>"00183211"</f>
        <v>00183211</v>
      </c>
    </row>
    <row r="3800" spans="1:2" x14ac:dyDescent="0.25">
      <c r="A3800" s="2">
        <v>3795</v>
      </c>
      <c r="B3800" s="3" t="str">
        <f>"00183442"</f>
        <v>00183442</v>
      </c>
    </row>
    <row r="3801" spans="1:2" x14ac:dyDescent="0.25">
      <c r="A3801" s="2">
        <v>3796</v>
      </c>
      <c r="B3801" s="3" t="str">
        <f>"00183519"</f>
        <v>00183519</v>
      </c>
    </row>
    <row r="3802" spans="1:2" x14ac:dyDescent="0.25">
      <c r="A3802" s="2">
        <v>3797</v>
      </c>
      <c r="B3802" s="3" t="str">
        <f>"00183587"</f>
        <v>00183587</v>
      </c>
    </row>
    <row r="3803" spans="1:2" x14ac:dyDescent="0.25">
      <c r="A3803" s="2">
        <v>3798</v>
      </c>
      <c r="B3803" s="3" t="str">
        <f>"00183610"</f>
        <v>00183610</v>
      </c>
    </row>
    <row r="3804" spans="1:2" x14ac:dyDescent="0.25">
      <c r="A3804" s="2">
        <v>3799</v>
      </c>
      <c r="B3804" s="3" t="str">
        <f>"00183620"</f>
        <v>00183620</v>
      </c>
    </row>
    <row r="3805" spans="1:2" x14ac:dyDescent="0.25">
      <c r="A3805" s="2">
        <v>3800</v>
      </c>
      <c r="B3805" s="3" t="str">
        <f>"00183652"</f>
        <v>00183652</v>
      </c>
    </row>
    <row r="3806" spans="1:2" x14ac:dyDescent="0.25">
      <c r="A3806" s="2">
        <v>3801</v>
      </c>
      <c r="B3806" s="3" t="str">
        <f>"00183724"</f>
        <v>00183724</v>
      </c>
    </row>
    <row r="3807" spans="1:2" x14ac:dyDescent="0.25">
      <c r="A3807" s="2">
        <v>3802</v>
      </c>
      <c r="B3807" s="3" t="str">
        <f>"00183728"</f>
        <v>00183728</v>
      </c>
    </row>
    <row r="3808" spans="1:2" x14ac:dyDescent="0.25">
      <c r="A3808" s="2">
        <v>3803</v>
      </c>
      <c r="B3808" s="3" t="str">
        <f>"00183789"</f>
        <v>00183789</v>
      </c>
    </row>
    <row r="3809" spans="1:2" x14ac:dyDescent="0.25">
      <c r="A3809" s="2">
        <v>3804</v>
      </c>
      <c r="B3809" s="3" t="str">
        <f>"00183827"</f>
        <v>00183827</v>
      </c>
    </row>
    <row r="3810" spans="1:2" x14ac:dyDescent="0.25">
      <c r="A3810" s="2">
        <v>3805</v>
      </c>
      <c r="B3810" s="3" t="str">
        <f>"00183831"</f>
        <v>00183831</v>
      </c>
    </row>
    <row r="3811" spans="1:2" x14ac:dyDescent="0.25">
      <c r="A3811" s="2">
        <v>3806</v>
      </c>
      <c r="B3811" s="3" t="str">
        <f>"00183848"</f>
        <v>00183848</v>
      </c>
    </row>
    <row r="3812" spans="1:2" x14ac:dyDescent="0.25">
      <c r="A3812" s="2">
        <v>3807</v>
      </c>
      <c r="B3812" s="3" t="str">
        <f>"00183888"</f>
        <v>00183888</v>
      </c>
    </row>
    <row r="3813" spans="1:2" x14ac:dyDescent="0.25">
      <c r="A3813" s="2">
        <v>3808</v>
      </c>
      <c r="B3813" s="3" t="str">
        <f>"00183891"</f>
        <v>00183891</v>
      </c>
    </row>
    <row r="3814" spans="1:2" x14ac:dyDescent="0.25">
      <c r="A3814" s="2">
        <v>3809</v>
      </c>
      <c r="B3814" s="3" t="str">
        <f>"00183915"</f>
        <v>00183915</v>
      </c>
    </row>
    <row r="3815" spans="1:2" x14ac:dyDescent="0.25">
      <c r="A3815" s="2">
        <v>3810</v>
      </c>
      <c r="B3815" s="3" t="str">
        <f>"00183945"</f>
        <v>00183945</v>
      </c>
    </row>
    <row r="3816" spans="1:2" x14ac:dyDescent="0.25">
      <c r="A3816" s="2">
        <v>3811</v>
      </c>
      <c r="B3816" s="3" t="str">
        <f>"00183953"</f>
        <v>00183953</v>
      </c>
    </row>
    <row r="3817" spans="1:2" x14ac:dyDescent="0.25">
      <c r="A3817" s="2">
        <v>3812</v>
      </c>
      <c r="B3817" s="3" t="str">
        <f>"00183959"</f>
        <v>00183959</v>
      </c>
    </row>
    <row r="3818" spans="1:2" x14ac:dyDescent="0.25">
      <c r="A3818" s="2">
        <v>3813</v>
      </c>
      <c r="B3818" s="3" t="str">
        <f>"00183968"</f>
        <v>00183968</v>
      </c>
    </row>
    <row r="3819" spans="1:2" x14ac:dyDescent="0.25">
      <c r="A3819" s="2">
        <v>3814</v>
      </c>
      <c r="B3819" s="3" t="str">
        <f>"00183996"</f>
        <v>00183996</v>
      </c>
    </row>
    <row r="3820" spans="1:2" x14ac:dyDescent="0.25">
      <c r="A3820" s="2">
        <v>3815</v>
      </c>
      <c r="B3820" s="3" t="str">
        <f>"00184010"</f>
        <v>00184010</v>
      </c>
    </row>
    <row r="3821" spans="1:2" x14ac:dyDescent="0.25">
      <c r="A3821" s="2">
        <v>3816</v>
      </c>
      <c r="B3821" s="3" t="str">
        <f>"00184013"</f>
        <v>00184013</v>
      </c>
    </row>
    <row r="3822" spans="1:2" x14ac:dyDescent="0.25">
      <c r="A3822" s="2">
        <v>3817</v>
      </c>
      <c r="B3822" s="3" t="str">
        <f>"00184023"</f>
        <v>00184023</v>
      </c>
    </row>
    <row r="3823" spans="1:2" x14ac:dyDescent="0.25">
      <c r="A3823" s="2">
        <v>3818</v>
      </c>
      <c r="B3823" s="3" t="str">
        <f>"00184029"</f>
        <v>00184029</v>
      </c>
    </row>
    <row r="3824" spans="1:2" x14ac:dyDescent="0.25">
      <c r="A3824" s="2">
        <v>3819</v>
      </c>
      <c r="B3824" s="3" t="str">
        <f>"00184031"</f>
        <v>00184031</v>
      </c>
    </row>
    <row r="3825" spans="1:2" x14ac:dyDescent="0.25">
      <c r="A3825" s="2">
        <v>3820</v>
      </c>
      <c r="B3825" s="3" t="str">
        <f>"00184050"</f>
        <v>00184050</v>
      </c>
    </row>
    <row r="3826" spans="1:2" x14ac:dyDescent="0.25">
      <c r="A3826" s="2">
        <v>3821</v>
      </c>
      <c r="B3826" s="3" t="str">
        <f>"00184051"</f>
        <v>00184051</v>
      </c>
    </row>
    <row r="3827" spans="1:2" x14ac:dyDescent="0.25">
      <c r="A3827" s="2">
        <v>3822</v>
      </c>
      <c r="B3827" s="3" t="str">
        <f>"00184138"</f>
        <v>00184138</v>
      </c>
    </row>
    <row r="3828" spans="1:2" x14ac:dyDescent="0.25">
      <c r="A3828" s="2">
        <v>3823</v>
      </c>
      <c r="B3828" s="3" t="str">
        <f>"00184150"</f>
        <v>00184150</v>
      </c>
    </row>
    <row r="3829" spans="1:2" x14ac:dyDescent="0.25">
      <c r="A3829" s="2">
        <v>3824</v>
      </c>
      <c r="B3829" s="3" t="str">
        <f>"00184181"</f>
        <v>00184181</v>
      </c>
    </row>
    <row r="3830" spans="1:2" x14ac:dyDescent="0.25">
      <c r="A3830" s="2">
        <v>3825</v>
      </c>
      <c r="B3830" s="3" t="str">
        <f>"00184290"</f>
        <v>00184290</v>
      </c>
    </row>
    <row r="3831" spans="1:2" x14ac:dyDescent="0.25">
      <c r="A3831" s="2">
        <v>3826</v>
      </c>
      <c r="B3831" s="3" t="str">
        <f>"00184294"</f>
        <v>00184294</v>
      </c>
    </row>
    <row r="3832" spans="1:2" x14ac:dyDescent="0.25">
      <c r="A3832" s="2">
        <v>3827</v>
      </c>
      <c r="B3832" s="3" t="str">
        <f>"00184316"</f>
        <v>00184316</v>
      </c>
    </row>
    <row r="3833" spans="1:2" x14ac:dyDescent="0.25">
      <c r="A3833" s="2">
        <v>3828</v>
      </c>
      <c r="B3833" s="3" t="str">
        <f>"00184318"</f>
        <v>00184318</v>
      </c>
    </row>
    <row r="3834" spans="1:2" x14ac:dyDescent="0.25">
      <c r="A3834" s="2">
        <v>3829</v>
      </c>
      <c r="B3834" s="3" t="str">
        <f>"00184365"</f>
        <v>00184365</v>
      </c>
    </row>
    <row r="3835" spans="1:2" x14ac:dyDescent="0.25">
      <c r="A3835" s="2">
        <v>3830</v>
      </c>
      <c r="B3835" s="3" t="str">
        <f>"00184480"</f>
        <v>00184480</v>
      </c>
    </row>
    <row r="3836" spans="1:2" x14ac:dyDescent="0.25">
      <c r="A3836" s="2">
        <v>3831</v>
      </c>
      <c r="B3836" s="3" t="str">
        <f>"00184527"</f>
        <v>00184527</v>
      </c>
    </row>
    <row r="3837" spans="1:2" x14ac:dyDescent="0.25">
      <c r="A3837" s="2">
        <v>3832</v>
      </c>
      <c r="B3837" s="3" t="str">
        <f>"00184571"</f>
        <v>00184571</v>
      </c>
    </row>
    <row r="3838" spans="1:2" x14ac:dyDescent="0.25">
      <c r="A3838" s="2">
        <v>3833</v>
      </c>
      <c r="B3838" s="3" t="str">
        <f>"00184577"</f>
        <v>00184577</v>
      </c>
    </row>
    <row r="3839" spans="1:2" x14ac:dyDescent="0.25">
      <c r="A3839" s="2">
        <v>3834</v>
      </c>
      <c r="B3839" s="3" t="str">
        <f>"00184627"</f>
        <v>00184627</v>
      </c>
    </row>
    <row r="3840" spans="1:2" x14ac:dyDescent="0.25">
      <c r="A3840" s="2">
        <v>3835</v>
      </c>
      <c r="B3840" s="3" t="str">
        <f>"00184636"</f>
        <v>00184636</v>
      </c>
    </row>
    <row r="3841" spans="1:2" x14ac:dyDescent="0.25">
      <c r="A3841" s="2">
        <v>3836</v>
      </c>
      <c r="B3841" s="3" t="str">
        <f>"00184723"</f>
        <v>00184723</v>
      </c>
    </row>
    <row r="3842" spans="1:2" x14ac:dyDescent="0.25">
      <c r="A3842" s="2">
        <v>3837</v>
      </c>
      <c r="B3842" s="3" t="str">
        <f>"00184757"</f>
        <v>00184757</v>
      </c>
    </row>
    <row r="3843" spans="1:2" x14ac:dyDescent="0.25">
      <c r="A3843" s="2">
        <v>3838</v>
      </c>
      <c r="B3843" s="3" t="str">
        <f>"00184815"</f>
        <v>00184815</v>
      </c>
    </row>
    <row r="3844" spans="1:2" x14ac:dyDescent="0.25">
      <c r="A3844" s="2">
        <v>3839</v>
      </c>
      <c r="B3844" s="3" t="str">
        <f>"00184857"</f>
        <v>00184857</v>
      </c>
    </row>
    <row r="3845" spans="1:2" x14ac:dyDescent="0.25">
      <c r="A3845" s="2">
        <v>3840</v>
      </c>
      <c r="B3845" s="3" t="str">
        <f>"00184871"</f>
        <v>00184871</v>
      </c>
    </row>
    <row r="3846" spans="1:2" x14ac:dyDescent="0.25">
      <c r="A3846" s="2">
        <v>3841</v>
      </c>
      <c r="B3846" s="3" t="str">
        <f>"00184872"</f>
        <v>00184872</v>
      </c>
    </row>
    <row r="3847" spans="1:2" x14ac:dyDescent="0.25">
      <c r="A3847" s="2">
        <v>3842</v>
      </c>
      <c r="B3847" s="3" t="str">
        <f>"00184888"</f>
        <v>00184888</v>
      </c>
    </row>
    <row r="3848" spans="1:2" x14ac:dyDescent="0.25">
      <c r="A3848" s="2">
        <v>3843</v>
      </c>
      <c r="B3848" s="3" t="str">
        <f>"00184899"</f>
        <v>00184899</v>
      </c>
    </row>
    <row r="3849" spans="1:2" x14ac:dyDescent="0.25">
      <c r="A3849" s="2">
        <v>3844</v>
      </c>
      <c r="B3849" s="3" t="str">
        <f>"00184989"</f>
        <v>00184989</v>
      </c>
    </row>
    <row r="3850" spans="1:2" x14ac:dyDescent="0.25">
      <c r="A3850" s="2">
        <v>3845</v>
      </c>
      <c r="B3850" s="3" t="str">
        <f>"00184991"</f>
        <v>00184991</v>
      </c>
    </row>
    <row r="3851" spans="1:2" x14ac:dyDescent="0.25">
      <c r="A3851" s="2">
        <v>3846</v>
      </c>
      <c r="B3851" s="3" t="str">
        <f>"00185000"</f>
        <v>00185000</v>
      </c>
    </row>
    <row r="3852" spans="1:2" x14ac:dyDescent="0.25">
      <c r="A3852" s="2">
        <v>3847</v>
      </c>
      <c r="B3852" s="3" t="str">
        <f>"00185051"</f>
        <v>00185051</v>
      </c>
    </row>
    <row r="3853" spans="1:2" x14ac:dyDescent="0.25">
      <c r="A3853" s="2">
        <v>3848</v>
      </c>
      <c r="B3853" s="3" t="str">
        <f>"00185054"</f>
        <v>00185054</v>
      </c>
    </row>
    <row r="3854" spans="1:2" x14ac:dyDescent="0.25">
      <c r="A3854" s="2">
        <v>3849</v>
      </c>
      <c r="B3854" s="3" t="str">
        <f>"00185076"</f>
        <v>00185076</v>
      </c>
    </row>
    <row r="3855" spans="1:2" x14ac:dyDescent="0.25">
      <c r="A3855" s="2">
        <v>3850</v>
      </c>
      <c r="B3855" s="3" t="str">
        <f>"00185082"</f>
        <v>00185082</v>
      </c>
    </row>
    <row r="3856" spans="1:2" x14ac:dyDescent="0.25">
      <c r="A3856" s="2">
        <v>3851</v>
      </c>
      <c r="B3856" s="3" t="str">
        <f>"00185094"</f>
        <v>00185094</v>
      </c>
    </row>
    <row r="3857" spans="1:2" x14ac:dyDescent="0.25">
      <c r="A3857" s="2">
        <v>3852</v>
      </c>
      <c r="B3857" s="3" t="str">
        <f>"00185115"</f>
        <v>00185115</v>
      </c>
    </row>
    <row r="3858" spans="1:2" x14ac:dyDescent="0.25">
      <c r="A3858" s="2">
        <v>3853</v>
      </c>
      <c r="B3858" s="3" t="str">
        <f>"00185117"</f>
        <v>00185117</v>
      </c>
    </row>
    <row r="3859" spans="1:2" x14ac:dyDescent="0.25">
      <c r="A3859" s="2">
        <v>3854</v>
      </c>
      <c r="B3859" s="3" t="str">
        <f>"00185133"</f>
        <v>00185133</v>
      </c>
    </row>
    <row r="3860" spans="1:2" x14ac:dyDescent="0.25">
      <c r="A3860" s="2">
        <v>3855</v>
      </c>
      <c r="B3860" s="3" t="str">
        <f>"00185150"</f>
        <v>00185150</v>
      </c>
    </row>
    <row r="3861" spans="1:2" x14ac:dyDescent="0.25">
      <c r="A3861" s="2">
        <v>3856</v>
      </c>
      <c r="B3861" s="3" t="str">
        <f>"00185169"</f>
        <v>00185169</v>
      </c>
    </row>
    <row r="3862" spans="1:2" x14ac:dyDescent="0.25">
      <c r="A3862" s="2">
        <v>3857</v>
      </c>
      <c r="B3862" s="3" t="str">
        <f>"00185207"</f>
        <v>00185207</v>
      </c>
    </row>
    <row r="3863" spans="1:2" x14ac:dyDescent="0.25">
      <c r="A3863" s="2">
        <v>3858</v>
      </c>
      <c r="B3863" s="3" t="str">
        <f>"00185246"</f>
        <v>00185246</v>
      </c>
    </row>
    <row r="3864" spans="1:2" x14ac:dyDescent="0.25">
      <c r="A3864" s="2">
        <v>3859</v>
      </c>
      <c r="B3864" s="3" t="str">
        <f>"00185359"</f>
        <v>00185359</v>
      </c>
    </row>
    <row r="3865" spans="1:2" x14ac:dyDescent="0.25">
      <c r="A3865" s="2">
        <v>3860</v>
      </c>
      <c r="B3865" s="3" t="str">
        <f>"00185367"</f>
        <v>00185367</v>
      </c>
    </row>
    <row r="3866" spans="1:2" x14ac:dyDescent="0.25">
      <c r="A3866" s="2">
        <v>3861</v>
      </c>
      <c r="B3866" s="3" t="str">
        <f>"00185455"</f>
        <v>00185455</v>
      </c>
    </row>
    <row r="3867" spans="1:2" x14ac:dyDescent="0.25">
      <c r="A3867" s="2">
        <v>3862</v>
      </c>
      <c r="B3867" s="3" t="str">
        <f>"00185459"</f>
        <v>00185459</v>
      </c>
    </row>
    <row r="3868" spans="1:2" x14ac:dyDescent="0.25">
      <c r="A3868" s="2">
        <v>3863</v>
      </c>
      <c r="B3868" s="3" t="str">
        <f>"00185492"</f>
        <v>00185492</v>
      </c>
    </row>
    <row r="3869" spans="1:2" x14ac:dyDescent="0.25">
      <c r="A3869" s="2">
        <v>3864</v>
      </c>
      <c r="B3869" s="3" t="str">
        <f>"00185501"</f>
        <v>00185501</v>
      </c>
    </row>
    <row r="3870" spans="1:2" x14ac:dyDescent="0.25">
      <c r="A3870" s="2">
        <v>3865</v>
      </c>
      <c r="B3870" s="3" t="str">
        <f>"00185506"</f>
        <v>00185506</v>
      </c>
    </row>
    <row r="3871" spans="1:2" x14ac:dyDescent="0.25">
      <c r="A3871" s="2">
        <v>3866</v>
      </c>
      <c r="B3871" s="3" t="str">
        <f>"00185523"</f>
        <v>00185523</v>
      </c>
    </row>
    <row r="3872" spans="1:2" x14ac:dyDescent="0.25">
      <c r="A3872" s="2">
        <v>3867</v>
      </c>
      <c r="B3872" s="3" t="str">
        <f>"00185541"</f>
        <v>00185541</v>
      </c>
    </row>
    <row r="3873" spans="1:2" x14ac:dyDescent="0.25">
      <c r="A3873" s="2">
        <v>3868</v>
      </c>
      <c r="B3873" s="3" t="str">
        <f>"00185549"</f>
        <v>00185549</v>
      </c>
    </row>
    <row r="3874" spans="1:2" x14ac:dyDescent="0.25">
      <c r="A3874" s="2">
        <v>3869</v>
      </c>
      <c r="B3874" s="3" t="str">
        <f>"00185596"</f>
        <v>00185596</v>
      </c>
    </row>
    <row r="3875" spans="1:2" x14ac:dyDescent="0.25">
      <c r="A3875" s="2">
        <v>3870</v>
      </c>
      <c r="B3875" s="3" t="str">
        <f>"00185610"</f>
        <v>00185610</v>
      </c>
    </row>
    <row r="3876" spans="1:2" x14ac:dyDescent="0.25">
      <c r="A3876" s="2">
        <v>3871</v>
      </c>
      <c r="B3876" s="3" t="str">
        <f>"00185623"</f>
        <v>00185623</v>
      </c>
    </row>
    <row r="3877" spans="1:2" x14ac:dyDescent="0.25">
      <c r="A3877" s="2">
        <v>3872</v>
      </c>
      <c r="B3877" s="3" t="str">
        <f>"00185637"</f>
        <v>00185637</v>
      </c>
    </row>
    <row r="3878" spans="1:2" x14ac:dyDescent="0.25">
      <c r="A3878" s="2">
        <v>3873</v>
      </c>
      <c r="B3878" s="3" t="str">
        <f>"00185656"</f>
        <v>00185656</v>
      </c>
    </row>
    <row r="3879" spans="1:2" x14ac:dyDescent="0.25">
      <c r="A3879" s="2">
        <v>3874</v>
      </c>
      <c r="B3879" s="3" t="str">
        <f>"00185670"</f>
        <v>00185670</v>
      </c>
    </row>
    <row r="3880" spans="1:2" x14ac:dyDescent="0.25">
      <c r="A3880" s="2">
        <v>3875</v>
      </c>
      <c r="B3880" s="3" t="str">
        <f>"00185701"</f>
        <v>00185701</v>
      </c>
    </row>
    <row r="3881" spans="1:2" x14ac:dyDescent="0.25">
      <c r="A3881" s="2">
        <v>3876</v>
      </c>
      <c r="B3881" s="3" t="str">
        <f>"00185746"</f>
        <v>00185746</v>
      </c>
    </row>
    <row r="3882" spans="1:2" x14ac:dyDescent="0.25">
      <c r="A3882" s="2">
        <v>3877</v>
      </c>
      <c r="B3882" s="3" t="str">
        <f>"00185782"</f>
        <v>00185782</v>
      </c>
    </row>
    <row r="3883" spans="1:2" x14ac:dyDescent="0.25">
      <c r="A3883" s="2">
        <v>3878</v>
      </c>
      <c r="B3883" s="3" t="str">
        <f>"00185846"</f>
        <v>00185846</v>
      </c>
    </row>
    <row r="3884" spans="1:2" x14ac:dyDescent="0.25">
      <c r="A3884" s="2">
        <v>3879</v>
      </c>
      <c r="B3884" s="3" t="str">
        <f>"00185919"</f>
        <v>00185919</v>
      </c>
    </row>
    <row r="3885" spans="1:2" x14ac:dyDescent="0.25">
      <c r="A3885" s="2">
        <v>3880</v>
      </c>
      <c r="B3885" s="3" t="str">
        <f>"00185960"</f>
        <v>00185960</v>
      </c>
    </row>
    <row r="3886" spans="1:2" x14ac:dyDescent="0.25">
      <c r="A3886" s="2">
        <v>3881</v>
      </c>
      <c r="B3886" s="3" t="str">
        <f>"00185991"</f>
        <v>00185991</v>
      </c>
    </row>
    <row r="3887" spans="1:2" x14ac:dyDescent="0.25">
      <c r="A3887" s="2">
        <v>3882</v>
      </c>
      <c r="B3887" s="3" t="str">
        <f>"00185992"</f>
        <v>00185992</v>
      </c>
    </row>
    <row r="3888" spans="1:2" x14ac:dyDescent="0.25">
      <c r="A3888" s="2">
        <v>3883</v>
      </c>
      <c r="B3888" s="3" t="str">
        <f>"00186136"</f>
        <v>00186136</v>
      </c>
    </row>
    <row r="3889" spans="1:2" x14ac:dyDescent="0.25">
      <c r="A3889" s="2">
        <v>3884</v>
      </c>
      <c r="B3889" s="3" t="str">
        <f>"00186174"</f>
        <v>00186174</v>
      </c>
    </row>
    <row r="3890" spans="1:2" x14ac:dyDescent="0.25">
      <c r="A3890" s="2">
        <v>3885</v>
      </c>
      <c r="B3890" s="3" t="str">
        <f>"00186190"</f>
        <v>00186190</v>
      </c>
    </row>
    <row r="3891" spans="1:2" x14ac:dyDescent="0.25">
      <c r="A3891" s="2">
        <v>3886</v>
      </c>
      <c r="B3891" s="3" t="str">
        <f>"00186248"</f>
        <v>00186248</v>
      </c>
    </row>
    <row r="3892" spans="1:2" x14ac:dyDescent="0.25">
      <c r="A3892" s="2">
        <v>3887</v>
      </c>
      <c r="B3892" s="3" t="str">
        <f>"00186286"</f>
        <v>00186286</v>
      </c>
    </row>
    <row r="3893" spans="1:2" x14ac:dyDescent="0.25">
      <c r="A3893" s="2">
        <v>3888</v>
      </c>
      <c r="B3893" s="3" t="str">
        <f>"00186375"</f>
        <v>00186375</v>
      </c>
    </row>
    <row r="3894" spans="1:2" x14ac:dyDescent="0.25">
      <c r="A3894" s="2">
        <v>3889</v>
      </c>
      <c r="B3894" s="3" t="str">
        <f>"00186387"</f>
        <v>00186387</v>
      </c>
    </row>
    <row r="3895" spans="1:2" x14ac:dyDescent="0.25">
      <c r="A3895" s="2">
        <v>3890</v>
      </c>
      <c r="B3895" s="3" t="str">
        <f>"00186390"</f>
        <v>00186390</v>
      </c>
    </row>
    <row r="3896" spans="1:2" x14ac:dyDescent="0.25">
      <c r="A3896" s="2">
        <v>3891</v>
      </c>
      <c r="B3896" s="3" t="str">
        <f>"00186415"</f>
        <v>00186415</v>
      </c>
    </row>
    <row r="3897" spans="1:2" x14ac:dyDescent="0.25">
      <c r="A3897" s="2">
        <v>3892</v>
      </c>
      <c r="B3897" s="3" t="str">
        <f>"00186419"</f>
        <v>00186419</v>
      </c>
    </row>
    <row r="3898" spans="1:2" x14ac:dyDescent="0.25">
      <c r="A3898" s="2">
        <v>3893</v>
      </c>
      <c r="B3898" s="3" t="str">
        <f>"00186428"</f>
        <v>00186428</v>
      </c>
    </row>
    <row r="3899" spans="1:2" x14ac:dyDescent="0.25">
      <c r="A3899" s="2">
        <v>3894</v>
      </c>
      <c r="B3899" s="3" t="str">
        <f>"00186429"</f>
        <v>00186429</v>
      </c>
    </row>
    <row r="3900" spans="1:2" x14ac:dyDescent="0.25">
      <c r="A3900" s="2">
        <v>3895</v>
      </c>
      <c r="B3900" s="3" t="str">
        <f>"00186430"</f>
        <v>00186430</v>
      </c>
    </row>
    <row r="3901" spans="1:2" x14ac:dyDescent="0.25">
      <c r="A3901" s="2">
        <v>3896</v>
      </c>
      <c r="B3901" s="3" t="str">
        <f>"00186559"</f>
        <v>00186559</v>
      </c>
    </row>
    <row r="3902" spans="1:2" x14ac:dyDescent="0.25">
      <c r="A3902" s="2">
        <v>3897</v>
      </c>
      <c r="B3902" s="3" t="str">
        <f>"00186652"</f>
        <v>00186652</v>
      </c>
    </row>
    <row r="3903" spans="1:2" x14ac:dyDescent="0.25">
      <c r="A3903" s="2">
        <v>3898</v>
      </c>
      <c r="B3903" s="3" t="str">
        <f>"00186696"</f>
        <v>00186696</v>
      </c>
    </row>
    <row r="3904" spans="1:2" x14ac:dyDescent="0.25">
      <c r="A3904" s="2">
        <v>3899</v>
      </c>
      <c r="B3904" s="3" t="str">
        <f>"00186714"</f>
        <v>00186714</v>
      </c>
    </row>
    <row r="3905" spans="1:2" x14ac:dyDescent="0.25">
      <c r="A3905" s="2">
        <v>3900</v>
      </c>
      <c r="B3905" s="3" t="str">
        <f>"00186727"</f>
        <v>00186727</v>
      </c>
    </row>
    <row r="3906" spans="1:2" x14ac:dyDescent="0.25">
      <c r="A3906" s="2">
        <v>3901</v>
      </c>
      <c r="B3906" s="3" t="str">
        <f>"00186768"</f>
        <v>00186768</v>
      </c>
    </row>
    <row r="3907" spans="1:2" x14ac:dyDescent="0.25">
      <c r="A3907" s="2">
        <v>3902</v>
      </c>
      <c r="B3907" s="3" t="str">
        <f>"00186778"</f>
        <v>00186778</v>
      </c>
    </row>
    <row r="3908" spans="1:2" x14ac:dyDescent="0.25">
      <c r="A3908" s="2">
        <v>3903</v>
      </c>
      <c r="B3908" s="3" t="str">
        <f>"00186814"</f>
        <v>00186814</v>
      </c>
    </row>
    <row r="3909" spans="1:2" x14ac:dyDescent="0.25">
      <c r="A3909" s="2">
        <v>3904</v>
      </c>
      <c r="B3909" s="3" t="str">
        <f>"00186844"</f>
        <v>00186844</v>
      </c>
    </row>
    <row r="3910" spans="1:2" x14ac:dyDescent="0.25">
      <c r="A3910" s="2">
        <v>3905</v>
      </c>
      <c r="B3910" s="3" t="str">
        <f>"00186874"</f>
        <v>00186874</v>
      </c>
    </row>
    <row r="3911" spans="1:2" x14ac:dyDescent="0.25">
      <c r="A3911" s="2">
        <v>3906</v>
      </c>
      <c r="B3911" s="3" t="str">
        <f>"00186928"</f>
        <v>00186928</v>
      </c>
    </row>
    <row r="3912" spans="1:2" x14ac:dyDescent="0.25">
      <c r="A3912" s="2">
        <v>3907</v>
      </c>
      <c r="B3912" s="3" t="str">
        <f>"00186930"</f>
        <v>00186930</v>
      </c>
    </row>
    <row r="3913" spans="1:2" x14ac:dyDescent="0.25">
      <c r="A3913" s="2">
        <v>3908</v>
      </c>
      <c r="B3913" s="3" t="str">
        <f>"00186969"</f>
        <v>00186969</v>
      </c>
    </row>
    <row r="3914" spans="1:2" x14ac:dyDescent="0.25">
      <c r="A3914" s="2">
        <v>3909</v>
      </c>
      <c r="B3914" s="3" t="str">
        <f>"00187147"</f>
        <v>00187147</v>
      </c>
    </row>
    <row r="3915" spans="1:2" x14ac:dyDescent="0.25">
      <c r="A3915" s="2">
        <v>3910</v>
      </c>
      <c r="B3915" s="3" t="str">
        <f>"00187175"</f>
        <v>00187175</v>
      </c>
    </row>
    <row r="3916" spans="1:2" x14ac:dyDescent="0.25">
      <c r="A3916" s="2">
        <v>3911</v>
      </c>
      <c r="B3916" s="3" t="str">
        <f>"00187197"</f>
        <v>00187197</v>
      </c>
    </row>
    <row r="3917" spans="1:2" x14ac:dyDescent="0.25">
      <c r="A3917" s="2">
        <v>3912</v>
      </c>
      <c r="B3917" s="3" t="str">
        <f>"00187198"</f>
        <v>00187198</v>
      </c>
    </row>
    <row r="3918" spans="1:2" x14ac:dyDescent="0.25">
      <c r="A3918" s="2">
        <v>3913</v>
      </c>
      <c r="B3918" s="3" t="str">
        <f>"00187200"</f>
        <v>00187200</v>
      </c>
    </row>
    <row r="3919" spans="1:2" x14ac:dyDescent="0.25">
      <c r="A3919" s="2">
        <v>3914</v>
      </c>
      <c r="B3919" s="3" t="str">
        <f>"00187235"</f>
        <v>00187235</v>
      </c>
    </row>
    <row r="3920" spans="1:2" x14ac:dyDescent="0.25">
      <c r="A3920" s="2">
        <v>3915</v>
      </c>
      <c r="B3920" s="3" t="str">
        <f>"00187269"</f>
        <v>00187269</v>
      </c>
    </row>
    <row r="3921" spans="1:2" x14ac:dyDescent="0.25">
      <c r="A3921" s="2">
        <v>3916</v>
      </c>
      <c r="B3921" s="3" t="str">
        <f>"00187363"</f>
        <v>00187363</v>
      </c>
    </row>
    <row r="3922" spans="1:2" x14ac:dyDescent="0.25">
      <c r="A3922" s="2">
        <v>3917</v>
      </c>
      <c r="B3922" s="3" t="str">
        <f>"00187391"</f>
        <v>00187391</v>
      </c>
    </row>
    <row r="3923" spans="1:2" x14ac:dyDescent="0.25">
      <c r="A3923" s="2">
        <v>3918</v>
      </c>
      <c r="B3923" s="3" t="str">
        <f>"00187442"</f>
        <v>00187442</v>
      </c>
    </row>
    <row r="3924" spans="1:2" x14ac:dyDescent="0.25">
      <c r="A3924" s="2">
        <v>3919</v>
      </c>
      <c r="B3924" s="3" t="str">
        <f>"00187444"</f>
        <v>00187444</v>
      </c>
    </row>
    <row r="3925" spans="1:2" x14ac:dyDescent="0.25">
      <c r="A3925" s="2">
        <v>3920</v>
      </c>
      <c r="B3925" s="3" t="str">
        <f>"00187554"</f>
        <v>00187554</v>
      </c>
    </row>
    <row r="3926" spans="1:2" x14ac:dyDescent="0.25">
      <c r="A3926" s="2">
        <v>3921</v>
      </c>
      <c r="B3926" s="3" t="str">
        <f>"00187588"</f>
        <v>00187588</v>
      </c>
    </row>
    <row r="3927" spans="1:2" x14ac:dyDescent="0.25">
      <c r="A3927" s="2">
        <v>3922</v>
      </c>
      <c r="B3927" s="3" t="str">
        <f>"00187604"</f>
        <v>00187604</v>
      </c>
    </row>
    <row r="3928" spans="1:2" x14ac:dyDescent="0.25">
      <c r="A3928" s="2">
        <v>3923</v>
      </c>
      <c r="B3928" s="3" t="str">
        <f>"00187615"</f>
        <v>00187615</v>
      </c>
    </row>
    <row r="3929" spans="1:2" x14ac:dyDescent="0.25">
      <c r="A3929" s="2">
        <v>3924</v>
      </c>
      <c r="B3929" s="3" t="str">
        <f>"00187679"</f>
        <v>00187679</v>
      </c>
    </row>
    <row r="3930" spans="1:2" x14ac:dyDescent="0.25">
      <c r="A3930" s="2">
        <v>3925</v>
      </c>
      <c r="B3930" s="3" t="str">
        <f>"00187708"</f>
        <v>00187708</v>
      </c>
    </row>
    <row r="3931" spans="1:2" x14ac:dyDescent="0.25">
      <c r="A3931" s="2">
        <v>3926</v>
      </c>
      <c r="B3931" s="3" t="str">
        <f>"00187731"</f>
        <v>00187731</v>
      </c>
    </row>
    <row r="3932" spans="1:2" x14ac:dyDescent="0.25">
      <c r="A3932" s="2">
        <v>3927</v>
      </c>
      <c r="B3932" s="3" t="str">
        <f>"00187811"</f>
        <v>00187811</v>
      </c>
    </row>
    <row r="3933" spans="1:2" x14ac:dyDescent="0.25">
      <c r="A3933" s="2">
        <v>3928</v>
      </c>
      <c r="B3933" s="3" t="str">
        <f>"00187823"</f>
        <v>00187823</v>
      </c>
    </row>
    <row r="3934" spans="1:2" x14ac:dyDescent="0.25">
      <c r="A3934" s="2">
        <v>3929</v>
      </c>
      <c r="B3934" s="3" t="str">
        <f>"00187859"</f>
        <v>00187859</v>
      </c>
    </row>
    <row r="3935" spans="1:2" x14ac:dyDescent="0.25">
      <c r="A3935" s="2">
        <v>3930</v>
      </c>
      <c r="B3935" s="3" t="str">
        <f>"00187907"</f>
        <v>00187907</v>
      </c>
    </row>
    <row r="3936" spans="1:2" x14ac:dyDescent="0.25">
      <c r="A3936" s="2">
        <v>3931</v>
      </c>
      <c r="B3936" s="3" t="str">
        <f>"00187910"</f>
        <v>00187910</v>
      </c>
    </row>
    <row r="3937" spans="1:2" x14ac:dyDescent="0.25">
      <c r="A3937" s="2">
        <v>3932</v>
      </c>
      <c r="B3937" s="3" t="str">
        <f>"00187955"</f>
        <v>00187955</v>
      </c>
    </row>
    <row r="3938" spans="1:2" x14ac:dyDescent="0.25">
      <c r="A3938" s="2">
        <v>3933</v>
      </c>
      <c r="B3938" s="3" t="str">
        <f>"00187973"</f>
        <v>00187973</v>
      </c>
    </row>
    <row r="3939" spans="1:2" x14ac:dyDescent="0.25">
      <c r="A3939" s="2">
        <v>3934</v>
      </c>
      <c r="B3939" s="3" t="str">
        <f>"00187986"</f>
        <v>00187986</v>
      </c>
    </row>
    <row r="3940" spans="1:2" x14ac:dyDescent="0.25">
      <c r="A3940" s="2">
        <v>3935</v>
      </c>
      <c r="B3940" s="3" t="str">
        <f>"00188000"</f>
        <v>00188000</v>
      </c>
    </row>
    <row r="3941" spans="1:2" x14ac:dyDescent="0.25">
      <c r="A3941" s="2">
        <v>3936</v>
      </c>
      <c r="B3941" s="3" t="str">
        <f>"00188024"</f>
        <v>00188024</v>
      </c>
    </row>
    <row r="3942" spans="1:2" x14ac:dyDescent="0.25">
      <c r="A3942" s="2">
        <v>3937</v>
      </c>
      <c r="B3942" s="3" t="str">
        <f>"00188039"</f>
        <v>00188039</v>
      </c>
    </row>
    <row r="3943" spans="1:2" x14ac:dyDescent="0.25">
      <c r="A3943" s="2">
        <v>3938</v>
      </c>
      <c r="B3943" s="3" t="str">
        <f>"00188102"</f>
        <v>00188102</v>
      </c>
    </row>
    <row r="3944" spans="1:2" x14ac:dyDescent="0.25">
      <c r="A3944" s="2">
        <v>3939</v>
      </c>
      <c r="B3944" s="3" t="str">
        <f>"00188120"</f>
        <v>00188120</v>
      </c>
    </row>
    <row r="3945" spans="1:2" x14ac:dyDescent="0.25">
      <c r="A3945" s="2">
        <v>3940</v>
      </c>
      <c r="B3945" s="3" t="str">
        <f>"00188156"</f>
        <v>00188156</v>
      </c>
    </row>
    <row r="3946" spans="1:2" x14ac:dyDescent="0.25">
      <c r="A3946" s="2">
        <v>3941</v>
      </c>
      <c r="B3946" s="3" t="str">
        <f>"00188168"</f>
        <v>00188168</v>
      </c>
    </row>
    <row r="3947" spans="1:2" x14ac:dyDescent="0.25">
      <c r="A3947" s="2">
        <v>3942</v>
      </c>
      <c r="B3947" s="3" t="str">
        <f>"00188199"</f>
        <v>00188199</v>
      </c>
    </row>
    <row r="3948" spans="1:2" x14ac:dyDescent="0.25">
      <c r="A3948" s="2">
        <v>3943</v>
      </c>
      <c r="B3948" s="3" t="str">
        <f>"00188214"</f>
        <v>00188214</v>
      </c>
    </row>
    <row r="3949" spans="1:2" x14ac:dyDescent="0.25">
      <c r="A3949" s="2">
        <v>3944</v>
      </c>
      <c r="B3949" s="3" t="str">
        <f>"00188275"</f>
        <v>00188275</v>
      </c>
    </row>
    <row r="3950" spans="1:2" x14ac:dyDescent="0.25">
      <c r="A3950" s="2">
        <v>3945</v>
      </c>
      <c r="B3950" s="3" t="str">
        <f>"00188280"</f>
        <v>00188280</v>
      </c>
    </row>
    <row r="3951" spans="1:2" x14ac:dyDescent="0.25">
      <c r="A3951" s="2">
        <v>3946</v>
      </c>
      <c r="B3951" s="3" t="str">
        <f>"00188304"</f>
        <v>00188304</v>
      </c>
    </row>
    <row r="3952" spans="1:2" x14ac:dyDescent="0.25">
      <c r="A3952" s="2">
        <v>3947</v>
      </c>
      <c r="B3952" s="3" t="str">
        <f>"00188360"</f>
        <v>00188360</v>
      </c>
    </row>
    <row r="3953" spans="1:2" x14ac:dyDescent="0.25">
      <c r="A3953" s="2">
        <v>3948</v>
      </c>
      <c r="B3953" s="3" t="str">
        <f>"00188363"</f>
        <v>00188363</v>
      </c>
    </row>
    <row r="3954" spans="1:2" x14ac:dyDescent="0.25">
      <c r="A3954" s="2">
        <v>3949</v>
      </c>
      <c r="B3954" s="3" t="str">
        <f>"00188446"</f>
        <v>00188446</v>
      </c>
    </row>
    <row r="3955" spans="1:2" x14ac:dyDescent="0.25">
      <c r="A3955" s="2">
        <v>3950</v>
      </c>
      <c r="B3955" s="3" t="str">
        <f>"00188454"</f>
        <v>00188454</v>
      </c>
    </row>
    <row r="3956" spans="1:2" x14ac:dyDescent="0.25">
      <c r="A3956" s="2">
        <v>3951</v>
      </c>
      <c r="B3956" s="3" t="str">
        <f>"00188488"</f>
        <v>00188488</v>
      </c>
    </row>
    <row r="3957" spans="1:2" x14ac:dyDescent="0.25">
      <c r="A3957" s="2">
        <v>3952</v>
      </c>
      <c r="B3957" s="3" t="str">
        <f>"00188529"</f>
        <v>00188529</v>
      </c>
    </row>
    <row r="3958" spans="1:2" x14ac:dyDescent="0.25">
      <c r="A3958" s="2">
        <v>3953</v>
      </c>
      <c r="B3958" s="3" t="str">
        <f>"00188565"</f>
        <v>00188565</v>
      </c>
    </row>
    <row r="3959" spans="1:2" x14ac:dyDescent="0.25">
      <c r="A3959" s="2">
        <v>3954</v>
      </c>
      <c r="B3959" s="3" t="str">
        <f>"00188613"</f>
        <v>00188613</v>
      </c>
    </row>
    <row r="3960" spans="1:2" x14ac:dyDescent="0.25">
      <c r="A3960" s="2">
        <v>3955</v>
      </c>
      <c r="B3960" s="3" t="str">
        <f>"00188645"</f>
        <v>00188645</v>
      </c>
    </row>
    <row r="3961" spans="1:2" x14ac:dyDescent="0.25">
      <c r="A3961" s="2">
        <v>3956</v>
      </c>
      <c r="B3961" s="3" t="str">
        <f>"00188654"</f>
        <v>00188654</v>
      </c>
    </row>
    <row r="3962" spans="1:2" x14ac:dyDescent="0.25">
      <c r="A3962" s="2">
        <v>3957</v>
      </c>
      <c r="B3962" s="3" t="str">
        <f>"00188698"</f>
        <v>00188698</v>
      </c>
    </row>
    <row r="3963" spans="1:2" x14ac:dyDescent="0.25">
      <c r="A3963" s="2">
        <v>3958</v>
      </c>
      <c r="B3963" s="3" t="str">
        <f>"00189015"</f>
        <v>00189015</v>
      </c>
    </row>
    <row r="3964" spans="1:2" x14ac:dyDescent="0.25">
      <c r="A3964" s="2">
        <v>3959</v>
      </c>
      <c r="B3964" s="3" t="str">
        <f>"00189050"</f>
        <v>00189050</v>
      </c>
    </row>
    <row r="3965" spans="1:2" x14ac:dyDescent="0.25">
      <c r="A3965" s="2">
        <v>3960</v>
      </c>
      <c r="B3965" s="3" t="str">
        <f>"00189076"</f>
        <v>00189076</v>
      </c>
    </row>
    <row r="3966" spans="1:2" x14ac:dyDescent="0.25">
      <c r="A3966" s="2">
        <v>3961</v>
      </c>
      <c r="B3966" s="3" t="str">
        <f>"00189113"</f>
        <v>00189113</v>
      </c>
    </row>
    <row r="3967" spans="1:2" x14ac:dyDescent="0.25">
      <c r="A3967" s="2">
        <v>3962</v>
      </c>
      <c r="B3967" s="3" t="str">
        <f>"00189121"</f>
        <v>00189121</v>
      </c>
    </row>
    <row r="3968" spans="1:2" x14ac:dyDescent="0.25">
      <c r="A3968" s="2">
        <v>3963</v>
      </c>
      <c r="B3968" s="3" t="str">
        <f>"00189197"</f>
        <v>00189197</v>
      </c>
    </row>
    <row r="3969" spans="1:2" x14ac:dyDescent="0.25">
      <c r="A3969" s="2">
        <v>3964</v>
      </c>
      <c r="B3969" s="3" t="str">
        <f>"00189222"</f>
        <v>00189222</v>
      </c>
    </row>
    <row r="3970" spans="1:2" x14ac:dyDescent="0.25">
      <c r="A3970" s="2">
        <v>3965</v>
      </c>
      <c r="B3970" s="3" t="str">
        <f>"00189319"</f>
        <v>00189319</v>
      </c>
    </row>
    <row r="3971" spans="1:2" x14ac:dyDescent="0.25">
      <c r="A3971" s="2">
        <v>3966</v>
      </c>
      <c r="B3971" s="3" t="str">
        <f>"00189343"</f>
        <v>00189343</v>
      </c>
    </row>
    <row r="3972" spans="1:2" x14ac:dyDescent="0.25">
      <c r="A3972" s="2">
        <v>3967</v>
      </c>
      <c r="B3972" s="3" t="str">
        <f>"00189475"</f>
        <v>00189475</v>
      </c>
    </row>
    <row r="3973" spans="1:2" x14ac:dyDescent="0.25">
      <c r="A3973" s="2">
        <v>3968</v>
      </c>
      <c r="B3973" s="3" t="str">
        <f>"00189511"</f>
        <v>00189511</v>
      </c>
    </row>
    <row r="3974" spans="1:2" x14ac:dyDescent="0.25">
      <c r="A3974" s="2">
        <v>3969</v>
      </c>
      <c r="B3974" s="3" t="str">
        <f>"00189585"</f>
        <v>00189585</v>
      </c>
    </row>
    <row r="3975" spans="1:2" x14ac:dyDescent="0.25">
      <c r="A3975" s="2">
        <v>3970</v>
      </c>
      <c r="B3975" s="3" t="str">
        <f>"00189622"</f>
        <v>00189622</v>
      </c>
    </row>
    <row r="3976" spans="1:2" x14ac:dyDescent="0.25">
      <c r="A3976" s="2">
        <v>3971</v>
      </c>
      <c r="B3976" s="3" t="str">
        <f>"00189643"</f>
        <v>00189643</v>
      </c>
    </row>
    <row r="3977" spans="1:2" x14ac:dyDescent="0.25">
      <c r="A3977" s="2">
        <v>3972</v>
      </c>
      <c r="B3977" s="3" t="str">
        <f>"00189716"</f>
        <v>00189716</v>
      </c>
    </row>
    <row r="3978" spans="1:2" x14ac:dyDescent="0.25">
      <c r="A3978" s="2">
        <v>3973</v>
      </c>
      <c r="B3978" s="3" t="str">
        <f>"00189822"</f>
        <v>00189822</v>
      </c>
    </row>
    <row r="3979" spans="1:2" x14ac:dyDescent="0.25">
      <c r="A3979" s="2">
        <v>3974</v>
      </c>
      <c r="B3979" s="3" t="str">
        <f>"00189882"</f>
        <v>00189882</v>
      </c>
    </row>
    <row r="3980" spans="1:2" x14ac:dyDescent="0.25">
      <c r="A3980" s="2">
        <v>3975</v>
      </c>
      <c r="B3980" s="3" t="str">
        <f>"00189897"</f>
        <v>00189897</v>
      </c>
    </row>
    <row r="3981" spans="1:2" x14ac:dyDescent="0.25">
      <c r="A3981" s="2">
        <v>3976</v>
      </c>
      <c r="B3981" s="3" t="str">
        <f>"00189899"</f>
        <v>00189899</v>
      </c>
    </row>
    <row r="3982" spans="1:2" x14ac:dyDescent="0.25">
      <c r="A3982" s="2">
        <v>3977</v>
      </c>
      <c r="B3982" s="3" t="str">
        <f>"00189961"</f>
        <v>00189961</v>
      </c>
    </row>
    <row r="3983" spans="1:2" x14ac:dyDescent="0.25">
      <c r="A3983" s="2">
        <v>3978</v>
      </c>
      <c r="B3983" s="3" t="str">
        <f>"00189963"</f>
        <v>00189963</v>
      </c>
    </row>
    <row r="3984" spans="1:2" x14ac:dyDescent="0.25">
      <c r="A3984" s="2">
        <v>3979</v>
      </c>
      <c r="B3984" s="3" t="str">
        <f>"00190023"</f>
        <v>00190023</v>
      </c>
    </row>
    <row r="3985" spans="1:2" x14ac:dyDescent="0.25">
      <c r="A3985" s="2">
        <v>3980</v>
      </c>
      <c r="B3985" s="3" t="str">
        <f>"00190024"</f>
        <v>00190024</v>
      </c>
    </row>
    <row r="3986" spans="1:2" x14ac:dyDescent="0.25">
      <c r="A3986" s="2">
        <v>3981</v>
      </c>
      <c r="B3986" s="3" t="str">
        <f>"00190032"</f>
        <v>00190032</v>
      </c>
    </row>
    <row r="3987" spans="1:2" x14ac:dyDescent="0.25">
      <c r="A3987" s="2">
        <v>3982</v>
      </c>
      <c r="B3987" s="3" t="str">
        <f>"00190045"</f>
        <v>00190045</v>
      </c>
    </row>
    <row r="3988" spans="1:2" x14ac:dyDescent="0.25">
      <c r="A3988" s="2">
        <v>3983</v>
      </c>
      <c r="B3988" s="3" t="str">
        <f>"00190052"</f>
        <v>00190052</v>
      </c>
    </row>
    <row r="3989" spans="1:2" x14ac:dyDescent="0.25">
      <c r="A3989" s="2">
        <v>3984</v>
      </c>
      <c r="B3989" s="3" t="str">
        <f>"00190055"</f>
        <v>00190055</v>
      </c>
    </row>
    <row r="3990" spans="1:2" x14ac:dyDescent="0.25">
      <c r="A3990" s="2">
        <v>3985</v>
      </c>
      <c r="B3990" s="3" t="str">
        <f>"00190078"</f>
        <v>00190078</v>
      </c>
    </row>
    <row r="3991" spans="1:2" x14ac:dyDescent="0.25">
      <c r="A3991" s="2">
        <v>3986</v>
      </c>
      <c r="B3991" s="3" t="str">
        <f>"00190079"</f>
        <v>00190079</v>
      </c>
    </row>
    <row r="3992" spans="1:2" x14ac:dyDescent="0.25">
      <c r="A3992" s="2">
        <v>3987</v>
      </c>
      <c r="B3992" s="3" t="str">
        <f>"00190086"</f>
        <v>00190086</v>
      </c>
    </row>
    <row r="3993" spans="1:2" x14ac:dyDescent="0.25">
      <c r="A3993" s="2">
        <v>3988</v>
      </c>
      <c r="B3993" s="3" t="str">
        <f>"00190088"</f>
        <v>00190088</v>
      </c>
    </row>
    <row r="3994" spans="1:2" x14ac:dyDescent="0.25">
      <c r="A3994" s="2">
        <v>3989</v>
      </c>
      <c r="B3994" s="3" t="str">
        <f>"00190212"</f>
        <v>00190212</v>
      </c>
    </row>
    <row r="3995" spans="1:2" x14ac:dyDescent="0.25">
      <c r="A3995" s="2">
        <v>3990</v>
      </c>
      <c r="B3995" s="3" t="str">
        <f>"00190221"</f>
        <v>00190221</v>
      </c>
    </row>
    <row r="3996" spans="1:2" x14ac:dyDescent="0.25">
      <c r="A3996" s="2">
        <v>3991</v>
      </c>
      <c r="B3996" s="3" t="str">
        <f>"00190281"</f>
        <v>00190281</v>
      </c>
    </row>
    <row r="3997" spans="1:2" x14ac:dyDescent="0.25">
      <c r="A3997" s="2">
        <v>3992</v>
      </c>
      <c r="B3997" s="3" t="str">
        <f>"00190316"</f>
        <v>00190316</v>
      </c>
    </row>
    <row r="3998" spans="1:2" x14ac:dyDescent="0.25">
      <c r="A3998" s="2">
        <v>3993</v>
      </c>
      <c r="B3998" s="3" t="str">
        <f>"00190434"</f>
        <v>00190434</v>
      </c>
    </row>
    <row r="3999" spans="1:2" x14ac:dyDescent="0.25">
      <c r="A3999" s="2">
        <v>3994</v>
      </c>
      <c r="B3999" s="3" t="str">
        <f>"00190477"</f>
        <v>00190477</v>
      </c>
    </row>
    <row r="4000" spans="1:2" x14ac:dyDescent="0.25">
      <c r="A4000" s="2">
        <v>3995</v>
      </c>
      <c r="B4000" s="3" t="str">
        <f>"00190549"</f>
        <v>00190549</v>
      </c>
    </row>
    <row r="4001" spans="1:2" x14ac:dyDescent="0.25">
      <c r="A4001" s="2">
        <v>3996</v>
      </c>
      <c r="B4001" s="3" t="str">
        <f>"00190563"</f>
        <v>00190563</v>
      </c>
    </row>
    <row r="4002" spans="1:2" x14ac:dyDescent="0.25">
      <c r="A4002" s="2">
        <v>3997</v>
      </c>
      <c r="B4002" s="3" t="str">
        <f>"00190574"</f>
        <v>00190574</v>
      </c>
    </row>
    <row r="4003" spans="1:2" x14ac:dyDescent="0.25">
      <c r="A4003" s="2">
        <v>3998</v>
      </c>
      <c r="B4003" s="3" t="str">
        <f>"00190677"</f>
        <v>00190677</v>
      </c>
    </row>
    <row r="4004" spans="1:2" x14ac:dyDescent="0.25">
      <c r="A4004" s="2">
        <v>3999</v>
      </c>
      <c r="B4004" s="3" t="str">
        <f>"00190719"</f>
        <v>00190719</v>
      </c>
    </row>
    <row r="4005" spans="1:2" x14ac:dyDescent="0.25">
      <c r="A4005" s="2">
        <v>4000</v>
      </c>
      <c r="B4005" s="3" t="str">
        <f>"00190757"</f>
        <v>00190757</v>
      </c>
    </row>
    <row r="4006" spans="1:2" x14ac:dyDescent="0.25">
      <c r="A4006" s="2">
        <v>4001</v>
      </c>
      <c r="B4006" s="3" t="str">
        <f>"00190768"</f>
        <v>00190768</v>
      </c>
    </row>
    <row r="4007" spans="1:2" x14ac:dyDescent="0.25">
      <c r="A4007" s="2">
        <v>4002</v>
      </c>
      <c r="B4007" s="3" t="str">
        <f>"00190801"</f>
        <v>00190801</v>
      </c>
    </row>
    <row r="4008" spans="1:2" x14ac:dyDescent="0.25">
      <c r="A4008" s="2">
        <v>4003</v>
      </c>
      <c r="B4008" s="3" t="str">
        <f>"00190816"</f>
        <v>00190816</v>
      </c>
    </row>
    <row r="4009" spans="1:2" x14ac:dyDescent="0.25">
      <c r="A4009" s="2">
        <v>4004</v>
      </c>
      <c r="B4009" s="3" t="str">
        <f>"00190822"</f>
        <v>00190822</v>
      </c>
    </row>
    <row r="4010" spans="1:2" x14ac:dyDescent="0.25">
      <c r="A4010" s="2">
        <v>4005</v>
      </c>
      <c r="B4010" s="3" t="str">
        <f>"00190829"</f>
        <v>00190829</v>
      </c>
    </row>
    <row r="4011" spans="1:2" x14ac:dyDescent="0.25">
      <c r="A4011" s="2">
        <v>4006</v>
      </c>
      <c r="B4011" s="3" t="str">
        <f>"00190847"</f>
        <v>00190847</v>
      </c>
    </row>
    <row r="4012" spans="1:2" x14ac:dyDescent="0.25">
      <c r="A4012" s="2">
        <v>4007</v>
      </c>
      <c r="B4012" s="3" t="str">
        <f>"00190866"</f>
        <v>00190866</v>
      </c>
    </row>
    <row r="4013" spans="1:2" x14ac:dyDescent="0.25">
      <c r="A4013" s="2">
        <v>4008</v>
      </c>
      <c r="B4013" s="3" t="str">
        <f>"00190878"</f>
        <v>00190878</v>
      </c>
    </row>
    <row r="4014" spans="1:2" x14ac:dyDescent="0.25">
      <c r="A4014" s="2">
        <v>4009</v>
      </c>
      <c r="B4014" s="3" t="str">
        <f>"00190895"</f>
        <v>00190895</v>
      </c>
    </row>
    <row r="4015" spans="1:2" x14ac:dyDescent="0.25">
      <c r="A4015" s="2">
        <v>4010</v>
      </c>
      <c r="B4015" s="3" t="str">
        <f>"00190961"</f>
        <v>00190961</v>
      </c>
    </row>
    <row r="4016" spans="1:2" x14ac:dyDescent="0.25">
      <c r="A4016" s="2">
        <v>4011</v>
      </c>
      <c r="B4016" s="3" t="str">
        <f>"00190987"</f>
        <v>00190987</v>
      </c>
    </row>
    <row r="4017" spans="1:2" x14ac:dyDescent="0.25">
      <c r="A4017" s="2">
        <v>4012</v>
      </c>
      <c r="B4017" s="3" t="str">
        <f>"00191068"</f>
        <v>00191068</v>
      </c>
    </row>
    <row r="4018" spans="1:2" x14ac:dyDescent="0.25">
      <c r="A4018" s="2">
        <v>4013</v>
      </c>
      <c r="B4018" s="3" t="str">
        <f>"00191133"</f>
        <v>00191133</v>
      </c>
    </row>
    <row r="4019" spans="1:2" x14ac:dyDescent="0.25">
      <c r="A4019" s="2">
        <v>4014</v>
      </c>
      <c r="B4019" s="3" t="str">
        <f>"00191184"</f>
        <v>00191184</v>
      </c>
    </row>
    <row r="4020" spans="1:2" x14ac:dyDescent="0.25">
      <c r="A4020" s="2">
        <v>4015</v>
      </c>
      <c r="B4020" s="3" t="str">
        <f>"00191212"</f>
        <v>00191212</v>
      </c>
    </row>
    <row r="4021" spans="1:2" x14ac:dyDescent="0.25">
      <c r="A4021" s="2">
        <v>4016</v>
      </c>
      <c r="B4021" s="3" t="str">
        <f>"00191214"</f>
        <v>00191214</v>
      </c>
    </row>
    <row r="4022" spans="1:2" x14ac:dyDescent="0.25">
      <c r="A4022" s="2">
        <v>4017</v>
      </c>
      <c r="B4022" s="3" t="str">
        <f>"00191271"</f>
        <v>00191271</v>
      </c>
    </row>
    <row r="4023" spans="1:2" x14ac:dyDescent="0.25">
      <c r="A4023" s="2">
        <v>4018</v>
      </c>
      <c r="B4023" s="3" t="str">
        <f>"00191284"</f>
        <v>00191284</v>
      </c>
    </row>
    <row r="4024" spans="1:2" x14ac:dyDescent="0.25">
      <c r="A4024" s="2">
        <v>4019</v>
      </c>
      <c r="B4024" s="3" t="str">
        <f>"00191304"</f>
        <v>00191304</v>
      </c>
    </row>
    <row r="4025" spans="1:2" x14ac:dyDescent="0.25">
      <c r="A4025" s="2">
        <v>4020</v>
      </c>
      <c r="B4025" s="3" t="str">
        <f>"00191315"</f>
        <v>00191315</v>
      </c>
    </row>
    <row r="4026" spans="1:2" x14ac:dyDescent="0.25">
      <c r="A4026" s="2">
        <v>4021</v>
      </c>
      <c r="B4026" s="3" t="str">
        <f>"00191362"</f>
        <v>00191362</v>
      </c>
    </row>
    <row r="4027" spans="1:2" x14ac:dyDescent="0.25">
      <c r="A4027" s="2">
        <v>4022</v>
      </c>
      <c r="B4027" s="3" t="str">
        <f>"00191394"</f>
        <v>00191394</v>
      </c>
    </row>
    <row r="4028" spans="1:2" x14ac:dyDescent="0.25">
      <c r="A4028" s="2">
        <v>4023</v>
      </c>
      <c r="B4028" s="3" t="str">
        <f>"00191398"</f>
        <v>00191398</v>
      </c>
    </row>
    <row r="4029" spans="1:2" x14ac:dyDescent="0.25">
      <c r="A4029" s="2">
        <v>4024</v>
      </c>
      <c r="B4029" s="3" t="str">
        <f>"00191409"</f>
        <v>00191409</v>
      </c>
    </row>
    <row r="4030" spans="1:2" x14ac:dyDescent="0.25">
      <c r="A4030" s="2">
        <v>4025</v>
      </c>
      <c r="B4030" s="3" t="str">
        <f>"00191422"</f>
        <v>00191422</v>
      </c>
    </row>
    <row r="4031" spans="1:2" x14ac:dyDescent="0.25">
      <c r="A4031" s="2">
        <v>4026</v>
      </c>
      <c r="B4031" s="3" t="str">
        <f>"00191648"</f>
        <v>00191648</v>
      </c>
    </row>
    <row r="4032" spans="1:2" x14ac:dyDescent="0.25">
      <c r="A4032" s="2">
        <v>4027</v>
      </c>
      <c r="B4032" s="3" t="str">
        <f>"00191849"</f>
        <v>00191849</v>
      </c>
    </row>
    <row r="4033" spans="1:2" x14ac:dyDescent="0.25">
      <c r="A4033" s="2">
        <v>4028</v>
      </c>
      <c r="B4033" s="3" t="str">
        <f>"00191893"</f>
        <v>00191893</v>
      </c>
    </row>
    <row r="4034" spans="1:2" x14ac:dyDescent="0.25">
      <c r="A4034" s="2">
        <v>4029</v>
      </c>
      <c r="B4034" s="3" t="str">
        <f>"00191913"</f>
        <v>00191913</v>
      </c>
    </row>
    <row r="4035" spans="1:2" x14ac:dyDescent="0.25">
      <c r="A4035" s="2">
        <v>4030</v>
      </c>
      <c r="B4035" s="3" t="str">
        <f>"00191914"</f>
        <v>00191914</v>
      </c>
    </row>
    <row r="4036" spans="1:2" x14ac:dyDescent="0.25">
      <c r="A4036" s="2">
        <v>4031</v>
      </c>
      <c r="B4036" s="3" t="str">
        <f>"00191967"</f>
        <v>00191967</v>
      </c>
    </row>
    <row r="4037" spans="1:2" x14ac:dyDescent="0.25">
      <c r="A4037" s="2">
        <v>4032</v>
      </c>
      <c r="B4037" s="3" t="str">
        <f>"00191984"</f>
        <v>00191984</v>
      </c>
    </row>
    <row r="4038" spans="1:2" x14ac:dyDescent="0.25">
      <c r="A4038" s="2">
        <v>4033</v>
      </c>
      <c r="B4038" s="3" t="str">
        <f>"00191994"</f>
        <v>00191994</v>
      </c>
    </row>
    <row r="4039" spans="1:2" x14ac:dyDescent="0.25">
      <c r="A4039" s="2">
        <v>4034</v>
      </c>
      <c r="B4039" s="3" t="str">
        <f>"00192105"</f>
        <v>00192105</v>
      </c>
    </row>
    <row r="4040" spans="1:2" x14ac:dyDescent="0.25">
      <c r="A4040" s="2">
        <v>4035</v>
      </c>
      <c r="B4040" s="3" t="str">
        <f>"00192150"</f>
        <v>00192150</v>
      </c>
    </row>
    <row r="4041" spans="1:2" x14ac:dyDescent="0.25">
      <c r="A4041" s="2">
        <v>4036</v>
      </c>
      <c r="B4041" s="3" t="str">
        <f>"00192152"</f>
        <v>00192152</v>
      </c>
    </row>
    <row r="4042" spans="1:2" x14ac:dyDescent="0.25">
      <c r="A4042" s="2">
        <v>4037</v>
      </c>
      <c r="B4042" s="3" t="str">
        <f>"00192175"</f>
        <v>00192175</v>
      </c>
    </row>
    <row r="4043" spans="1:2" x14ac:dyDescent="0.25">
      <c r="A4043" s="2">
        <v>4038</v>
      </c>
      <c r="B4043" s="3" t="str">
        <f>"00192208"</f>
        <v>00192208</v>
      </c>
    </row>
    <row r="4044" spans="1:2" x14ac:dyDescent="0.25">
      <c r="A4044" s="2">
        <v>4039</v>
      </c>
      <c r="B4044" s="3" t="str">
        <f>"00192324"</f>
        <v>00192324</v>
      </c>
    </row>
    <row r="4045" spans="1:2" x14ac:dyDescent="0.25">
      <c r="A4045" s="2">
        <v>4040</v>
      </c>
      <c r="B4045" s="3" t="str">
        <f>"00192353"</f>
        <v>00192353</v>
      </c>
    </row>
    <row r="4046" spans="1:2" x14ac:dyDescent="0.25">
      <c r="A4046" s="2">
        <v>4041</v>
      </c>
      <c r="B4046" s="3" t="str">
        <f>"00192361"</f>
        <v>00192361</v>
      </c>
    </row>
    <row r="4047" spans="1:2" x14ac:dyDescent="0.25">
      <c r="A4047" s="2">
        <v>4042</v>
      </c>
      <c r="B4047" s="3" t="str">
        <f>"00192396"</f>
        <v>00192396</v>
      </c>
    </row>
    <row r="4048" spans="1:2" x14ac:dyDescent="0.25">
      <c r="A4048" s="2">
        <v>4043</v>
      </c>
      <c r="B4048" s="3" t="str">
        <f>"00192397"</f>
        <v>00192397</v>
      </c>
    </row>
    <row r="4049" spans="1:2" x14ac:dyDescent="0.25">
      <c r="A4049" s="2">
        <v>4044</v>
      </c>
      <c r="B4049" s="3" t="str">
        <f>"00192452"</f>
        <v>00192452</v>
      </c>
    </row>
    <row r="4050" spans="1:2" x14ac:dyDescent="0.25">
      <c r="A4050" s="2">
        <v>4045</v>
      </c>
      <c r="B4050" s="3" t="str">
        <f>"00192552"</f>
        <v>00192552</v>
      </c>
    </row>
    <row r="4051" spans="1:2" x14ac:dyDescent="0.25">
      <c r="A4051" s="2">
        <v>4046</v>
      </c>
      <c r="B4051" s="3" t="str">
        <f>"00192559"</f>
        <v>00192559</v>
      </c>
    </row>
    <row r="4052" spans="1:2" x14ac:dyDescent="0.25">
      <c r="A4052" s="2">
        <v>4047</v>
      </c>
      <c r="B4052" s="3" t="str">
        <f>"00192677"</f>
        <v>00192677</v>
      </c>
    </row>
    <row r="4053" spans="1:2" x14ac:dyDescent="0.25">
      <c r="A4053" s="2">
        <v>4048</v>
      </c>
      <c r="B4053" s="3" t="str">
        <f>"00192705"</f>
        <v>00192705</v>
      </c>
    </row>
    <row r="4054" spans="1:2" x14ac:dyDescent="0.25">
      <c r="A4054" s="2">
        <v>4049</v>
      </c>
      <c r="B4054" s="3" t="str">
        <f>"00192724"</f>
        <v>00192724</v>
      </c>
    </row>
    <row r="4055" spans="1:2" x14ac:dyDescent="0.25">
      <c r="A4055" s="2">
        <v>4050</v>
      </c>
      <c r="B4055" s="3" t="str">
        <f>"00192725"</f>
        <v>00192725</v>
      </c>
    </row>
    <row r="4056" spans="1:2" x14ac:dyDescent="0.25">
      <c r="A4056" s="2">
        <v>4051</v>
      </c>
      <c r="B4056" s="3" t="str">
        <f>"00192740"</f>
        <v>00192740</v>
      </c>
    </row>
    <row r="4057" spans="1:2" x14ac:dyDescent="0.25">
      <c r="A4057" s="2">
        <v>4052</v>
      </c>
      <c r="B4057" s="3" t="str">
        <f>"00192867"</f>
        <v>00192867</v>
      </c>
    </row>
    <row r="4058" spans="1:2" x14ac:dyDescent="0.25">
      <c r="A4058" s="2">
        <v>4053</v>
      </c>
      <c r="B4058" s="3" t="str">
        <f>"00192876"</f>
        <v>00192876</v>
      </c>
    </row>
    <row r="4059" spans="1:2" x14ac:dyDescent="0.25">
      <c r="A4059" s="2">
        <v>4054</v>
      </c>
      <c r="B4059" s="3" t="str">
        <f>"00192908"</f>
        <v>00192908</v>
      </c>
    </row>
    <row r="4060" spans="1:2" x14ac:dyDescent="0.25">
      <c r="A4060" s="2">
        <v>4055</v>
      </c>
      <c r="B4060" s="3" t="str">
        <f>"00192995"</f>
        <v>00192995</v>
      </c>
    </row>
    <row r="4061" spans="1:2" x14ac:dyDescent="0.25">
      <c r="A4061" s="2">
        <v>4056</v>
      </c>
      <c r="B4061" s="3" t="str">
        <f>"00193091"</f>
        <v>00193091</v>
      </c>
    </row>
    <row r="4062" spans="1:2" x14ac:dyDescent="0.25">
      <c r="A4062" s="2">
        <v>4057</v>
      </c>
      <c r="B4062" s="3" t="str">
        <f>"00193102"</f>
        <v>00193102</v>
      </c>
    </row>
    <row r="4063" spans="1:2" x14ac:dyDescent="0.25">
      <c r="A4063" s="2">
        <v>4058</v>
      </c>
      <c r="B4063" s="3" t="str">
        <f>"00193107"</f>
        <v>00193107</v>
      </c>
    </row>
    <row r="4064" spans="1:2" x14ac:dyDescent="0.25">
      <c r="A4064" s="2">
        <v>4059</v>
      </c>
      <c r="B4064" s="3" t="str">
        <f>"00193141"</f>
        <v>00193141</v>
      </c>
    </row>
    <row r="4065" spans="1:2" x14ac:dyDescent="0.25">
      <c r="A4065" s="2">
        <v>4060</v>
      </c>
      <c r="B4065" s="3" t="str">
        <f>"00193218"</f>
        <v>00193218</v>
      </c>
    </row>
    <row r="4066" spans="1:2" x14ac:dyDescent="0.25">
      <c r="A4066" s="2">
        <v>4061</v>
      </c>
      <c r="B4066" s="3" t="str">
        <f>"00193232"</f>
        <v>00193232</v>
      </c>
    </row>
    <row r="4067" spans="1:2" x14ac:dyDescent="0.25">
      <c r="A4067" s="2">
        <v>4062</v>
      </c>
      <c r="B4067" s="3" t="str">
        <f>"00193258"</f>
        <v>00193258</v>
      </c>
    </row>
    <row r="4068" spans="1:2" x14ac:dyDescent="0.25">
      <c r="A4068" s="2">
        <v>4063</v>
      </c>
      <c r="B4068" s="3" t="str">
        <f>"00193272"</f>
        <v>00193272</v>
      </c>
    </row>
    <row r="4069" spans="1:2" x14ac:dyDescent="0.25">
      <c r="A4069" s="2">
        <v>4064</v>
      </c>
      <c r="B4069" s="3" t="str">
        <f>"00193310"</f>
        <v>00193310</v>
      </c>
    </row>
    <row r="4070" spans="1:2" x14ac:dyDescent="0.25">
      <c r="A4070" s="2">
        <v>4065</v>
      </c>
      <c r="B4070" s="3" t="str">
        <f>"00193370"</f>
        <v>00193370</v>
      </c>
    </row>
    <row r="4071" spans="1:2" x14ac:dyDescent="0.25">
      <c r="A4071" s="2">
        <v>4066</v>
      </c>
      <c r="B4071" s="3" t="str">
        <f>"00193376"</f>
        <v>00193376</v>
      </c>
    </row>
    <row r="4072" spans="1:2" x14ac:dyDescent="0.25">
      <c r="A4072" s="2">
        <v>4067</v>
      </c>
      <c r="B4072" s="3" t="str">
        <f>"00193397"</f>
        <v>00193397</v>
      </c>
    </row>
    <row r="4073" spans="1:2" x14ac:dyDescent="0.25">
      <c r="A4073" s="2">
        <v>4068</v>
      </c>
      <c r="B4073" s="3" t="str">
        <f>"00193402"</f>
        <v>00193402</v>
      </c>
    </row>
    <row r="4074" spans="1:2" x14ac:dyDescent="0.25">
      <c r="A4074" s="2">
        <v>4069</v>
      </c>
      <c r="B4074" s="3" t="str">
        <f>"00193423"</f>
        <v>00193423</v>
      </c>
    </row>
    <row r="4075" spans="1:2" x14ac:dyDescent="0.25">
      <c r="A4075" s="2">
        <v>4070</v>
      </c>
      <c r="B4075" s="3" t="str">
        <f>"00193464"</f>
        <v>00193464</v>
      </c>
    </row>
    <row r="4076" spans="1:2" x14ac:dyDescent="0.25">
      <c r="A4076" s="2">
        <v>4071</v>
      </c>
      <c r="B4076" s="3" t="str">
        <f>"00193479"</f>
        <v>00193479</v>
      </c>
    </row>
    <row r="4077" spans="1:2" x14ac:dyDescent="0.25">
      <c r="A4077" s="2">
        <v>4072</v>
      </c>
      <c r="B4077" s="3" t="str">
        <f>"00193585"</f>
        <v>00193585</v>
      </c>
    </row>
    <row r="4078" spans="1:2" x14ac:dyDescent="0.25">
      <c r="A4078" s="2">
        <v>4073</v>
      </c>
      <c r="B4078" s="3" t="str">
        <f>"00193648"</f>
        <v>00193648</v>
      </c>
    </row>
    <row r="4079" spans="1:2" x14ac:dyDescent="0.25">
      <c r="A4079" s="2">
        <v>4074</v>
      </c>
      <c r="B4079" s="3" t="str">
        <f>"00193668"</f>
        <v>00193668</v>
      </c>
    </row>
    <row r="4080" spans="1:2" x14ac:dyDescent="0.25">
      <c r="A4080" s="2">
        <v>4075</v>
      </c>
      <c r="B4080" s="3" t="str">
        <f>"00193720"</f>
        <v>00193720</v>
      </c>
    </row>
    <row r="4081" spans="1:2" x14ac:dyDescent="0.25">
      <c r="A4081" s="2">
        <v>4076</v>
      </c>
      <c r="B4081" s="3" t="str">
        <f>"00193774"</f>
        <v>00193774</v>
      </c>
    </row>
    <row r="4082" spans="1:2" x14ac:dyDescent="0.25">
      <c r="A4082" s="2">
        <v>4077</v>
      </c>
      <c r="B4082" s="3" t="str">
        <f>"00193784"</f>
        <v>00193784</v>
      </c>
    </row>
    <row r="4083" spans="1:2" x14ac:dyDescent="0.25">
      <c r="A4083" s="2">
        <v>4078</v>
      </c>
      <c r="B4083" s="3" t="str">
        <f>"00193803"</f>
        <v>00193803</v>
      </c>
    </row>
    <row r="4084" spans="1:2" x14ac:dyDescent="0.25">
      <c r="A4084" s="2">
        <v>4079</v>
      </c>
      <c r="B4084" s="3" t="str">
        <f>"00193809"</f>
        <v>00193809</v>
      </c>
    </row>
    <row r="4085" spans="1:2" x14ac:dyDescent="0.25">
      <c r="A4085" s="2">
        <v>4080</v>
      </c>
      <c r="B4085" s="3" t="str">
        <f>"00193844"</f>
        <v>00193844</v>
      </c>
    </row>
    <row r="4086" spans="1:2" x14ac:dyDescent="0.25">
      <c r="A4086" s="2">
        <v>4081</v>
      </c>
      <c r="B4086" s="3" t="str">
        <f>"00193848"</f>
        <v>00193848</v>
      </c>
    </row>
    <row r="4087" spans="1:2" x14ac:dyDescent="0.25">
      <c r="A4087" s="2">
        <v>4082</v>
      </c>
      <c r="B4087" s="3" t="str">
        <f>"00193849"</f>
        <v>00193849</v>
      </c>
    </row>
    <row r="4088" spans="1:2" x14ac:dyDescent="0.25">
      <c r="A4088" s="2">
        <v>4083</v>
      </c>
      <c r="B4088" s="3" t="str">
        <f>"00193855"</f>
        <v>00193855</v>
      </c>
    </row>
    <row r="4089" spans="1:2" x14ac:dyDescent="0.25">
      <c r="A4089" s="2">
        <v>4084</v>
      </c>
      <c r="B4089" s="3" t="str">
        <f>"00193903"</f>
        <v>00193903</v>
      </c>
    </row>
    <row r="4090" spans="1:2" x14ac:dyDescent="0.25">
      <c r="A4090" s="2">
        <v>4085</v>
      </c>
      <c r="B4090" s="3" t="str">
        <f>"00193904"</f>
        <v>00193904</v>
      </c>
    </row>
    <row r="4091" spans="1:2" x14ac:dyDescent="0.25">
      <c r="A4091" s="2">
        <v>4086</v>
      </c>
      <c r="B4091" s="3" t="str">
        <f>"00193934"</f>
        <v>00193934</v>
      </c>
    </row>
    <row r="4092" spans="1:2" x14ac:dyDescent="0.25">
      <c r="A4092" s="2">
        <v>4087</v>
      </c>
      <c r="B4092" s="3" t="str">
        <f>"00193984"</f>
        <v>00193984</v>
      </c>
    </row>
    <row r="4093" spans="1:2" x14ac:dyDescent="0.25">
      <c r="A4093" s="2">
        <v>4088</v>
      </c>
      <c r="B4093" s="3" t="str">
        <f>"00193987"</f>
        <v>00193987</v>
      </c>
    </row>
    <row r="4094" spans="1:2" x14ac:dyDescent="0.25">
      <c r="A4094" s="2">
        <v>4089</v>
      </c>
      <c r="B4094" s="3" t="str">
        <f>"00194001"</f>
        <v>00194001</v>
      </c>
    </row>
    <row r="4095" spans="1:2" x14ac:dyDescent="0.25">
      <c r="A4095" s="2">
        <v>4090</v>
      </c>
      <c r="B4095" s="3" t="str">
        <f>"00194027"</f>
        <v>00194027</v>
      </c>
    </row>
    <row r="4096" spans="1:2" x14ac:dyDescent="0.25">
      <c r="A4096" s="2">
        <v>4091</v>
      </c>
      <c r="B4096" s="3" t="str">
        <f>"00194070"</f>
        <v>00194070</v>
      </c>
    </row>
    <row r="4097" spans="1:2" x14ac:dyDescent="0.25">
      <c r="A4097" s="2">
        <v>4092</v>
      </c>
      <c r="B4097" s="3" t="str">
        <f>"00194116"</f>
        <v>00194116</v>
      </c>
    </row>
    <row r="4098" spans="1:2" x14ac:dyDescent="0.25">
      <c r="A4098" s="2">
        <v>4093</v>
      </c>
      <c r="B4098" s="3" t="str">
        <f>"00194160"</f>
        <v>00194160</v>
      </c>
    </row>
    <row r="4099" spans="1:2" x14ac:dyDescent="0.25">
      <c r="A4099" s="2">
        <v>4094</v>
      </c>
      <c r="B4099" s="3" t="str">
        <f>"00194169"</f>
        <v>00194169</v>
      </c>
    </row>
    <row r="4100" spans="1:2" x14ac:dyDescent="0.25">
      <c r="A4100" s="2">
        <v>4095</v>
      </c>
      <c r="B4100" s="3" t="str">
        <f>"00194240"</f>
        <v>00194240</v>
      </c>
    </row>
    <row r="4101" spans="1:2" x14ac:dyDescent="0.25">
      <c r="A4101" s="2">
        <v>4096</v>
      </c>
      <c r="B4101" s="3" t="str">
        <f>"00194241"</f>
        <v>00194241</v>
      </c>
    </row>
    <row r="4102" spans="1:2" x14ac:dyDescent="0.25">
      <c r="A4102" s="2">
        <v>4097</v>
      </c>
      <c r="B4102" s="3" t="str">
        <f>"00194273"</f>
        <v>00194273</v>
      </c>
    </row>
    <row r="4103" spans="1:2" x14ac:dyDescent="0.25">
      <c r="A4103" s="2">
        <v>4098</v>
      </c>
      <c r="B4103" s="3" t="str">
        <f>"00194278"</f>
        <v>00194278</v>
      </c>
    </row>
    <row r="4104" spans="1:2" x14ac:dyDescent="0.25">
      <c r="A4104" s="2">
        <v>4099</v>
      </c>
      <c r="B4104" s="3" t="str">
        <f>"00194281"</f>
        <v>00194281</v>
      </c>
    </row>
    <row r="4105" spans="1:2" x14ac:dyDescent="0.25">
      <c r="A4105" s="2">
        <v>4100</v>
      </c>
      <c r="B4105" s="3" t="str">
        <f>"00194287"</f>
        <v>00194287</v>
      </c>
    </row>
    <row r="4106" spans="1:2" x14ac:dyDescent="0.25">
      <c r="A4106" s="2">
        <v>4101</v>
      </c>
      <c r="B4106" s="3" t="str">
        <f>"00194313"</f>
        <v>00194313</v>
      </c>
    </row>
    <row r="4107" spans="1:2" x14ac:dyDescent="0.25">
      <c r="A4107" s="2">
        <v>4102</v>
      </c>
      <c r="B4107" s="3" t="str">
        <f>"00194346"</f>
        <v>00194346</v>
      </c>
    </row>
    <row r="4108" spans="1:2" x14ac:dyDescent="0.25">
      <c r="A4108" s="2">
        <v>4103</v>
      </c>
      <c r="B4108" s="3" t="str">
        <f>"00194386"</f>
        <v>00194386</v>
      </c>
    </row>
    <row r="4109" spans="1:2" x14ac:dyDescent="0.25">
      <c r="A4109" s="2">
        <v>4104</v>
      </c>
      <c r="B4109" s="3" t="str">
        <f>"00194421"</f>
        <v>00194421</v>
      </c>
    </row>
    <row r="4110" spans="1:2" x14ac:dyDescent="0.25">
      <c r="A4110" s="2">
        <v>4105</v>
      </c>
      <c r="B4110" s="3" t="str">
        <f>"00194462"</f>
        <v>00194462</v>
      </c>
    </row>
    <row r="4111" spans="1:2" x14ac:dyDescent="0.25">
      <c r="A4111" s="2">
        <v>4106</v>
      </c>
      <c r="B4111" s="3" t="str">
        <f>"00194466"</f>
        <v>00194466</v>
      </c>
    </row>
    <row r="4112" spans="1:2" x14ac:dyDescent="0.25">
      <c r="A4112" s="2">
        <v>4107</v>
      </c>
      <c r="B4112" s="3" t="str">
        <f>"00194523"</f>
        <v>00194523</v>
      </c>
    </row>
    <row r="4113" spans="1:2" x14ac:dyDescent="0.25">
      <c r="A4113" s="2">
        <v>4108</v>
      </c>
      <c r="B4113" s="3" t="str">
        <f>"00194530"</f>
        <v>00194530</v>
      </c>
    </row>
    <row r="4114" spans="1:2" x14ac:dyDescent="0.25">
      <c r="A4114" s="2">
        <v>4109</v>
      </c>
      <c r="B4114" s="3" t="str">
        <f>"00194571"</f>
        <v>00194571</v>
      </c>
    </row>
    <row r="4115" spans="1:2" x14ac:dyDescent="0.25">
      <c r="A4115" s="2">
        <v>4110</v>
      </c>
      <c r="B4115" s="3" t="str">
        <f>"00194648"</f>
        <v>00194648</v>
      </c>
    </row>
    <row r="4116" spans="1:2" x14ac:dyDescent="0.25">
      <c r="A4116" s="2">
        <v>4111</v>
      </c>
      <c r="B4116" s="3" t="str">
        <f>"00194650"</f>
        <v>00194650</v>
      </c>
    </row>
    <row r="4117" spans="1:2" x14ac:dyDescent="0.25">
      <c r="A4117" s="2">
        <v>4112</v>
      </c>
      <c r="B4117" s="3" t="str">
        <f>"00194686"</f>
        <v>00194686</v>
      </c>
    </row>
    <row r="4118" spans="1:2" x14ac:dyDescent="0.25">
      <c r="A4118" s="2">
        <v>4113</v>
      </c>
      <c r="B4118" s="3" t="str">
        <f>"00194705"</f>
        <v>00194705</v>
      </c>
    </row>
    <row r="4119" spans="1:2" x14ac:dyDescent="0.25">
      <c r="A4119" s="2">
        <v>4114</v>
      </c>
      <c r="B4119" s="3" t="str">
        <f>"00194750"</f>
        <v>00194750</v>
      </c>
    </row>
    <row r="4120" spans="1:2" x14ac:dyDescent="0.25">
      <c r="A4120" s="2">
        <v>4115</v>
      </c>
      <c r="B4120" s="3" t="str">
        <f>"00194758"</f>
        <v>00194758</v>
      </c>
    </row>
    <row r="4121" spans="1:2" x14ac:dyDescent="0.25">
      <c r="A4121" s="2">
        <v>4116</v>
      </c>
      <c r="B4121" s="3" t="str">
        <f>"00194773"</f>
        <v>00194773</v>
      </c>
    </row>
    <row r="4122" spans="1:2" x14ac:dyDescent="0.25">
      <c r="A4122" s="2">
        <v>4117</v>
      </c>
      <c r="B4122" s="3" t="str">
        <f>"00194792"</f>
        <v>00194792</v>
      </c>
    </row>
    <row r="4123" spans="1:2" x14ac:dyDescent="0.25">
      <c r="A4123" s="2">
        <v>4118</v>
      </c>
      <c r="B4123" s="3" t="str">
        <f>"00194808"</f>
        <v>00194808</v>
      </c>
    </row>
    <row r="4124" spans="1:2" x14ac:dyDescent="0.25">
      <c r="A4124" s="2">
        <v>4119</v>
      </c>
      <c r="B4124" s="3" t="str">
        <f>"00194828"</f>
        <v>00194828</v>
      </c>
    </row>
    <row r="4125" spans="1:2" x14ac:dyDescent="0.25">
      <c r="A4125" s="2">
        <v>4120</v>
      </c>
      <c r="B4125" s="3" t="str">
        <f>"00194898"</f>
        <v>00194898</v>
      </c>
    </row>
    <row r="4126" spans="1:2" x14ac:dyDescent="0.25">
      <c r="A4126" s="2">
        <v>4121</v>
      </c>
      <c r="B4126" s="3" t="str">
        <f>"00194954"</f>
        <v>00194954</v>
      </c>
    </row>
    <row r="4127" spans="1:2" x14ac:dyDescent="0.25">
      <c r="A4127" s="2">
        <v>4122</v>
      </c>
      <c r="B4127" s="3" t="str">
        <f>"00195048"</f>
        <v>00195048</v>
      </c>
    </row>
    <row r="4128" spans="1:2" x14ac:dyDescent="0.25">
      <c r="A4128" s="2">
        <v>4123</v>
      </c>
      <c r="B4128" s="3" t="str">
        <f>"00195068"</f>
        <v>00195068</v>
      </c>
    </row>
    <row r="4129" spans="1:2" x14ac:dyDescent="0.25">
      <c r="A4129" s="2">
        <v>4124</v>
      </c>
      <c r="B4129" s="3" t="str">
        <f>"00195180"</f>
        <v>00195180</v>
      </c>
    </row>
    <row r="4130" spans="1:2" x14ac:dyDescent="0.25">
      <c r="A4130" s="2">
        <v>4125</v>
      </c>
      <c r="B4130" s="3" t="str">
        <f>"00195207"</f>
        <v>00195207</v>
      </c>
    </row>
    <row r="4131" spans="1:2" x14ac:dyDescent="0.25">
      <c r="A4131" s="2">
        <v>4126</v>
      </c>
      <c r="B4131" s="3" t="str">
        <f>"00195226"</f>
        <v>00195226</v>
      </c>
    </row>
    <row r="4132" spans="1:2" x14ac:dyDescent="0.25">
      <c r="A4132" s="2">
        <v>4127</v>
      </c>
      <c r="B4132" s="3" t="str">
        <f>"00195342"</f>
        <v>00195342</v>
      </c>
    </row>
    <row r="4133" spans="1:2" x14ac:dyDescent="0.25">
      <c r="A4133" s="2">
        <v>4128</v>
      </c>
      <c r="B4133" s="3" t="str">
        <f>"00195344"</f>
        <v>00195344</v>
      </c>
    </row>
    <row r="4134" spans="1:2" x14ac:dyDescent="0.25">
      <c r="A4134" s="2">
        <v>4129</v>
      </c>
      <c r="B4134" s="3" t="str">
        <f>"00195491"</f>
        <v>00195491</v>
      </c>
    </row>
    <row r="4135" spans="1:2" x14ac:dyDescent="0.25">
      <c r="A4135" s="2">
        <v>4130</v>
      </c>
      <c r="B4135" s="3" t="str">
        <f>"00195511"</f>
        <v>00195511</v>
      </c>
    </row>
    <row r="4136" spans="1:2" x14ac:dyDescent="0.25">
      <c r="A4136" s="2">
        <v>4131</v>
      </c>
      <c r="B4136" s="3" t="str">
        <f>"00195565"</f>
        <v>00195565</v>
      </c>
    </row>
    <row r="4137" spans="1:2" x14ac:dyDescent="0.25">
      <c r="A4137" s="2">
        <v>4132</v>
      </c>
      <c r="B4137" s="3" t="str">
        <f>"00195587"</f>
        <v>00195587</v>
      </c>
    </row>
    <row r="4138" spans="1:2" x14ac:dyDescent="0.25">
      <c r="A4138" s="2">
        <v>4133</v>
      </c>
      <c r="B4138" s="3" t="str">
        <f>"00195645"</f>
        <v>00195645</v>
      </c>
    </row>
    <row r="4139" spans="1:2" x14ac:dyDescent="0.25">
      <c r="A4139" s="2">
        <v>4134</v>
      </c>
      <c r="B4139" s="3" t="str">
        <f>"00195653"</f>
        <v>00195653</v>
      </c>
    </row>
    <row r="4140" spans="1:2" x14ac:dyDescent="0.25">
      <c r="A4140" s="2">
        <v>4135</v>
      </c>
      <c r="B4140" s="3" t="str">
        <f>"00195655"</f>
        <v>00195655</v>
      </c>
    </row>
    <row r="4141" spans="1:2" x14ac:dyDescent="0.25">
      <c r="A4141" s="2">
        <v>4136</v>
      </c>
      <c r="B4141" s="3" t="str">
        <f>"00195656"</f>
        <v>00195656</v>
      </c>
    </row>
    <row r="4142" spans="1:2" x14ac:dyDescent="0.25">
      <c r="A4142" s="2">
        <v>4137</v>
      </c>
      <c r="B4142" s="3" t="str">
        <f>"00195657"</f>
        <v>00195657</v>
      </c>
    </row>
    <row r="4143" spans="1:2" x14ac:dyDescent="0.25">
      <c r="A4143" s="2">
        <v>4138</v>
      </c>
      <c r="B4143" s="3" t="str">
        <f>"00195681"</f>
        <v>00195681</v>
      </c>
    </row>
    <row r="4144" spans="1:2" x14ac:dyDescent="0.25">
      <c r="A4144" s="2">
        <v>4139</v>
      </c>
      <c r="B4144" s="3" t="str">
        <f>"00195686"</f>
        <v>00195686</v>
      </c>
    </row>
    <row r="4145" spans="1:2" x14ac:dyDescent="0.25">
      <c r="A4145" s="2">
        <v>4140</v>
      </c>
      <c r="B4145" s="3" t="str">
        <f>"00195712"</f>
        <v>00195712</v>
      </c>
    </row>
    <row r="4146" spans="1:2" x14ac:dyDescent="0.25">
      <c r="A4146" s="2">
        <v>4141</v>
      </c>
      <c r="B4146" s="3" t="str">
        <f>"00195808"</f>
        <v>00195808</v>
      </c>
    </row>
    <row r="4147" spans="1:2" x14ac:dyDescent="0.25">
      <c r="A4147" s="2">
        <v>4142</v>
      </c>
      <c r="B4147" s="3" t="str">
        <f>"00195829"</f>
        <v>00195829</v>
      </c>
    </row>
    <row r="4148" spans="1:2" x14ac:dyDescent="0.25">
      <c r="A4148" s="2">
        <v>4143</v>
      </c>
      <c r="B4148" s="3" t="str">
        <f>"00195847"</f>
        <v>00195847</v>
      </c>
    </row>
    <row r="4149" spans="1:2" x14ac:dyDescent="0.25">
      <c r="A4149" s="2">
        <v>4144</v>
      </c>
      <c r="B4149" s="3" t="str">
        <f>"00195856"</f>
        <v>00195856</v>
      </c>
    </row>
    <row r="4150" spans="1:2" x14ac:dyDescent="0.25">
      <c r="A4150" s="2">
        <v>4145</v>
      </c>
      <c r="B4150" s="3" t="str">
        <f>"00195870"</f>
        <v>00195870</v>
      </c>
    </row>
    <row r="4151" spans="1:2" x14ac:dyDescent="0.25">
      <c r="A4151" s="2">
        <v>4146</v>
      </c>
      <c r="B4151" s="3" t="str">
        <f>"00195941"</f>
        <v>00195941</v>
      </c>
    </row>
    <row r="4152" spans="1:2" x14ac:dyDescent="0.25">
      <c r="A4152" s="2">
        <v>4147</v>
      </c>
      <c r="B4152" s="3" t="str">
        <f>"00196029"</f>
        <v>00196029</v>
      </c>
    </row>
    <row r="4153" spans="1:2" x14ac:dyDescent="0.25">
      <c r="A4153" s="2">
        <v>4148</v>
      </c>
      <c r="B4153" s="3" t="str">
        <f>"00196041"</f>
        <v>00196041</v>
      </c>
    </row>
    <row r="4154" spans="1:2" x14ac:dyDescent="0.25">
      <c r="A4154" s="2">
        <v>4149</v>
      </c>
      <c r="B4154" s="3" t="str">
        <f>"00196063"</f>
        <v>00196063</v>
      </c>
    </row>
    <row r="4155" spans="1:2" x14ac:dyDescent="0.25">
      <c r="A4155" s="2">
        <v>4150</v>
      </c>
      <c r="B4155" s="3" t="str">
        <f>"00196070"</f>
        <v>00196070</v>
      </c>
    </row>
    <row r="4156" spans="1:2" x14ac:dyDescent="0.25">
      <c r="A4156" s="2">
        <v>4151</v>
      </c>
      <c r="B4156" s="3" t="str">
        <f>"00196211"</f>
        <v>00196211</v>
      </c>
    </row>
    <row r="4157" spans="1:2" x14ac:dyDescent="0.25">
      <c r="A4157" s="2">
        <v>4152</v>
      </c>
      <c r="B4157" s="3" t="str">
        <f>"00196236"</f>
        <v>00196236</v>
      </c>
    </row>
    <row r="4158" spans="1:2" x14ac:dyDescent="0.25">
      <c r="A4158" s="2">
        <v>4153</v>
      </c>
      <c r="B4158" s="3" t="str">
        <f>"00196295"</f>
        <v>00196295</v>
      </c>
    </row>
    <row r="4159" spans="1:2" x14ac:dyDescent="0.25">
      <c r="A4159" s="2">
        <v>4154</v>
      </c>
      <c r="B4159" s="3" t="str">
        <f>"00196304"</f>
        <v>00196304</v>
      </c>
    </row>
    <row r="4160" spans="1:2" x14ac:dyDescent="0.25">
      <c r="A4160" s="2">
        <v>4155</v>
      </c>
      <c r="B4160" s="3" t="str">
        <f>"00196421"</f>
        <v>00196421</v>
      </c>
    </row>
    <row r="4161" spans="1:2" x14ac:dyDescent="0.25">
      <c r="A4161" s="2">
        <v>4156</v>
      </c>
      <c r="B4161" s="3" t="str">
        <f>"00196432"</f>
        <v>00196432</v>
      </c>
    </row>
    <row r="4162" spans="1:2" x14ac:dyDescent="0.25">
      <c r="A4162" s="2">
        <v>4157</v>
      </c>
      <c r="B4162" s="3" t="str">
        <f>"00196450"</f>
        <v>00196450</v>
      </c>
    </row>
    <row r="4163" spans="1:2" x14ac:dyDescent="0.25">
      <c r="A4163" s="2">
        <v>4158</v>
      </c>
      <c r="B4163" s="3" t="str">
        <f>"00196489"</f>
        <v>00196489</v>
      </c>
    </row>
    <row r="4164" spans="1:2" x14ac:dyDescent="0.25">
      <c r="A4164" s="2">
        <v>4159</v>
      </c>
      <c r="B4164" s="3" t="str">
        <f>"00196494"</f>
        <v>00196494</v>
      </c>
    </row>
    <row r="4165" spans="1:2" x14ac:dyDescent="0.25">
      <c r="A4165" s="2">
        <v>4160</v>
      </c>
      <c r="B4165" s="3" t="str">
        <f>"00196500"</f>
        <v>00196500</v>
      </c>
    </row>
    <row r="4166" spans="1:2" x14ac:dyDescent="0.25">
      <c r="A4166" s="2">
        <v>4161</v>
      </c>
      <c r="B4166" s="3" t="str">
        <f>"00196503"</f>
        <v>00196503</v>
      </c>
    </row>
    <row r="4167" spans="1:2" x14ac:dyDescent="0.25">
      <c r="A4167" s="2">
        <v>4162</v>
      </c>
      <c r="B4167" s="3" t="str">
        <f>"00196514"</f>
        <v>00196514</v>
      </c>
    </row>
    <row r="4168" spans="1:2" x14ac:dyDescent="0.25">
      <c r="A4168" s="2">
        <v>4163</v>
      </c>
      <c r="B4168" s="3" t="str">
        <f>"00196535"</f>
        <v>00196535</v>
      </c>
    </row>
    <row r="4169" spans="1:2" x14ac:dyDescent="0.25">
      <c r="A4169" s="2">
        <v>4164</v>
      </c>
      <c r="B4169" s="3" t="str">
        <f>"00196601"</f>
        <v>00196601</v>
      </c>
    </row>
    <row r="4170" spans="1:2" x14ac:dyDescent="0.25">
      <c r="A4170" s="2">
        <v>4165</v>
      </c>
      <c r="B4170" s="3" t="str">
        <f>"00196617"</f>
        <v>00196617</v>
      </c>
    </row>
    <row r="4171" spans="1:2" x14ac:dyDescent="0.25">
      <c r="A4171" s="2">
        <v>4166</v>
      </c>
      <c r="B4171" s="3" t="str">
        <f>"00196655"</f>
        <v>00196655</v>
      </c>
    </row>
    <row r="4172" spans="1:2" x14ac:dyDescent="0.25">
      <c r="A4172" s="2">
        <v>4167</v>
      </c>
      <c r="B4172" s="3" t="str">
        <f>"00196697"</f>
        <v>00196697</v>
      </c>
    </row>
    <row r="4173" spans="1:2" x14ac:dyDescent="0.25">
      <c r="A4173" s="2">
        <v>4168</v>
      </c>
      <c r="B4173" s="3" t="str">
        <f>"00196698"</f>
        <v>00196698</v>
      </c>
    </row>
    <row r="4174" spans="1:2" x14ac:dyDescent="0.25">
      <c r="A4174" s="2">
        <v>4169</v>
      </c>
      <c r="B4174" s="3" t="str">
        <f>"00196760"</f>
        <v>00196760</v>
      </c>
    </row>
    <row r="4175" spans="1:2" x14ac:dyDescent="0.25">
      <c r="A4175" s="2">
        <v>4170</v>
      </c>
      <c r="B4175" s="3" t="str">
        <f>"00196764"</f>
        <v>00196764</v>
      </c>
    </row>
    <row r="4176" spans="1:2" x14ac:dyDescent="0.25">
      <c r="A4176" s="2">
        <v>4171</v>
      </c>
      <c r="B4176" s="3" t="str">
        <f>"00196789"</f>
        <v>00196789</v>
      </c>
    </row>
    <row r="4177" spans="1:2" x14ac:dyDescent="0.25">
      <c r="A4177" s="2">
        <v>4172</v>
      </c>
      <c r="B4177" s="3" t="str">
        <f>"00196805"</f>
        <v>00196805</v>
      </c>
    </row>
    <row r="4178" spans="1:2" x14ac:dyDescent="0.25">
      <c r="A4178" s="2">
        <v>4173</v>
      </c>
      <c r="B4178" s="3" t="str">
        <f>"00196823"</f>
        <v>00196823</v>
      </c>
    </row>
    <row r="4179" spans="1:2" x14ac:dyDescent="0.25">
      <c r="A4179" s="2">
        <v>4174</v>
      </c>
      <c r="B4179" s="3" t="str">
        <f>"00196853"</f>
        <v>00196853</v>
      </c>
    </row>
    <row r="4180" spans="1:2" x14ac:dyDescent="0.25">
      <c r="A4180" s="2">
        <v>4175</v>
      </c>
      <c r="B4180" s="3" t="str">
        <f>"00196865"</f>
        <v>00196865</v>
      </c>
    </row>
    <row r="4181" spans="1:2" x14ac:dyDescent="0.25">
      <c r="A4181" s="2">
        <v>4176</v>
      </c>
      <c r="B4181" s="3" t="str">
        <f>"00196872"</f>
        <v>00196872</v>
      </c>
    </row>
    <row r="4182" spans="1:2" x14ac:dyDescent="0.25">
      <c r="A4182" s="2">
        <v>4177</v>
      </c>
      <c r="B4182" s="3" t="str">
        <f>"00197032"</f>
        <v>00197032</v>
      </c>
    </row>
    <row r="4183" spans="1:2" x14ac:dyDescent="0.25">
      <c r="A4183" s="2">
        <v>4178</v>
      </c>
      <c r="B4183" s="3" t="str">
        <f>"00197116"</f>
        <v>00197116</v>
      </c>
    </row>
    <row r="4184" spans="1:2" x14ac:dyDescent="0.25">
      <c r="A4184" s="2">
        <v>4179</v>
      </c>
      <c r="B4184" s="3" t="str">
        <f>"00197140"</f>
        <v>00197140</v>
      </c>
    </row>
    <row r="4185" spans="1:2" x14ac:dyDescent="0.25">
      <c r="A4185" s="2">
        <v>4180</v>
      </c>
      <c r="B4185" s="3" t="str">
        <f>"00197197"</f>
        <v>00197197</v>
      </c>
    </row>
    <row r="4186" spans="1:2" x14ac:dyDescent="0.25">
      <c r="A4186" s="2">
        <v>4181</v>
      </c>
      <c r="B4186" s="3" t="str">
        <f>"00197236"</f>
        <v>00197236</v>
      </c>
    </row>
    <row r="4187" spans="1:2" x14ac:dyDescent="0.25">
      <c r="A4187" s="2">
        <v>4182</v>
      </c>
      <c r="B4187" s="3" t="str">
        <f>"00197269"</f>
        <v>00197269</v>
      </c>
    </row>
    <row r="4188" spans="1:2" x14ac:dyDescent="0.25">
      <c r="A4188" s="2">
        <v>4183</v>
      </c>
      <c r="B4188" s="3" t="str">
        <f>"00197287"</f>
        <v>00197287</v>
      </c>
    </row>
    <row r="4189" spans="1:2" x14ac:dyDescent="0.25">
      <c r="A4189" s="2">
        <v>4184</v>
      </c>
      <c r="B4189" s="3" t="str">
        <f>"00197338"</f>
        <v>00197338</v>
      </c>
    </row>
    <row r="4190" spans="1:2" x14ac:dyDescent="0.25">
      <c r="A4190" s="2">
        <v>4185</v>
      </c>
      <c r="B4190" s="3" t="str">
        <f>"00197388"</f>
        <v>00197388</v>
      </c>
    </row>
    <row r="4191" spans="1:2" x14ac:dyDescent="0.25">
      <c r="A4191" s="2">
        <v>4186</v>
      </c>
      <c r="B4191" s="3" t="str">
        <f>"00197435"</f>
        <v>00197435</v>
      </c>
    </row>
    <row r="4192" spans="1:2" x14ac:dyDescent="0.25">
      <c r="A4192" s="2">
        <v>4187</v>
      </c>
      <c r="B4192" s="3" t="str">
        <f>"00197453"</f>
        <v>00197453</v>
      </c>
    </row>
    <row r="4193" spans="1:2" x14ac:dyDescent="0.25">
      <c r="A4193" s="2">
        <v>4188</v>
      </c>
      <c r="B4193" s="3" t="str">
        <f>"00197483"</f>
        <v>00197483</v>
      </c>
    </row>
    <row r="4194" spans="1:2" x14ac:dyDescent="0.25">
      <c r="A4194" s="2">
        <v>4189</v>
      </c>
      <c r="B4194" s="3" t="str">
        <f>"00197486"</f>
        <v>00197486</v>
      </c>
    </row>
    <row r="4195" spans="1:2" x14ac:dyDescent="0.25">
      <c r="A4195" s="2">
        <v>4190</v>
      </c>
      <c r="B4195" s="3" t="str">
        <f>"00197517"</f>
        <v>00197517</v>
      </c>
    </row>
    <row r="4196" spans="1:2" x14ac:dyDescent="0.25">
      <c r="A4196" s="2">
        <v>4191</v>
      </c>
      <c r="B4196" s="3" t="str">
        <f>"00197518"</f>
        <v>00197518</v>
      </c>
    </row>
    <row r="4197" spans="1:2" x14ac:dyDescent="0.25">
      <c r="A4197" s="2">
        <v>4192</v>
      </c>
      <c r="B4197" s="3" t="str">
        <f>"00197598"</f>
        <v>00197598</v>
      </c>
    </row>
    <row r="4198" spans="1:2" x14ac:dyDescent="0.25">
      <c r="A4198" s="2">
        <v>4193</v>
      </c>
      <c r="B4198" s="3" t="str">
        <f>"00197618"</f>
        <v>00197618</v>
      </c>
    </row>
    <row r="4199" spans="1:2" x14ac:dyDescent="0.25">
      <c r="A4199" s="2">
        <v>4194</v>
      </c>
      <c r="B4199" s="3" t="str">
        <f>"00197622"</f>
        <v>00197622</v>
      </c>
    </row>
    <row r="4200" spans="1:2" x14ac:dyDescent="0.25">
      <c r="A4200" s="2">
        <v>4195</v>
      </c>
      <c r="B4200" s="3" t="str">
        <f>"00197643"</f>
        <v>00197643</v>
      </c>
    </row>
    <row r="4201" spans="1:2" x14ac:dyDescent="0.25">
      <c r="A4201" s="2">
        <v>4196</v>
      </c>
      <c r="B4201" s="3" t="str">
        <f>"00197645"</f>
        <v>00197645</v>
      </c>
    </row>
    <row r="4202" spans="1:2" x14ac:dyDescent="0.25">
      <c r="A4202" s="2">
        <v>4197</v>
      </c>
      <c r="B4202" s="3" t="str">
        <f>"00197651"</f>
        <v>00197651</v>
      </c>
    </row>
    <row r="4203" spans="1:2" x14ac:dyDescent="0.25">
      <c r="A4203" s="2">
        <v>4198</v>
      </c>
      <c r="B4203" s="3" t="str">
        <f>"00197664"</f>
        <v>00197664</v>
      </c>
    </row>
    <row r="4204" spans="1:2" x14ac:dyDescent="0.25">
      <c r="A4204" s="2">
        <v>4199</v>
      </c>
      <c r="B4204" s="3" t="str">
        <f>"00197685"</f>
        <v>00197685</v>
      </c>
    </row>
    <row r="4205" spans="1:2" x14ac:dyDescent="0.25">
      <c r="A4205" s="2">
        <v>4200</v>
      </c>
      <c r="B4205" s="3" t="str">
        <f>"00197691"</f>
        <v>00197691</v>
      </c>
    </row>
    <row r="4206" spans="1:2" x14ac:dyDescent="0.25">
      <c r="A4206" s="2">
        <v>4201</v>
      </c>
      <c r="B4206" s="3" t="str">
        <f>"00197699"</f>
        <v>00197699</v>
      </c>
    </row>
    <row r="4207" spans="1:2" x14ac:dyDescent="0.25">
      <c r="A4207" s="2">
        <v>4202</v>
      </c>
      <c r="B4207" s="3" t="str">
        <f>"00197717"</f>
        <v>00197717</v>
      </c>
    </row>
    <row r="4208" spans="1:2" x14ac:dyDescent="0.25">
      <c r="A4208" s="2">
        <v>4203</v>
      </c>
      <c r="B4208" s="3" t="str">
        <f>"00197722"</f>
        <v>00197722</v>
      </c>
    </row>
    <row r="4209" spans="1:2" x14ac:dyDescent="0.25">
      <c r="A4209" s="2">
        <v>4204</v>
      </c>
      <c r="B4209" s="3" t="str">
        <f>"00197758"</f>
        <v>00197758</v>
      </c>
    </row>
    <row r="4210" spans="1:2" x14ac:dyDescent="0.25">
      <c r="A4210" s="2">
        <v>4205</v>
      </c>
      <c r="B4210" s="3" t="str">
        <f>"00197767"</f>
        <v>00197767</v>
      </c>
    </row>
    <row r="4211" spans="1:2" x14ac:dyDescent="0.25">
      <c r="A4211" s="2">
        <v>4206</v>
      </c>
      <c r="B4211" s="3" t="str">
        <f>"00197796"</f>
        <v>00197796</v>
      </c>
    </row>
    <row r="4212" spans="1:2" x14ac:dyDescent="0.25">
      <c r="A4212" s="2">
        <v>4207</v>
      </c>
      <c r="B4212" s="3" t="str">
        <f>"00197806"</f>
        <v>00197806</v>
      </c>
    </row>
    <row r="4213" spans="1:2" x14ac:dyDescent="0.25">
      <c r="A4213" s="2">
        <v>4208</v>
      </c>
      <c r="B4213" s="3" t="str">
        <f>"00197852"</f>
        <v>00197852</v>
      </c>
    </row>
    <row r="4214" spans="1:2" x14ac:dyDescent="0.25">
      <c r="A4214" s="2">
        <v>4209</v>
      </c>
      <c r="B4214" s="3" t="str">
        <f>"00197869"</f>
        <v>00197869</v>
      </c>
    </row>
    <row r="4215" spans="1:2" x14ac:dyDescent="0.25">
      <c r="A4215" s="2">
        <v>4210</v>
      </c>
      <c r="B4215" s="3" t="str">
        <f>"00197884"</f>
        <v>00197884</v>
      </c>
    </row>
    <row r="4216" spans="1:2" x14ac:dyDescent="0.25">
      <c r="A4216" s="2">
        <v>4211</v>
      </c>
      <c r="B4216" s="3" t="str">
        <f>"00197889"</f>
        <v>00197889</v>
      </c>
    </row>
    <row r="4217" spans="1:2" x14ac:dyDescent="0.25">
      <c r="A4217" s="2">
        <v>4212</v>
      </c>
      <c r="B4217" s="3" t="str">
        <f>"00197912"</f>
        <v>00197912</v>
      </c>
    </row>
    <row r="4218" spans="1:2" x14ac:dyDescent="0.25">
      <c r="A4218" s="2">
        <v>4213</v>
      </c>
      <c r="B4218" s="3" t="str">
        <f>"00197967"</f>
        <v>00197967</v>
      </c>
    </row>
    <row r="4219" spans="1:2" x14ac:dyDescent="0.25">
      <c r="A4219" s="2">
        <v>4214</v>
      </c>
      <c r="B4219" s="3" t="str">
        <f>"00197981"</f>
        <v>00197981</v>
      </c>
    </row>
    <row r="4220" spans="1:2" x14ac:dyDescent="0.25">
      <c r="A4220" s="2">
        <v>4215</v>
      </c>
      <c r="B4220" s="3" t="str">
        <f>"00197994"</f>
        <v>00197994</v>
      </c>
    </row>
    <row r="4221" spans="1:2" x14ac:dyDescent="0.25">
      <c r="A4221" s="2">
        <v>4216</v>
      </c>
      <c r="B4221" s="3" t="str">
        <f>"00198021"</f>
        <v>00198021</v>
      </c>
    </row>
    <row r="4222" spans="1:2" x14ac:dyDescent="0.25">
      <c r="A4222" s="2">
        <v>4217</v>
      </c>
      <c r="B4222" s="3" t="str">
        <f>"00198026"</f>
        <v>00198026</v>
      </c>
    </row>
    <row r="4223" spans="1:2" x14ac:dyDescent="0.25">
      <c r="A4223" s="2">
        <v>4218</v>
      </c>
      <c r="B4223" s="3" t="str">
        <f>"00198027"</f>
        <v>00198027</v>
      </c>
    </row>
    <row r="4224" spans="1:2" x14ac:dyDescent="0.25">
      <c r="A4224" s="2">
        <v>4219</v>
      </c>
      <c r="B4224" s="3" t="str">
        <f>"00198090"</f>
        <v>00198090</v>
      </c>
    </row>
    <row r="4225" spans="1:2" x14ac:dyDescent="0.25">
      <c r="A4225" s="2">
        <v>4220</v>
      </c>
      <c r="B4225" s="3" t="str">
        <f>"00198099"</f>
        <v>00198099</v>
      </c>
    </row>
    <row r="4226" spans="1:2" x14ac:dyDescent="0.25">
      <c r="A4226" s="2">
        <v>4221</v>
      </c>
      <c r="B4226" s="3" t="str">
        <f>"00198101"</f>
        <v>00198101</v>
      </c>
    </row>
    <row r="4227" spans="1:2" x14ac:dyDescent="0.25">
      <c r="A4227" s="2">
        <v>4222</v>
      </c>
      <c r="B4227" s="3" t="str">
        <f>"00198102"</f>
        <v>00198102</v>
      </c>
    </row>
    <row r="4228" spans="1:2" x14ac:dyDescent="0.25">
      <c r="A4228" s="2">
        <v>4223</v>
      </c>
      <c r="B4228" s="3" t="str">
        <f>"00198141"</f>
        <v>00198141</v>
      </c>
    </row>
    <row r="4229" spans="1:2" x14ac:dyDescent="0.25">
      <c r="A4229" s="2">
        <v>4224</v>
      </c>
      <c r="B4229" s="3" t="str">
        <f>"00198150"</f>
        <v>00198150</v>
      </c>
    </row>
    <row r="4230" spans="1:2" x14ac:dyDescent="0.25">
      <c r="A4230" s="2">
        <v>4225</v>
      </c>
      <c r="B4230" s="3" t="str">
        <f>"00198153"</f>
        <v>00198153</v>
      </c>
    </row>
    <row r="4231" spans="1:2" x14ac:dyDescent="0.25">
      <c r="A4231" s="2">
        <v>4226</v>
      </c>
      <c r="B4231" s="3" t="str">
        <f>"00198180"</f>
        <v>00198180</v>
      </c>
    </row>
    <row r="4232" spans="1:2" x14ac:dyDescent="0.25">
      <c r="A4232" s="2">
        <v>4227</v>
      </c>
      <c r="B4232" s="3" t="str">
        <f>"00198185"</f>
        <v>00198185</v>
      </c>
    </row>
    <row r="4233" spans="1:2" x14ac:dyDescent="0.25">
      <c r="A4233" s="2">
        <v>4228</v>
      </c>
      <c r="B4233" s="3" t="str">
        <f>"00198201"</f>
        <v>00198201</v>
      </c>
    </row>
    <row r="4234" spans="1:2" x14ac:dyDescent="0.25">
      <c r="A4234" s="2">
        <v>4229</v>
      </c>
      <c r="B4234" s="3" t="str">
        <f>"00198234"</f>
        <v>00198234</v>
      </c>
    </row>
    <row r="4235" spans="1:2" x14ac:dyDescent="0.25">
      <c r="A4235" s="2">
        <v>4230</v>
      </c>
      <c r="B4235" s="3" t="str">
        <f>"00198301"</f>
        <v>00198301</v>
      </c>
    </row>
    <row r="4236" spans="1:2" x14ac:dyDescent="0.25">
      <c r="A4236" s="2">
        <v>4231</v>
      </c>
      <c r="B4236" s="3" t="str">
        <f>"00198341"</f>
        <v>00198341</v>
      </c>
    </row>
    <row r="4237" spans="1:2" x14ac:dyDescent="0.25">
      <c r="A4237" s="2">
        <v>4232</v>
      </c>
      <c r="B4237" s="3" t="str">
        <f>"00198344"</f>
        <v>00198344</v>
      </c>
    </row>
    <row r="4238" spans="1:2" x14ac:dyDescent="0.25">
      <c r="A4238" s="2">
        <v>4233</v>
      </c>
      <c r="B4238" s="3" t="str">
        <f>"00198364"</f>
        <v>00198364</v>
      </c>
    </row>
    <row r="4239" spans="1:2" x14ac:dyDescent="0.25">
      <c r="A4239" s="2">
        <v>4234</v>
      </c>
      <c r="B4239" s="3" t="str">
        <f>"00198403"</f>
        <v>00198403</v>
      </c>
    </row>
    <row r="4240" spans="1:2" x14ac:dyDescent="0.25">
      <c r="A4240" s="2">
        <v>4235</v>
      </c>
      <c r="B4240" s="3" t="str">
        <f>"00198461"</f>
        <v>00198461</v>
      </c>
    </row>
    <row r="4241" spans="1:2" x14ac:dyDescent="0.25">
      <c r="A4241" s="2">
        <v>4236</v>
      </c>
      <c r="B4241" s="3" t="str">
        <f>"00198693"</f>
        <v>00198693</v>
      </c>
    </row>
    <row r="4242" spans="1:2" x14ac:dyDescent="0.25">
      <c r="A4242" s="2">
        <v>4237</v>
      </c>
      <c r="B4242" s="3" t="str">
        <f>"00198716"</f>
        <v>00198716</v>
      </c>
    </row>
    <row r="4243" spans="1:2" x14ac:dyDescent="0.25">
      <c r="A4243" s="2">
        <v>4238</v>
      </c>
      <c r="B4243" s="3" t="str">
        <f>"00198740"</f>
        <v>00198740</v>
      </c>
    </row>
    <row r="4244" spans="1:2" x14ac:dyDescent="0.25">
      <c r="A4244" s="2">
        <v>4239</v>
      </c>
      <c r="B4244" s="3" t="str">
        <f>"00198746"</f>
        <v>00198746</v>
      </c>
    </row>
    <row r="4245" spans="1:2" x14ac:dyDescent="0.25">
      <c r="A4245" s="2">
        <v>4240</v>
      </c>
      <c r="B4245" s="3" t="str">
        <f>"00198784"</f>
        <v>00198784</v>
      </c>
    </row>
    <row r="4246" spans="1:2" x14ac:dyDescent="0.25">
      <c r="A4246" s="2">
        <v>4241</v>
      </c>
      <c r="B4246" s="3" t="str">
        <f>"00198804"</f>
        <v>00198804</v>
      </c>
    </row>
    <row r="4247" spans="1:2" x14ac:dyDescent="0.25">
      <c r="A4247" s="2">
        <v>4242</v>
      </c>
      <c r="B4247" s="3" t="str">
        <f>"00198822"</f>
        <v>00198822</v>
      </c>
    </row>
    <row r="4248" spans="1:2" x14ac:dyDescent="0.25">
      <c r="A4248" s="2">
        <v>4243</v>
      </c>
      <c r="B4248" s="3" t="str">
        <f>"00198889"</f>
        <v>00198889</v>
      </c>
    </row>
    <row r="4249" spans="1:2" x14ac:dyDescent="0.25">
      <c r="A4249" s="2">
        <v>4244</v>
      </c>
      <c r="B4249" s="3" t="str">
        <f>"00198895"</f>
        <v>00198895</v>
      </c>
    </row>
    <row r="4250" spans="1:2" x14ac:dyDescent="0.25">
      <c r="A4250" s="2">
        <v>4245</v>
      </c>
      <c r="B4250" s="3" t="str">
        <f>"00198912"</f>
        <v>00198912</v>
      </c>
    </row>
    <row r="4251" spans="1:2" x14ac:dyDescent="0.25">
      <c r="A4251" s="2">
        <v>4246</v>
      </c>
      <c r="B4251" s="3" t="str">
        <f>"00198937"</f>
        <v>00198937</v>
      </c>
    </row>
    <row r="4252" spans="1:2" x14ac:dyDescent="0.25">
      <c r="A4252" s="2">
        <v>4247</v>
      </c>
      <c r="B4252" s="3" t="str">
        <f>"00198941"</f>
        <v>00198941</v>
      </c>
    </row>
    <row r="4253" spans="1:2" x14ac:dyDescent="0.25">
      <c r="A4253" s="2">
        <v>4248</v>
      </c>
      <c r="B4253" s="3" t="str">
        <f>"00198965"</f>
        <v>00198965</v>
      </c>
    </row>
    <row r="4254" spans="1:2" x14ac:dyDescent="0.25">
      <c r="A4254" s="2">
        <v>4249</v>
      </c>
      <c r="B4254" s="3" t="str">
        <f>"00198974"</f>
        <v>00198974</v>
      </c>
    </row>
    <row r="4255" spans="1:2" x14ac:dyDescent="0.25">
      <c r="A4255" s="2">
        <v>4250</v>
      </c>
      <c r="B4255" s="3" t="str">
        <f>"00198978"</f>
        <v>00198978</v>
      </c>
    </row>
    <row r="4256" spans="1:2" x14ac:dyDescent="0.25">
      <c r="A4256" s="2">
        <v>4251</v>
      </c>
      <c r="B4256" s="3" t="str">
        <f>"00198980"</f>
        <v>00198980</v>
      </c>
    </row>
    <row r="4257" spans="1:2" x14ac:dyDescent="0.25">
      <c r="A4257" s="2">
        <v>4252</v>
      </c>
      <c r="B4257" s="3" t="str">
        <f>"00198999"</f>
        <v>00198999</v>
      </c>
    </row>
    <row r="4258" spans="1:2" x14ac:dyDescent="0.25">
      <c r="A4258" s="2">
        <v>4253</v>
      </c>
      <c r="B4258" s="3" t="str">
        <f>"00199003"</f>
        <v>00199003</v>
      </c>
    </row>
    <row r="4259" spans="1:2" x14ac:dyDescent="0.25">
      <c r="A4259" s="2">
        <v>4254</v>
      </c>
      <c r="B4259" s="3" t="str">
        <f>"00199046"</f>
        <v>00199046</v>
      </c>
    </row>
    <row r="4260" spans="1:2" x14ac:dyDescent="0.25">
      <c r="A4260" s="2">
        <v>4255</v>
      </c>
      <c r="B4260" s="3" t="str">
        <f>"00199071"</f>
        <v>00199071</v>
      </c>
    </row>
    <row r="4261" spans="1:2" x14ac:dyDescent="0.25">
      <c r="A4261" s="2">
        <v>4256</v>
      </c>
      <c r="B4261" s="3" t="str">
        <f>"00199081"</f>
        <v>00199081</v>
      </c>
    </row>
    <row r="4262" spans="1:2" x14ac:dyDescent="0.25">
      <c r="A4262" s="2">
        <v>4257</v>
      </c>
      <c r="B4262" s="3" t="str">
        <f>"00199096"</f>
        <v>00199096</v>
      </c>
    </row>
    <row r="4263" spans="1:2" x14ac:dyDescent="0.25">
      <c r="A4263" s="2">
        <v>4258</v>
      </c>
      <c r="B4263" s="3" t="str">
        <f>"00199102"</f>
        <v>00199102</v>
      </c>
    </row>
    <row r="4264" spans="1:2" x14ac:dyDescent="0.25">
      <c r="A4264" s="2">
        <v>4259</v>
      </c>
      <c r="B4264" s="3" t="str">
        <f>"00199105"</f>
        <v>00199105</v>
      </c>
    </row>
    <row r="4265" spans="1:2" x14ac:dyDescent="0.25">
      <c r="A4265" s="2">
        <v>4260</v>
      </c>
      <c r="B4265" s="3" t="str">
        <f>"00199190"</f>
        <v>00199190</v>
      </c>
    </row>
    <row r="4266" spans="1:2" x14ac:dyDescent="0.25">
      <c r="A4266" s="2">
        <v>4261</v>
      </c>
      <c r="B4266" s="3" t="str">
        <f>"00199200"</f>
        <v>00199200</v>
      </c>
    </row>
    <row r="4267" spans="1:2" x14ac:dyDescent="0.25">
      <c r="A4267" s="2">
        <v>4262</v>
      </c>
      <c r="B4267" s="3" t="str">
        <f>"00199202"</f>
        <v>00199202</v>
      </c>
    </row>
    <row r="4268" spans="1:2" x14ac:dyDescent="0.25">
      <c r="A4268" s="2">
        <v>4263</v>
      </c>
      <c r="B4268" s="3" t="str">
        <f>"00199258"</f>
        <v>00199258</v>
      </c>
    </row>
    <row r="4269" spans="1:2" x14ac:dyDescent="0.25">
      <c r="A4269" s="2">
        <v>4264</v>
      </c>
      <c r="B4269" s="3" t="str">
        <f>"00199277"</f>
        <v>00199277</v>
      </c>
    </row>
    <row r="4270" spans="1:2" x14ac:dyDescent="0.25">
      <c r="A4270" s="2">
        <v>4265</v>
      </c>
      <c r="B4270" s="3" t="str">
        <f>"00199295"</f>
        <v>00199295</v>
      </c>
    </row>
    <row r="4271" spans="1:2" x14ac:dyDescent="0.25">
      <c r="A4271" s="2">
        <v>4266</v>
      </c>
      <c r="B4271" s="3" t="str">
        <f>"00199346"</f>
        <v>00199346</v>
      </c>
    </row>
    <row r="4272" spans="1:2" x14ac:dyDescent="0.25">
      <c r="A4272" s="2">
        <v>4267</v>
      </c>
      <c r="B4272" s="3" t="str">
        <f>"00199490"</f>
        <v>00199490</v>
      </c>
    </row>
    <row r="4273" spans="1:2" x14ac:dyDescent="0.25">
      <c r="A4273" s="2">
        <v>4268</v>
      </c>
      <c r="B4273" s="3" t="str">
        <f>"00199492"</f>
        <v>00199492</v>
      </c>
    </row>
    <row r="4274" spans="1:2" x14ac:dyDescent="0.25">
      <c r="A4274" s="2">
        <v>4269</v>
      </c>
      <c r="B4274" s="3" t="str">
        <f>"00199508"</f>
        <v>00199508</v>
      </c>
    </row>
    <row r="4275" spans="1:2" x14ac:dyDescent="0.25">
      <c r="A4275" s="2">
        <v>4270</v>
      </c>
      <c r="B4275" s="3" t="str">
        <f>"00199564"</f>
        <v>00199564</v>
      </c>
    </row>
    <row r="4276" spans="1:2" x14ac:dyDescent="0.25">
      <c r="A4276" s="2">
        <v>4271</v>
      </c>
      <c r="B4276" s="3" t="str">
        <f>"00199573"</f>
        <v>00199573</v>
      </c>
    </row>
    <row r="4277" spans="1:2" x14ac:dyDescent="0.25">
      <c r="A4277" s="2">
        <v>4272</v>
      </c>
      <c r="B4277" s="3" t="str">
        <f>"00199618"</f>
        <v>00199618</v>
      </c>
    </row>
    <row r="4278" spans="1:2" x14ac:dyDescent="0.25">
      <c r="A4278" s="2">
        <v>4273</v>
      </c>
      <c r="B4278" s="3" t="str">
        <f>"00199619"</f>
        <v>00199619</v>
      </c>
    </row>
    <row r="4279" spans="1:2" x14ac:dyDescent="0.25">
      <c r="A4279" s="2">
        <v>4274</v>
      </c>
      <c r="B4279" s="3" t="str">
        <f>"00199622"</f>
        <v>00199622</v>
      </c>
    </row>
    <row r="4280" spans="1:2" x14ac:dyDescent="0.25">
      <c r="A4280" s="2">
        <v>4275</v>
      </c>
      <c r="B4280" s="3" t="str">
        <f>"00199627"</f>
        <v>00199627</v>
      </c>
    </row>
    <row r="4281" spans="1:2" x14ac:dyDescent="0.25">
      <c r="A4281" s="2">
        <v>4276</v>
      </c>
      <c r="B4281" s="3" t="str">
        <f>"00199648"</f>
        <v>00199648</v>
      </c>
    </row>
    <row r="4282" spans="1:2" x14ac:dyDescent="0.25">
      <c r="A4282" s="2">
        <v>4277</v>
      </c>
      <c r="B4282" s="3" t="str">
        <f>"00199689"</f>
        <v>00199689</v>
      </c>
    </row>
    <row r="4283" spans="1:2" x14ac:dyDescent="0.25">
      <c r="A4283" s="2">
        <v>4278</v>
      </c>
      <c r="B4283" s="3" t="str">
        <f>"00199710"</f>
        <v>00199710</v>
      </c>
    </row>
    <row r="4284" spans="1:2" x14ac:dyDescent="0.25">
      <c r="A4284" s="2">
        <v>4279</v>
      </c>
      <c r="B4284" s="3" t="str">
        <f>"00199754"</f>
        <v>00199754</v>
      </c>
    </row>
    <row r="4285" spans="1:2" x14ac:dyDescent="0.25">
      <c r="A4285" s="2">
        <v>4280</v>
      </c>
      <c r="B4285" s="3" t="str">
        <f>"00199794"</f>
        <v>00199794</v>
      </c>
    </row>
    <row r="4286" spans="1:2" x14ac:dyDescent="0.25">
      <c r="A4286" s="2">
        <v>4281</v>
      </c>
      <c r="B4286" s="3" t="str">
        <f>"00199853"</f>
        <v>00199853</v>
      </c>
    </row>
    <row r="4287" spans="1:2" x14ac:dyDescent="0.25">
      <c r="A4287" s="2">
        <v>4282</v>
      </c>
      <c r="B4287" s="3" t="str">
        <f>"00199876"</f>
        <v>00199876</v>
      </c>
    </row>
    <row r="4288" spans="1:2" x14ac:dyDescent="0.25">
      <c r="A4288" s="2">
        <v>4283</v>
      </c>
      <c r="B4288" s="3" t="str">
        <f>"00199906"</f>
        <v>00199906</v>
      </c>
    </row>
    <row r="4289" spans="1:2" x14ac:dyDescent="0.25">
      <c r="A4289" s="2">
        <v>4284</v>
      </c>
      <c r="B4289" s="3" t="str">
        <f>"00199917"</f>
        <v>00199917</v>
      </c>
    </row>
    <row r="4290" spans="1:2" x14ac:dyDescent="0.25">
      <c r="A4290" s="2">
        <v>4285</v>
      </c>
      <c r="B4290" s="3" t="str">
        <f>"00199933"</f>
        <v>00199933</v>
      </c>
    </row>
    <row r="4291" spans="1:2" x14ac:dyDescent="0.25">
      <c r="A4291" s="2">
        <v>4286</v>
      </c>
      <c r="B4291" s="3" t="str">
        <f>"00199934"</f>
        <v>00199934</v>
      </c>
    </row>
    <row r="4292" spans="1:2" x14ac:dyDescent="0.25">
      <c r="A4292" s="2">
        <v>4287</v>
      </c>
      <c r="B4292" s="3" t="str">
        <f>"00199972"</f>
        <v>00199972</v>
      </c>
    </row>
    <row r="4293" spans="1:2" x14ac:dyDescent="0.25">
      <c r="A4293" s="2">
        <v>4288</v>
      </c>
      <c r="B4293" s="3" t="str">
        <f>"00200046"</f>
        <v>00200046</v>
      </c>
    </row>
    <row r="4294" spans="1:2" x14ac:dyDescent="0.25">
      <c r="A4294" s="2">
        <v>4289</v>
      </c>
      <c r="B4294" s="3" t="str">
        <f>"00200084"</f>
        <v>00200084</v>
      </c>
    </row>
    <row r="4295" spans="1:2" x14ac:dyDescent="0.25">
      <c r="A4295" s="2">
        <v>4290</v>
      </c>
      <c r="B4295" s="3" t="str">
        <f>"00200085"</f>
        <v>00200085</v>
      </c>
    </row>
    <row r="4296" spans="1:2" x14ac:dyDescent="0.25">
      <c r="A4296" s="2">
        <v>4291</v>
      </c>
      <c r="B4296" s="3" t="str">
        <f>"00200129"</f>
        <v>00200129</v>
      </c>
    </row>
    <row r="4297" spans="1:2" x14ac:dyDescent="0.25">
      <c r="A4297" s="2">
        <v>4292</v>
      </c>
      <c r="B4297" s="3" t="str">
        <f>"00200132"</f>
        <v>00200132</v>
      </c>
    </row>
    <row r="4298" spans="1:2" x14ac:dyDescent="0.25">
      <c r="A4298" s="2">
        <v>4293</v>
      </c>
      <c r="B4298" s="3" t="str">
        <f>"00200144"</f>
        <v>00200144</v>
      </c>
    </row>
    <row r="4299" spans="1:2" x14ac:dyDescent="0.25">
      <c r="A4299" s="2">
        <v>4294</v>
      </c>
      <c r="B4299" s="3" t="str">
        <f>"00200149"</f>
        <v>00200149</v>
      </c>
    </row>
    <row r="4300" spans="1:2" x14ac:dyDescent="0.25">
      <c r="A4300" s="2">
        <v>4295</v>
      </c>
      <c r="B4300" s="3" t="str">
        <f>"00200182"</f>
        <v>00200182</v>
      </c>
    </row>
    <row r="4301" spans="1:2" x14ac:dyDescent="0.25">
      <c r="A4301" s="2">
        <v>4296</v>
      </c>
      <c r="B4301" s="3" t="str">
        <f>"00200220"</f>
        <v>00200220</v>
      </c>
    </row>
    <row r="4302" spans="1:2" x14ac:dyDescent="0.25">
      <c r="A4302" s="2">
        <v>4297</v>
      </c>
      <c r="B4302" s="3" t="str">
        <f>"00200244"</f>
        <v>00200244</v>
      </c>
    </row>
    <row r="4303" spans="1:2" x14ac:dyDescent="0.25">
      <c r="A4303" s="2">
        <v>4298</v>
      </c>
      <c r="B4303" s="3" t="str">
        <f>"00200246"</f>
        <v>00200246</v>
      </c>
    </row>
    <row r="4304" spans="1:2" x14ac:dyDescent="0.25">
      <c r="A4304" s="2">
        <v>4299</v>
      </c>
      <c r="B4304" s="3" t="str">
        <f>"00200261"</f>
        <v>00200261</v>
      </c>
    </row>
    <row r="4305" spans="1:2" x14ac:dyDescent="0.25">
      <c r="A4305" s="2">
        <v>4300</v>
      </c>
      <c r="B4305" s="3" t="str">
        <f>"00200283"</f>
        <v>00200283</v>
      </c>
    </row>
    <row r="4306" spans="1:2" x14ac:dyDescent="0.25">
      <c r="A4306" s="2">
        <v>4301</v>
      </c>
      <c r="B4306" s="3" t="str">
        <f>"00200285"</f>
        <v>00200285</v>
      </c>
    </row>
    <row r="4307" spans="1:2" x14ac:dyDescent="0.25">
      <c r="A4307" s="2">
        <v>4302</v>
      </c>
      <c r="B4307" s="3" t="str">
        <f>"00200297"</f>
        <v>00200297</v>
      </c>
    </row>
    <row r="4308" spans="1:2" x14ac:dyDescent="0.25">
      <c r="A4308" s="2">
        <v>4303</v>
      </c>
      <c r="B4308" s="3" t="str">
        <f>"00200362"</f>
        <v>00200362</v>
      </c>
    </row>
    <row r="4309" spans="1:2" x14ac:dyDescent="0.25">
      <c r="A4309" s="2">
        <v>4304</v>
      </c>
      <c r="B4309" s="3" t="str">
        <f>"00200413"</f>
        <v>00200413</v>
      </c>
    </row>
    <row r="4310" spans="1:2" x14ac:dyDescent="0.25">
      <c r="A4310" s="2">
        <v>4305</v>
      </c>
      <c r="B4310" s="3" t="str">
        <f>"00200441"</f>
        <v>00200441</v>
      </c>
    </row>
    <row r="4311" spans="1:2" x14ac:dyDescent="0.25">
      <c r="A4311" s="2">
        <v>4306</v>
      </c>
      <c r="B4311" s="3" t="str">
        <f>"00200463"</f>
        <v>00200463</v>
      </c>
    </row>
    <row r="4312" spans="1:2" x14ac:dyDescent="0.25">
      <c r="A4312" s="2">
        <v>4307</v>
      </c>
      <c r="B4312" s="3" t="str">
        <f>"00200504"</f>
        <v>00200504</v>
      </c>
    </row>
    <row r="4313" spans="1:2" x14ac:dyDescent="0.25">
      <c r="A4313" s="2">
        <v>4308</v>
      </c>
      <c r="B4313" s="3" t="str">
        <f>"00200518"</f>
        <v>00200518</v>
      </c>
    </row>
    <row r="4314" spans="1:2" x14ac:dyDescent="0.25">
      <c r="A4314" s="2">
        <v>4309</v>
      </c>
      <c r="B4314" s="3" t="str">
        <f>"00200528"</f>
        <v>00200528</v>
      </c>
    </row>
    <row r="4315" spans="1:2" x14ac:dyDescent="0.25">
      <c r="A4315" s="2">
        <v>4310</v>
      </c>
      <c r="B4315" s="3" t="str">
        <f>"00200541"</f>
        <v>00200541</v>
      </c>
    </row>
    <row r="4316" spans="1:2" x14ac:dyDescent="0.25">
      <c r="A4316" s="2">
        <v>4311</v>
      </c>
      <c r="B4316" s="3" t="str">
        <f>"00200573"</f>
        <v>00200573</v>
      </c>
    </row>
    <row r="4317" spans="1:2" x14ac:dyDescent="0.25">
      <c r="A4317" s="2">
        <v>4312</v>
      </c>
      <c r="B4317" s="3" t="str">
        <f>"00200605"</f>
        <v>00200605</v>
      </c>
    </row>
    <row r="4318" spans="1:2" x14ac:dyDescent="0.25">
      <c r="A4318" s="2">
        <v>4313</v>
      </c>
      <c r="B4318" s="3" t="str">
        <f>"00200621"</f>
        <v>00200621</v>
      </c>
    </row>
    <row r="4319" spans="1:2" x14ac:dyDescent="0.25">
      <c r="A4319" s="2">
        <v>4314</v>
      </c>
      <c r="B4319" s="3" t="str">
        <f>"00200633"</f>
        <v>00200633</v>
      </c>
    </row>
    <row r="4320" spans="1:2" x14ac:dyDescent="0.25">
      <c r="A4320" s="2">
        <v>4315</v>
      </c>
      <c r="B4320" s="3" t="str">
        <f>"00200686"</f>
        <v>00200686</v>
      </c>
    </row>
    <row r="4321" spans="1:2" x14ac:dyDescent="0.25">
      <c r="A4321" s="2">
        <v>4316</v>
      </c>
      <c r="B4321" s="3" t="str">
        <f>"00200705"</f>
        <v>00200705</v>
      </c>
    </row>
    <row r="4322" spans="1:2" x14ac:dyDescent="0.25">
      <c r="A4322" s="2">
        <v>4317</v>
      </c>
      <c r="B4322" s="3" t="str">
        <f>"00200717"</f>
        <v>00200717</v>
      </c>
    </row>
    <row r="4323" spans="1:2" x14ac:dyDescent="0.25">
      <c r="A4323" s="2">
        <v>4318</v>
      </c>
      <c r="B4323" s="3" t="str">
        <f>"00200718"</f>
        <v>00200718</v>
      </c>
    </row>
    <row r="4324" spans="1:2" x14ac:dyDescent="0.25">
      <c r="A4324" s="2">
        <v>4319</v>
      </c>
      <c r="B4324" s="3" t="str">
        <f>"00200804"</f>
        <v>00200804</v>
      </c>
    </row>
    <row r="4325" spans="1:2" x14ac:dyDescent="0.25">
      <c r="A4325" s="2">
        <v>4320</v>
      </c>
      <c r="B4325" s="3" t="str">
        <f>"00200810"</f>
        <v>00200810</v>
      </c>
    </row>
    <row r="4326" spans="1:2" x14ac:dyDescent="0.25">
      <c r="A4326" s="2">
        <v>4321</v>
      </c>
      <c r="B4326" s="3" t="str">
        <f>"00200816"</f>
        <v>00200816</v>
      </c>
    </row>
    <row r="4327" spans="1:2" x14ac:dyDescent="0.25">
      <c r="A4327" s="2">
        <v>4322</v>
      </c>
      <c r="B4327" s="3" t="str">
        <f>"00200819"</f>
        <v>00200819</v>
      </c>
    </row>
    <row r="4328" spans="1:2" x14ac:dyDescent="0.25">
      <c r="A4328" s="2">
        <v>4323</v>
      </c>
      <c r="B4328" s="3" t="str">
        <f>"00200851"</f>
        <v>00200851</v>
      </c>
    </row>
    <row r="4329" spans="1:2" x14ac:dyDescent="0.25">
      <c r="A4329" s="2">
        <v>4324</v>
      </c>
      <c r="B4329" s="3" t="str">
        <f>"00200912"</f>
        <v>00200912</v>
      </c>
    </row>
    <row r="4330" spans="1:2" x14ac:dyDescent="0.25">
      <c r="A4330" s="2">
        <v>4325</v>
      </c>
      <c r="B4330" s="3" t="str">
        <f>"00200930"</f>
        <v>00200930</v>
      </c>
    </row>
    <row r="4331" spans="1:2" x14ac:dyDescent="0.25">
      <c r="A4331" s="2">
        <v>4326</v>
      </c>
      <c r="B4331" s="3" t="str">
        <f>"00200964"</f>
        <v>00200964</v>
      </c>
    </row>
    <row r="4332" spans="1:2" x14ac:dyDescent="0.25">
      <c r="A4332" s="2">
        <v>4327</v>
      </c>
      <c r="B4332" s="3" t="str">
        <f>"00200969"</f>
        <v>00200969</v>
      </c>
    </row>
    <row r="4333" spans="1:2" x14ac:dyDescent="0.25">
      <c r="A4333" s="2">
        <v>4328</v>
      </c>
      <c r="B4333" s="3" t="str">
        <f>"00201023"</f>
        <v>00201023</v>
      </c>
    </row>
    <row r="4334" spans="1:2" x14ac:dyDescent="0.25">
      <c r="A4334" s="2">
        <v>4329</v>
      </c>
      <c r="B4334" s="3" t="str">
        <f>"00201037"</f>
        <v>00201037</v>
      </c>
    </row>
    <row r="4335" spans="1:2" x14ac:dyDescent="0.25">
      <c r="A4335" s="2">
        <v>4330</v>
      </c>
      <c r="B4335" s="3" t="str">
        <f>"00201064"</f>
        <v>00201064</v>
      </c>
    </row>
    <row r="4336" spans="1:2" x14ac:dyDescent="0.25">
      <c r="A4336" s="2">
        <v>4331</v>
      </c>
      <c r="B4336" s="3" t="str">
        <f>"00201068"</f>
        <v>00201068</v>
      </c>
    </row>
    <row r="4337" spans="1:2" x14ac:dyDescent="0.25">
      <c r="A4337" s="2">
        <v>4332</v>
      </c>
      <c r="B4337" s="3" t="str">
        <f>"00201160"</f>
        <v>00201160</v>
      </c>
    </row>
    <row r="4338" spans="1:2" x14ac:dyDescent="0.25">
      <c r="A4338" s="2">
        <v>4333</v>
      </c>
      <c r="B4338" s="3" t="str">
        <f>"00201169"</f>
        <v>00201169</v>
      </c>
    </row>
    <row r="4339" spans="1:2" x14ac:dyDescent="0.25">
      <c r="A4339" s="2">
        <v>4334</v>
      </c>
      <c r="B4339" s="3" t="str">
        <f>"00201206"</f>
        <v>00201206</v>
      </c>
    </row>
    <row r="4340" spans="1:2" x14ac:dyDescent="0.25">
      <c r="A4340" s="2">
        <v>4335</v>
      </c>
      <c r="B4340" s="3" t="str">
        <f>"00201260"</f>
        <v>00201260</v>
      </c>
    </row>
    <row r="4341" spans="1:2" x14ac:dyDescent="0.25">
      <c r="A4341" s="2">
        <v>4336</v>
      </c>
      <c r="B4341" s="3" t="str">
        <f>"00201277"</f>
        <v>00201277</v>
      </c>
    </row>
    <row r="4342" spans="1:2" x14ac:dyDescent="0.25">
      <c r="A4342" s="2">
        <v>4337</v>
      </c>
      <c r="B4342" s="3" t="str">
        <f>"00201285"</f>
        <v>00201285</v>
      </c>
    </row>
    <row r="4343" spans="1:2" x14ac:dyDescent="0.25">
      <c r="A4343" s="2">
        <v>4338</v>
      </c>
      <c r="B4343" s="3" t="str">
        <f>"00201312"</f>
        <v>00201312</v>
      </c>
    </row>
    <row r="4344" spans="1:2" x14ac:dyDescent="0.25">
      <c r="A4344" s="2">
        <v>4339</v>
      </c>
      <c r="B4344" s="3" t="str">
        <f>"00201341"</f>
        <v>00201341</v>
      </c>
    </row>
    <row r="4345" spans="1:2" x14ac:dyDescent="0.25">
      <c r="A4345" s="2">
        <v>4340</v>
      </c>
      <c r="B4345" s="3" t="str">
        <f>"00201345"</f>
        <v>00201345</v>
      </c>
    </row>
    <row r="4346" spans="1:2" x14ac:dyDescent="0.25">
      <c r="A4346" s="2">
        <v>4341</v>
      </c>
      <c r="B4346" s="3" t="str">
        <f>"00201392"</f>
        <v>00201392</v>
      </c>
    </row>
    <row r="4347" spans="1:2" x14ac:dyDescent="0.25">
      <c r="A4347" s="2">
        <v>4342</v>
      </c>
      <c r="B4347" s="3" t="str">
        <f>"00201415"</f>
        <v>00201415</v>
      </c>
    </row>
    <row r="4348" spans="1:2" x14ac:dyDescent="0.25">
      <c r="A4348" s="2">
        <v>4343</v>
      </c>
      <c r="B4348" s="3" t="str">
        <f>"00201439"</f>
        <v>00201439</v>
      </c>
    </row>
    <row r="4349" spans="1:2" x14ac:dyDescent="0.25">
      <c r="A4349" s="2">
        <v>4344</v>
      </c>
      <c r="B4349" s="3" t="str">
        <f>"00201454"</f>
        <v>00201454</v>
      </c>
    </row>
    <row r="4350" spans="1:2" x14ac:dyDescent="0.25">
      <c r="A4350" s="2">
        <v>4345</v>
      </c>
      <c r="B4350" s="3" t="str">
        <f>"00201580"</f>
        <v>00201580</v>
      </c>
    </row>
    <row r="4351" spans="1:2" x14ac:dyDescent="0.25">
      <c r="A4351" s="2">
        <v>4346</v>
      </c>
      <c r="B4351" s="3" t="str">
        <f>"00201593"</f>
        <v>00201593</v>
      </c>
    </row>
    <row r="4352" spans="1:2" x14ac:dyDescent="0.25">
      <c r="A4352" s="2">
        <v>4347</v>
      </c>
      <c r="B4352" s="3" t="str">
        <f>"00201595"</f>
        <v>00201595</v>
      </c>
    </row>
    <row r="4353" spans="1:2" x14ac:dyDescent="0.25">
      <c r="A4353" s="2">
        <v>4348</v>
      </c>
      <c r="B4353" s="3" t="str">
        <f>"00201603"</f>
        <v>00201603</v>
      </c>
    </row>
    <row r="4354" spans="1:2" x14ac:dyDescent="0.25">
      <c r="A4354" s="2">
        <v>4349</v>
      </c>
      <c r="B4354" s="3" t="str">
        <f>"00201615"</f>
        <v>00201615</v>
      </c>
    </row>
    <row r="4355" spans="1:2" x14ac:dyDescent="0.25">
      <c r="A4355" s="2">
        <v>4350</v>
      </c>
      <c r="B4355" s="3" t="str">
        <f>"00201669"</f>
        <v>00201669</v>
      </c>
    </row>
    <row r="4356" spans="1:2" x14ac:dyDescent="0.25">
      <c r="A4356" s="2">
        <v>4351</v>
      </c>
      <c r="B4356" s="3" t="str">
        <f>"00201672"</f>
        <v>00201672</v>
      </c>
    </row>
    <row r="4357" spans="1:2" x14ac:dyDescent="0.25">
      <c r="A4357" s="2">
        <v>4352</v>
      </c>
      <c r="B4357" s="3" t="str">
        <f>"00201726"</f>
        <v>00201726</v>
      </c>
    </row>
    <row r="4358" spans="1:2" x14ac:dyDescent="0.25">
      <c r="A4358" s="2">
        <v>4353</v>
      </c>
      <c r="B4358" s="3" t="str">
        <f>"00201790"</f>
        <v>00201790</v>
      </c>
    </row>
    <row r="4359" spans="1:2" x14ac:dyDescent="0.25">
      <c r="A4359" s="2">
        <v>4354</v>
      </c>
      <c r="B4359" s="3" t="str">
        <f>"00201826"</f>
        <v>00201826</v>
      </c>
    </row>
    <row r="4360" spans="1:2" x14ac:dyDescent="0.25">
      <c r="A4360" s="2">
        <v>4355</v>
      </c>
      <c r="B4360" s="3" t="str">
        <f>"00201844"</f>
        <v>00201844</v>
      </c>
    </row>
    <row r="4361" spans="1:2" x14ac:dyDescent="0.25">
      <c r="A4361" s="2">
        <v>4356</v>
      </c>
      <c r="B4361" s="3" t="str">
        <f>"00201896"</f>
        <v>00201896</v>
      </c>
    </row>
    <row r="4362" spans="1:2" x14ac:dyDescent="0.25">
      <c r="A4362" s="2">
        <v>4357</v>
      </c>
      <c r="B4362" s="3" t="str">
        <f>"00201918"</f>
        <v>00201918</v>
      </c>
    </row>
    <row r="4363" spans="1:2" x14ac:dyDescent="0.25">
      <c r="A4363" s="2">
        <v>4358</v>
      </c>
      <c r="B4363" s="3" t="str">
        <f>"00201920"</f>
        <v>00201920</v>
      </c>
    </row>
    <row r="4364" spans="1:2" x14ac:dyDescent="0.25">
      <c r="A4364" s="2">
        <v>4359</v>
      </c>
      <c r="B4364" s="3" t="str">
        <f>"00201945"</f>
        <v>00201945</v>
      </c>
    </row>
    <row r="4365" spans="1:2" x14ac:dyDescent="0.25">
      <c r="A4365" s="2">
        <v>4360</v>
      </c>
      <c r="B4365" s="3" t="str">
        <f>"00201947"</f>
        <v>00201947</v>
      </c>
    </row>
    <row r="4366" spans="1:2" x14ac:dyDescent="0.25">
      <c r="A4366" s="2">
        <v>4361</v>
      </c>
      <c r="B4366" s="3" t="str">
        <f>"00201951"</f>
        <v>00201951</v>
      </c>
    </row>
    <row r="4367" spans="1:2" x14ac:dyDescent="0.25">
      <c r="A4367" s="2">
        <v>4362</v>
      </c>
      <c r="B4367" s="3" t="str">
        <f>"00201953"</f>
        <v>00201953</v>
      </c>
    </row>
    <row r="4368" spans="1:2" x14ac:dyDescent="0.25">
      <c r="A4368" s="2">
        <v>4363</v>
      </c>
      <c r="B4368" s="3" t="str">
        <f>"00202003"</f>
        <v>00202003</v>
      </c>
    </row>
    <row r="4369" spans="1:2" x14ac:dyDescent="0.25">
      <c r="A4369" s="2">
        <v>4364</v>
      </c>
      <c r="B4369" s="3" t="str">
        <f>"00202063"</f>
        <v>00202063</v>
      </c>
    </row>
    <row r="4370" spans="1:2" x14ac:dyDescent="0.25">
      <c r="A4370" s="2">
        <v>4365</v>
      </c>
      <c r="B4370" s="3" t="str">
        <f>"00202069"</f>
        <v>00202069</v>
      </c>
    </row>
    <row r="4371" spans="1:2" x14ac:dyDescent="0.25">
      <c r="A4371" s="2">
        <v>4366</v>
      </c>
      <c r="B4371" s="3" t="str">
        <f>"00202085"</f>
        <v>00202085</v>
      </c>
    </row>
    <row r="4372" spans="1:2" x14ac:dyDescent="0.25">
      <c r="A4372" s="2">
        <v>4367</v>
      </c>
      <c r="B4372" s="3" t="str">
        <f>"00202097"</f>
        <v>00202097</v>
      </c>
    </row>
    <row r="4373" spans="1:2" x14ac:dyDescent="0.25">
      <c r="A4373" s="2">
        <v>4368</v>
      </c>
      <c r="B4373" s="3" t="str">
        <f>"00202098"</f>
        <v>00202098</v>
      </c>
    </row>
    <row r="4374" spans="1:2" x14ac:dyDescent="0.25">
      <c r="A4374" s="2">
        <v>4369</v>
      </c>
      <c r="B4374" s="3" t="str">
        <f>"00202167"</f>
        <v>00202167</v>
      </c>
    </row>
    <row r="4375" spans="1:2" x14ac:dyDescent="0.25">
      <c r="A4375" s="2">
        <v>4370</v>
      </c>
      <c r="B4375" s="3" t="str">
        <f>"00202190"</f>
        <v>00202190</v>
      </c>
    </row>
    <row r="4376" spans="1:2" x14ac:dyDescent="0.25">
      <c r="A4376" s="2">
        <v>4371</v>
      </c>
      <c r="B4376" s="3" t="str">
        <f>"00202261"</f>
        <v>00202261</v>
      </c>
    </row>
    <row r="4377" spans="1:2" x14ac:dyDescent="0.25">
      <c r="A4377" s="2">
        <v>4372</v>
      </c>
      <c r="B4377" s="3" t="str">
        <f>"00202278"</f>
        <v>00202278</v>
      </c>
    </row>
    <row r="4378" spans="1:2" x14ac:dyDescent="0.25">
      <c r="A4378" s="2">
        <v>4373</v>
      </c>
      <c r="B4378" s="3" t="str">
        <f>"00202284"</f>
        <v>00202284</v>
      </c>
    </row>
    <row r="4379" spans="1:2" x14ac:dyDescent="0.25">
      <c r="A4379" s="2">
        <v>4374</v>
      </c>
      <c r="B4379" s="3" t="str">
        <f>"00202287"</f>
        <v>00202287</v>
      </c>
    </row>
    <row r="4380" spans="1:2" x14ac:dyDescent="0.25">
      <c r="A4380" s="2">
        <v>4375</v>
      </c>
      <c r="B4380" s="3" t="str">
        <f>"00202304"</f>
        <v>00202304</v>
      </c>
    </row>
    <row r="4381" spans="1:2" x14ac:dyDescent="0.25">
      <c r="A4381" s="2">
        <v>4376</v>
      </c>
      <c r="B4381" s="3" t="str">
        <f>"00202321"</f>
        <v>00202321</v>
      </c>
    </row>
    <row r="4382" spans="1:2" x14ac:dyDescent="0.25">
      <c r="A4382" s="2">
        <v>4377</v>
      </c>
      <c r="B4382" s="3" t="str">
        <f>"00202323"</f>
        <v>00202323</v>
      </c>
    </row>
    <row r="4383" spans="1:2" x14ac:dyDescent="0.25">
      <c r="A4383" s="2">
        <v>4378</v>
      </c>
      <c r="B4383" s="3" t="str">
        <f>"00202416"</f>
        <v>00202416</v>
      </c>
    </row>
    <row r="4384" spans="1:2" x14ac:dyDescent="0.25">
      <c r="A4384" s="2">
        <v>4379</v>
      </c>
      <c r="B4384" s="3" t="str">
        <f>"00202443"</f>
        <v>00202443</v>
      </c>
    </row>
    <row r="4385" spans="1:2" x14ac:dyDescent="0.25">
      <c r="A4385" s="2">
        <v>4380</v>
      </c>
      <c r="B4385" s="3" t="str">
        <f>"00202446"</f>
        <v>00202446</v>
      </c>
    </row>
    <row r="4386" spans="1:2" x14ac:dyDescent="0.25">
      <c r="A4386" s="2">
        <v>4381</v>
      </c>
      <c r="B4386" s="3" t="str">
        <f>"00202470"</f>
        <v>00202470</v>
      </c>
    </row>
    <row r="4387" spans="1:2" x14ac:dyDescent="0.25">
      <c r="A4387" s="2">
        <v>4382</v>
      </c>
      <c r="B4387" s="3" t="str">
        <f>"00202533"</f>
        <v>00202533</v>
      </c>
    </row>
    <row r="4388" spans="1:2" x14ac:dyDescent="0.25">
      <c r="A4388" s="2">
        <v>4383</v>
      </c>
      <c r="B4388" s="3" t="str">
        <f>"00202539"</f>
        <v>00202539</v>
      </c>
    </row>
    <row r="4389" spans="1:2" x14ac:dyDescent="0.25">
      <c r="A4389" s="2">
        <v>4384</v>
      </c>
      <c r="B4389" s="3" t="str">
        <f>"00202584"</f>
        <v>00202584</v>
      </c>
    </row>
    <row r="4390" spans="1:2" x14ac:dyDescent="0.25">
      <c r="A4390" s="2">
        <v>4385</v>
      </c>
      <c r="B4390" s="3" t="str">
        <f>"00202590"</f>
        <v>00202590</v>
      </c>
    </row>
    <row r="4391" spans="1:2" x14ac:dyDescent="0.25">
      <c r="A4391" s="2">
        <v>4386</v>
      </c>
      <c r="B4391" s="3" t="str">
        <f>"00202607"</f>
        <v>00202607</v>
      </c>
    </row>
    <row r="4392" spans="1:2" x14ac:dyDescent="0.25">
      <c r="A4392" s="2">
        <v>4387</v>
      </c>
      <c r="B4392" s="3" t="str">
        <f>"00202621"</f>
        <v>00202621</v>
      </c>
    </row>
    <row r="4393" spans="1:2" x14ac:dyDescent="0.25">
      <c r="A4393" s="2">
        <v>4388</v>
      </c>
      <c r="B4393" s="3" t="str">
        <f>"00202630"</f>
        <v>00202630</v>
      </c>
    </row>
    <row r="4394" spans="1:2" x14ac:dyDescent="0.25">
      <c r="A4394" s="2">
        <v>4389</v>
      </c>
      <c r="B4394" s="3" t="str">
        <f>"00202650"</f>
        <v>00202650</v>
      </c>
    </row>
    <row r="4395" spans="1:2" x14ac:dyDescent="0.25">
      <c r="A4395" s="2">
        <v>4390</v>
      </c>
      <c r="B4395" s="3" t="str">
        <f>"00202654"</f>
        <v>00202654</v>
      </c>
    </row>
    <row r="4396" spans="1:2" x14ac:dyDescent="0.25">
      <c r="A4396" s="2">
        <v>4391</v>
      </c>
      <c r="B4396" s="3" t="str">
        <f>"00202691"</f>
        <v>00202691</v>
      </c>
    </row>
    <row r="4397" spans="1:2" x14ac:dyDescent="0.25">
      <c r="A4397" s="2">
        <v>4392</v>
      </c>
      <c r="B4397" s="3" t="str">
        <f>"00202715"</f>
        <v>00202715</v>
      </c>
    </row>
    <row r="4398" spans="1:2" x14ac:dyDescent="0.25">
      <c r="A4398" s="2">
        <v>4393</v>
      </c>
      <c r="B4398" s="3" t="str">
        <f>"00202717"</f>
        <v>00202717</v>
      </c>
    </row>
    <row r="4399" spans="1:2" x14ac:dyDescent="0.25">
      <c r="A4399" s="2">
        <v>4394</v>
      </c>
      <c r="B4399" s="3" t="str">
        <f>"00202731"</f>
        <v>00202731</v>
      </c>
    </row>
    <row r="4400" spans="1:2" x14ac:dyDescent="0.25">
      <c r="A4400" s="2">
        <v>4395</v>
      </c>
      <c r="B4400" s="3" t="str">
        <f>"00202815"</f>
        <v>00202815</v>
      </c>
    </row>
    <row r="4401" spans="1:2" x14ac:dyDescent="0.25">
      <c r="A4401" s="2">
        <v>4396</v>
      </c>
      <c r="B4401" s="3" t="str">
        <f>"00202895"</f>
        <v>00202895</v>
      </c>
    </row>
    <row r="4402" spans="1:2" x14ac:dyDescent="0.25">
      <c r="A4402" s="2">
        <v>4397</v>
      </c>
      <c r="B4402" s="3" t="str">
        <f>"00202920"</f>
        <v>00202920</v>
      </c>
    </row>
    <row r="4403" spans="1:2" x14ac:dyDescent="0.25">
      <c r="A4403" s="2">
        <v>4398</v>
      </c>
      <c r="B4403" s="3" t="str">
        <f>"00202963"</f>
        <v>00202963</v>
      </c>
    </row>
    <row r="4404" spans="1:2" x14ac:dyDescent="0.25">
      <c r="A4404" s="2">
        <v>4399</v>
      </c>
      <c r="B4404" s="3" t="str">
        <f>"00202964"</f>
        <v>00202964</v>
      </c>
    </row>
    <row r="4405" spans="1:2" x14ac:dyDescent="0.25">
      <c r="A4405" s="2">
        <v>4400</v>
      </c>
      <c r="B4405" s="3" t="str">
        <f>"00202966"</f>
        <v>00202966</v>
      </c>
    </row>
    <row r="4406" spans="1:2" x14ac:dyDescent="0.25">
      <c r="A4406" s="2">
        <v>4401</v>
      </c>
      <c r="B4406" s="3" t="str">
        <f>"00202974"</f>
        <v>00202974</v>
      </c>
    </row>
    <row r="4407" spans="1:2" x14ac:dyDescent="0.25">
      <c r="A4407" s="2">
        <v>4402</v>
      </c>
      <c r="B4407" s="3" t="str">
        <f>"00202976"</f>
        <v>00202976</v>
      </c>
    </row>
    <row r="4408" spans="1:2" x14ac:dyDescent="0.25">
      <c r="A4408" s="2">
        <v>4403</v>
      </c>
      <c r="B4408" s="3" t="str">
        <f>"00203003"</f>
        <v>00203003</v>
      </c>
    </row>
    <row r="4409" spans="1:2" x14ac:dyDescent="0.25">
      <c r="A4409" s="2">
        <v>4404</v>
      </c>
      <c r="B4409" s="3" t="str">
        <f>"00203017"</f>
        <v>00203017</v>
      </c>
    </row>
    <row r="4410" spans="1:2" x14ac:dyDescent="0.25">
      <c r="A4410" s="2">
        <v>4405</v>
      </c>
      <c r="B4410" s="3" t="str">
        <f>"00203023"</f>
        <v>00203023</v>
      </c>
    </row>
    <row r="4411" spans="1:2" x14ac:dyDescent="0.25">
      <c r="A4411" s="2">
        <v>4406</v>
      </c>
      <c r="B4411" s="3" t="str">
        <f>"00203144"</f>
        <v>00203144</v>
      </c>
    </row>
    <row r="4412" spans="1:2" x14ac:dyDescent="0.25">
      <c r="A4412" s="2">
        <v>4407</v>
      </c>
      <c r="B4412" s="3" t="str">
        <f>"00203161"</f>
        <v>00203161</v>
      </c>
    </row>
    <row r="4413" spans="1:2" x14ac:dyDescent="0.25">
      <c r="A4413" s="2">
        <v>4408</v>
      </c>
      <c r="B4413" s="3" t="str">
        <f>"00203169"</f>
        <v>00203169</v>
      </c>
    </row>
    <row r="4414" spans="1:2" x14ac:dyDescent="0.25">
      <c r="A4414" s="2">
        <v>4409</v>
      </c>
      <c r="B4414" s="3" t="str">
        <f>"00203181"</f>
        <v>00203181</v>
      </c>
    </row>
    <row r="4415" spans="1:2" x14ac:dyDescent="0.25">
      <c r="A4415" s="2">
        <v>4410</v>
      </c>
      <c r="B4415" s="3" t="str">
        <f>"00203205"</f>
        <v>00203205</v>
      </c>
    </row>
    <row r="4416" spans="1:2" x14ac:dyDescent="0.25">
      <c r="A4416" s="2">
        <v>4411</v>
      </c>
      <c r="B4416" s="3" t="str">
        <f>"00203240"</f>
        <v>00203240</v>
      </c>
    </row>
    <row r="4417" spans="1:2" x14ac:dyDescent="0.25">
      <c r="A4417" s="2">
        <v>4412</v>
      </c>
      <c r="B4417" s="3" t="str">
        <f>"00203306"</f>
        <v>00203306</v>
      </c>
    </row>
    <row r="4418" spans="1:2" x14ac:dyDescent="0.25">
      <c r="A4418" s="2">
        <v>4413</v>
      </c>
      <c r="B4418" s="3" t="str">
        <f>"00203316"</f>
        <v>00203316</v>
      </c>
    </row>
    <row r="4419" spans="1:2" x14ac:dyDescent="0.25">
      <c r="A4419" s="2">
        <v>4414</v>
      </c>
      <c r="B4419" s="3" t="str">
        <f>"00203402"</f>
        <v>00203402</v>
      </c>
    </row>
    <row r="4420" spans="1:2" x14ac:dyDescent="0.25">
      <c r="A4420" s="2">
        <v>4415</v>
      </c>
      <c r="B4420" s="3" t="str">
        <f>"00203403"</f>
        <v>00203403</v>
      </c>
    </row>
    <row r="4421" spans="1:2" x14ac:dyDescent="0.25">
      <c r="A4421" s="2">
        <v>4416</v>
      </c>
      <c r="B4421" s="3" t="str">
        <f>"00203409"</f>
        <v>00203409</v>
      </c>
    </row>
    <row r="4422" spans="1:2" x14ac:dyDescent="0.25">
      <c r="A4422" s="2">
        <v>4417</v>
      </c>
      <c r="B4422" s="3" t="str">
        <f>"00203445"</f>
        <v>00203445</v>
      </c>
    </row>
    <row r="4423" spans="1:2" x14ac:dyDescent="0.25">
      <c r="A4423" s="2">
        <v>4418</v>
      </c>
      <c r="B4423" s="3" t="str">
        <f>"00203483"</f>
        <v>00203483</v>
      </c>
    </row>
    <row r="4424" spans="1:2" x14ac:dyDescent="0.25">
      <c r="A4424" s="2">
        <v>4419</v>
      </c>
      <c r="B4424" s="3" t="str">
        <f>"00203497"</f>
        <v>00203497</v>
      </c>
    </row>
    <row r="4425" spans="1:2" x14ac:dyDescent="0.25">
      <c r="A4425" s="2">
        <v>4420</v>
      </c>
      <c r="B4425" s="3" t="str">
        <f>"00203512"</f>
        <v>00203512</v>
      </c>
    </row>
    <row r="4426" spans="1:2" x14ac:dyDescent="0.25">
      <c r="A4426" s="2">
        <v>4421</v>
      </c>
      <c r="B4426" s="3" t="str">
        <f>"00203555"</f>
        <v>00203555</v>
      </c>
    </row>
    <row r="4427" spans="1:2" x14ac:dyDescent="0.25">
      <c r="A4427" s="2">
        <v>4422</v>
      </c>
      <c r="B4427" s="3" t="str">
        <f>"00203566"</f>
        <v>00203566</v>
      </c>
    </row>
    <row r="4428" spans="1:2" x14ac:dyDescent="0.25">
      <c r="A4428" s="2">
        <v>4423</v>
      </c>
      <c r="B4428" s="3" t="str">
        <f>"00203615"</f>
        <v>00203615</v>
      </c>
    </row>
    <row r="4429" spans="1:2" x14ac:dyDescent="0.25">
      <c r="A4429" s="2">
        <v>4424</v>
      </c>
      <c r="B4429" s="3" t="str">
        <f>"00203619"</f>
        <v>00203619</v>
      </c>
    </row>
    <row r="4430" spans="1:2" x14ac:dyDescent="0.25">
      <c r="A4430" s="2">
        <v>4425</v>
      </c>
      <c r="B4430" s="3" t="str">
        <f>"00203698"</f>
        <v>00203698</v>
      </c>
    </row>
    <row r="4431" spans="1:2" x14ac:dyDescent="0.25">
      <c r="A4431" s="2">
        <v>4426</v>
      </c>
      <c r="B4431" s="3" t="str">
        <f>"00203699"</f>
        <v>00203699</v>
      </c>
    </row>
    <row r="4432" spans="1:2" x14ac:dyDescent="0.25">
      <c r="A4432" s="2">
        <v>4427</v>
      </c>
      <c r="B4432" s="3" t="str">
        <f>"00203753"</f>
        <v>00203753</v>
      </c>
    </row>
    <row r="4433" spans="1:2" x14ac:dyDescent="0.25">
      <c r="A4433" s="2">
        <v>4428</v>
      </c>
      <c r="B4433" s="3" t="str">
        <f>"00203769"</f>
        <v>00203769</v>
      </c>
    </row>
    <row r="4434" spans="1:2" x14ac:dyDescent="0.25">
      <c r="A4434" s="2">
        <v>4429</v>
      </c>
      <c r="B4434" s="3" t="str">
        <f>"00203814"</f>
        <v>00203814</v>
      </c>
    </row>
    <row r="4435" spans="1:2" x14ac:dyDescent="0.25">
      <c r="A4435" s="2">
        <v>4430</v>
      </c>
      <c r="B4435" s="3" t="str">
        <f>"00205308"</f>
        <v>00205308</v>
      </c>
    </row>
    <row r="4436" spans="1:2" x14ac:dyDescent="0.25">
      <c r="A4436" s="2">
        <v>4431</v>
      </c>
      <c r="B4436" s="3" t="str">
        <f>"00205485"</f>
        <v>00205485</v>
      </c>
    </row>
    <row r="4437" spans="1:2" x14ac:dyDescent="0.25">
      <c r="A4437" s="2">
        <v>4432</v>
      </c>
      <c r="B4437" s="3" t="str">
        <f>"00205488"</f>
        <v>00205488</v>
      </c>
    </row>
    <row r="4438" spans="1:2" x14ac:dyDescent="0.25">
      <c r="A4438" s="2">
        <v>4433</v>
      </c>
      <c r="B4438" s="3" t="str">
        <f>"00205524"</f>
        <v>00205524</v>
      </c>
    </row>
    <row r="4439" spans="1:2" x14ac:dyDescent="0.25">
      <c r="A4439" s="2">
        <v>4434</v>
      </c>
      <c r="B4439" s="3" t="str">
        <f>"00205543"</f>
        <v>00205543</v>
      </c>
    </row>
    <row r="4440" spans="1:2" x14ac:dyDescent="0.25">
      <c r="A4440" s="2">
        <v>4435</v>
      </c>
      <c r="B4440" s="3" t="str">
        <f>"00205560"</f>
        <v>00205560</v>
      </c>
    </row>
    <row r="4441" spans="1:2" x14ac:dyDescent="0.25">
      <c r="A4441" s="2">
        <v>4436</v>
      </c>
      <c r="B4441" s="3" t="str">
        <f>"00205575"</f>
        <v>00205575</v>
      </c>
    </row>
    <row r="4442" spans="1:2" x14ac:dyDescent="0.25">
      <c r="A4442" s="2">
        <v>4437</v>
      </c>
      <c r="B4442" s="3" t="str">
        <f>"00205601"</f>
        <v>00205601</v>
      </c>
    </row>
    <row r="4443" spans="1:2" x14ac:dyDescent="0.25">
      <c r="A4443" s="2">
        <v>4438</v>
      </c>
      <c r="B4443" s="3" t="str">
        <f>"00205622"</f>
        <v>00205622</v>
      </c>
    </row>
    <row r="4444" spans="1:2" x14ac:dyDescent="0.25">
      <c r="A4444" s="2">
        <v>4439</v>
      </c>
      <c r="B4444" s="3" t="str">
        <f>"00205654"</f>
        <v>00205654</v>
      </c>
    </row>
    <row r="4445" spans="1:2" x14ac:dyDescent="0.25">
      <c r="A4445" s="2">
        <v>4440</v>
      </c>
      <c r="B4445" s="3" t="str">
        <f>"00205669"</f>
        <v>00205669</v>
      </c>
    </row>
    <row r="4446" spans="1:2" x14ac:dyDescent="0.25">
      <c r="A4446" s="2">
        <v>4441</v>
      </c>
      <c r="B4446" s="3" t="str">
        <f>"00205670"</f>
        <v>00205670</v>
      </c>
    </row>
    <row r="4447" spans="1:2" x14ac:dyDescent="0.25">
      <c r="A4447" s="2">
        <v>4442</v>
      </c>
      <c r="B4447" s="3" t="str">
        <f>"00205744"</f>
        <v>00205744</v>
      </c>
    </row>
    <row r="4448" spans="1:2" x14ac:dyDescent="0.25">
      <c r="A4448" s="2">
        <v>4443</v>
      </c>
      <c r="B4448" s="3" t="str">
        <f>"00205758"</f>
        <v>00205758</v>
      </c>
    </row>
    <row r="4449" spans="1:2" x14ac:dyDescent="0.25">
      <c r="A4449" s="2">
        <v>4444</v>
      </c>
      <c r="B4449" s="3" t="str">
        <f>"00205793"</f>
        <v>00205793</v>
      </c>
    </row>
    <row r="4450" spans="1:2" x14ac:dyDescent="0.25">
      <c r="A4450" s="2">
        <v>4445</v>
      </c>
      <c r="B4450" s="3" t="str">
        <f>"00205848"</f>
        <v>00205848</v>
      </c>
    </row>
    <row r="4451" spans="1:2" x14ac:dyDescent="0.25">
      <c r="A4451" s="2">
        <v>4446</v>
      </c>
      <c r="B4451" s="3" t="str">
        <f>"00205868"</f>
        <v>00205868</v>
      </c>
    </row>
    <row r="4452" spans="1:2" x14ac:dyDescent="0.25">
      <c r="A4452" s="2">
        <v>4447</v>
      </c>
      <c r="B4452" s="3" t="str">
        <f>"00205871"</f>
        <v>00205871</v>
      </c>
    </row>
    <row r="4453" spans="1:2" x14ac:dyDescent="0.25">
      <c r="A4453" s="2">
        <v>4448</v>
      </c>
      <c r="B4453" s="3" t="str">
        <f>"00205963"</f>
        <v>00205963</v>
      </c>
    </row>
    <row r="4454" spans="1:2" x14ac:dyDescent="0.25">
      <c r="A4454" s="2">
        <v>4449</v>
      </c>
      <c r="B4454" s="3" t="str">
        <f>"00205977"</f>
        <v>00205977</v>
      </c>
    </row>
    <row r="4455" spans="1:2" x14ac:dyDescent="0.25">
      <c r="A4455" s="2">
        <v>4450</v>
      </c>
      <c r="B4455" s="3" t="str">
        <f>"00205999"</f>
        <v>00205999</v>
      </c>
    </row>
    <row r="4456" spans="1:2" x14ac:dyDescent="0.25">
      <c r="A4456" s="2">
        <v>4451</v>
      </c>
      <c r="B4456" s="3" t="str">
        <f>"00206001"</f>
        <v>00206001</v>
      </c>
    </row>
    <row r="4457" spans="1:2" x14ac:dyDescent="0.25">
      <c r="A4457" s="2">
        <v>4452</v>
      </c>
      <c r="B4457" s="3" t="str">
        <f>"00206055"</f>
        <v>00206055</v>
      </c>
    </row>
    <row r="4458" spans="1:2" x14ac:dyDescent="0.25">
      <c r="A4458" s="2">
        <v>4453</v>
      </c>
      <c r="B4458" s="3" t="str">
        <f>"00206097"</f>
        <v>00206097</v>
      </c>
    </row>
    <row r="4459" spans="1:2" x14ac:dyDescent="0.25">
      <c r="A4459" s="2">
        <v>4454</v>
      </c>
      <c r="B4459" s="3" t="str">
        <f>"00206118"</f>
        <v>00206118</v>
      </c>
    </row>
    <row r="4460" spans="1:2" x14ac:dyDescent="0.25">
      <c r="A4460" s="2">
        <v>4455</v>
      </c>
      <c r="B4460" s="3" t="str">
        <f>"00206242"</f>
        <v>00206242</v>
      </c>
    </row>
    <row r="4461" spans="1:2" x14ac:dyDescent="0.25">
      <c r="A4461" s="2">
        <v>4456</v>
      </c>
      <c r="B4461" s="3" t="str">
        <f>"00206250"</f>
        <v>00206250</v>
      </c>
    </row>
    <row r="4462" spans="1:2" x14ac:dyDescent="0.25">
      <c r="A4462" s="2">
        <v>4457</v>
      </c>
      <c r="B4462" s="3" t="str">
        <f>"00206268"</f>
        <v>00206268</v>
      </c>
    </row>
    <row r="4463" spans="1:2" x14ac:dyDescent="0.25">
      <c r="A4463" s="2">
        <v>4458</v>
      </c>
      <c r="B4463" s="3" t="str">
        <f>"00206347"</f>
        <v>00206347</v>
      </c>
    </row>
    <row r="4464" spans="1:2" x14ac:dyDescent="0.25">
      <c r="A4464" s="2">
        <v>4459</v>
      </c>
      <c r="B4464" s="3" t="str">
        <f>"00206359"</f>
        <v>00206359</v>
      </c>
    </row>
    <row r="4465" spans="1:2" x14ac:dyDescent="0.25">
      <c r="A4465" s="2">
        <v>4460</v>
      </c>
      <c r="B4465" s="3" t="str">
        <f>"00206511"</f>
        <v>00206511</v>
      </c>
    </row>
    <row r="4466" spans="1:2" x14ac:dyDescent="0.25">
      <c r="A4466" s="2">
        <v>4461</v>
      </c>
      <c r="B4466" s="3" t="str">
        <f>"00206517"</f>
        <v>00206517</v>
      </c>
    </row>
    <row r="4467" spans="1:2" x14ac:dyDescent="0.25">
      <c r="A4467" s="2">
        <v>4462</v>
      </c>
      <c r="B4467" s="3" t="str">
        <f>"00206527"</f>
        <v>00206527</v>
      </c>
    </row>
    <row r="4468" spans="1:2" x14ac:dyDescent="0.25">
      <c r="A4468" s="2">
        <v>4463</v>
      </c>
      <c r="B4468" s="3" t="str">
        <f>"00206546"</f>
        <v>00206546</v>
      </c>
    </row>
    <row r="4469" spans="1:2" x14ac:dyDescent="0.25">
      <c r="A4469" s="2">
        <v>4464</v>
      </c>
      <c r="B4469" s="3" t="str">
        <f>"00206554"</f>
        <v>00206554</v>
      </c>
    </row>
    <row r="4470" spans="1:2" x14ac:dyDescent="0.25">
      <c r="A4470" s="2">
        <v>4465</v>
      </c>
      <c r="B4470" s="3" t="str">
        <f>"00206581"</f>
        <v>00206581</v>
      </c>
    </row>
    <row r="4471" spans="1:2" x14ac:dyDescent="0.25">
      <c r="A4471" s="2">
        <v>4466</v>
      </c>
      <c r="B4471" s="3" t="str">
        <f>"00206603"</f>
        <v>00206603</v>
      </c>
    </row>
    <row r="4472" spans="1:2" x14ac:dyDescent="0.25">
      <c r="A4472" s="2">
        <v>4467</v>
      </c>
      <c r="B4472" s="3" t="str">
        <f>"00206631"</f>
        <v>00206631</v>
      </c>
    </row>
    <row r="4473" spans="1:2" x14ac:dyDescent="0.25">
      <c r="A4473" s="2">
        <v>4468</v>
      </c>
      <c r="B4473" s="3" t="str">
        <f>"00206682"</f>
        <v>00206682</v>
      </c>
    </row>
    <row r="4474" spans="1:2" x14ac:dyDescent="0.25">
      <c r="A4474" s="2">
        <v>4469</v>
      </c>
      <c r="B4474" s="3" t="str">
        <f>"00206753"</f>
        <v>00206753</v>
      </c>
    </row>
    <row r="4475" spans="1:2" x14ac:dyDescent="0.25">
      <c r="A4475" s="2">
        <v>4470</v>
      </c>
      <c r="B4475" s="3" t="str">
        <f>"00206788"</f>
        <v>00206788</v>
      </c>
    </row>
    <row r="4476" spans="1:2" x14ac:dyDescent="0.25">
      <c r="A4476" s="2">
        <v>4471</v>
      </c>
      <c r="B4476" s="3" t="str">
        <f>"00206797"</f>
        <v>00206797</v>
      </c>
    </row>
    <row r="4477" spans="1:2" x14ac:dyDescent="0.25">
      <c r="A4477" s="2">
        <v>4472</v>
      </c>
      <c r="B4477" s="3" t="str">
        <f>"00206833"</f>
        <v>00206833</v>
      </c>
    </row>
    <row r="4478" spans="1:2" x14ac:dyDescent="0.25">
      <c r="A4478" s="2">
        <v>4473</v>
      </c>
      <c r="B4478" s="3" t="str">
        <f>"00206861"</f>
        <v>00206861</v>
      </c>
    </row>
    <row r="4479" spans="1:2" x14ac:dyDescent="0.25">
      <c r="A4479" s="2">
        <v>4474</v>
      </c>
      <c r="B4479" s="3" t="str">
        <f>"00206890"</f>
        <v>00206890</v>
      </c>
    </row>
    <row r="4480" spans="1:2" x14ac:dyDescent="0.25">
      <c r="A4480" s="2">
        <v>4475</v>
      </c>
      <c r="B4480" s="3" t="str">
        <f>"00206996"</f>
        <v>00206996</v>
      </c>
    </row>
    <row r="4481" spans="1:2" x14ac:dyDescent="0.25">
      <c r="A4481" s="2">
        <v>4476</v>
      </c>
      <c r="B4481" s="3" t="str">
        <f>"00207023"</f>
        <v>00207023</v>
      </c>
    </row>
    <row r="4482" spans="1:2" x14ac:dyDescent="0.25">
      <c r="A4482" s="2">
        <v>4477</v>
      </c>
      <c r="B4482" s="3" t="str">
        <f>"00207088"</f>
        <v>00207088</v>
      </c>
    </row>
    <row r="4483" spans="1:2" x14ac:dyDescent="0.25">
      <c r="A4483" s="2">
        <v>4478</v>
      </c>
      <c r="B4483" s="3" t="str">
        <f>"00207108"</f>
        <v>00207108</v>
      </c>
    </row>
    <row r="4484" spans="1:2" x14ac:dyDescent="0.25">
      <c r="A4484" s="2">
        <v>4479</v>
      </c>
      <c r="B4484" s="3" t="str">
        <f>"00207116"</f>
        <v>00207116</v>
      </c>
    </row>
    <row r="4485" spans="1:2" x14ac:dyDescent="0.25">
      <c r="A4485" s="2">
        <v>4480</v>
      </c>
      <c r="B4485" s="3" t="str">
        <f>"00207125"</f>
        <v>00207125</v>
      </c>
    </row>
    <row r="4486" spans="1:2" x14ac:dyDescent="0.25">
      <c r="A4486" s="2">
        <v>4481</v>
      </c>
      <c r="B4486" s="3" t="str">
        <f>"00207142"</f>
        <v>00207142</v>
      </c>
    </row>
    <row r="4487" spans="1:2" x14ac:dyDescent="0.25">
      <c r="A4487" s="2">
        <v>4482</v>
      </c>
      <c r="B4487" s="3" t="str">
        <f>"00207156"</f>
        <v>00207156</v>
      </c>
    </row>
    <row r="4488" spans="1:2" x14ac:dyDescent="0.25">
      <c r="A4488" s="2">
        <v>4483</v>
      </c>
      <c r="B4488" s="3" t="str">
        <f>"00207199"</f>
        <v>00207199</v>
      </c>
    </row>
    <row r="4489" spans="1:2" x14ac:dyDescent="0.25">
      <c r="A4489" s="2">
        <v>4484</v>
      </c>
      <c r="B4489" s="3" t="str">
        <f>"00207213"</f>
        <v>00207213</v>
      </c>
    </row>
    <row r="4490" spans="1:2" x14ac:dyDescent="0.25">
      <c r="A4490" s="2">
        <v>4485</v>
      </c>
      <c r="B4490" s="3" t="str">
        <f>"00207256"</f>
        <v>00207256</v>
      </c>
    </row>
    <row r="4491" spans="1:2" x14ac:dyDescent="0.25">
      <c r="A4491" s="2">
        <v>4486</v>
      </c>
      <c r="B4491" s="3" t="str">
        <f>"00207269"</f>
        <v>00207269</v>
      </c>
    </row>
    <row r="4492" spans="1:2" x14ac:dyDescent="0.25">
      <c r="A4492" s="2">
        <v>4487</v>
      </c>
      <c r="B4492" s="3" t="str">
        <f>"00207281"</f>
        <v>00207281</v>
      </c>
    </row>
    <row r="4493" spans="1:2" x14ac:dyDescent="0.25">
      <c r="A4493" s="2">
        <v>4488</v>
      </c>
      <c r="B4493" s="3" t="str">
        <f>"00207292"</f>
        <v>00207292</v>
      </c>
    </row>
    <row r="4494" spans="1:2" x14ac:dyDescent="0.25">
      <c r="A4494" s="2">
        <v>4489</v>
      </c>
      <c r="B4494" s="3" t="str">
        <f>"00207301"</f>
        <v>00207301</v>
      </c>
    </row>
    <row r="4495" spans="1:2" x14ac:dyDescent="0.25">
      <c r="A4495" s="2">
        <v>4490</v>
      </c>
      <c r="B4495" s="3" t="str">
        <f>"00207337"</f>
        <v>00207337</v>
      </c>
    </row>
    <row r="4496" spans="1:2" x14ac:dyDescent="0.25">
      <c r="A4496" s="2">
        <v>4491</v>
      </c>
      <c r="B4496" s="3" t="str">
        <f>"00207345"</f>
        <v>00207345</v>
      </c>
    </row>
    <row r="4497" spans="1:2" x14ac:dyDescent="0.25">
      <c r="A4497" s="2">
        <v>4492</v>
      </c>
      <c r="B4497" s="3" t="str">
        <f>"00207346"</f>
        <v>00207346</v>
      </c>
    </row>
    <row r="4498" spans="1:2" x14ac:dyDescent="0.25">
      <c r="A4498" s="2">
        <v>4493</v>
      </c>
      <c r="B4498" s="3" t="str">
        <f>"00207365"</f>
        <v>00207365</v>
      </c>
    </row>
    <row r="4499" spans="1:2" x14ac:dyDescent="0.25">
      <c r="A4499" s="2">
        <v>4494</v>
      </c>
      <c r="B4499" s="3" t="str">
        <f>"00207394"</f>
        <v>00207394</v>
      </c>
    </row>
    <row r="4500" spans="1:2" x14ac:dyDescent="0.25">
      <c r="A4500" s="2">
        <v>4495</v>
      </c>
      <c r="B4500" s="3" t="str">
        <f>"00207401"</f>
        <v>00207401</v>
      </c>
    </row>
    <row r="4501" spans="1:2" x14ac:dyDescent="0.25">
      <c r="A4501" s="2">
        <v>4496</v>
      </c>
      <c r="B4501" s="3" t="str">
        <f>"00207437"</f>
        <v>00207437</v>
      </c>
    </row>
    <row r="4502" spans="1:2" x14ac:dyDescent="0.25">
      <c r="A4502" s="2">
        <v>4497</v>
      </c>
      <c r="B4502" s="3" t="str">
        <f>"00207442"</f>
        <v>00207442</v>
      </c>
    </row>
    <row r="4503" spans="1:2" x14ac:dyDescent="0.25">
      <c r="A4503" s="2">
        <v>4498</v>
      </c>
      <c r="B4503" s="3" t="str">
        <f>"00207454"</f>
        <v>00207454</v>
      </c>
    </row>
    <row r="4504" spans="1:2" x14ac:dyDescent="0.25">
      <c r="A4504" s="2">
        <v>4499</v>
      </c>
      <c r="B4504" s="3" t="str">
        <f>"00207585"</f>
        <v>00207585</v>
      </c>
    </row>
    <row r="4505" spans="1:2" x14ac:dyDescent="0.25">
      <c r="A4505" s="2">
        <v>4500</v>
      </c>
      <c r="B4505" s="3" t="str">
        <f>"00207591"</f>
        <v>00207591</v>
      </c>
    </row>
    <row r="4506" spans="1:2" x14ac:dyDescent="0.25">
      <c r="A4506" s="2">
        <v>4501</v>
      </c>
      <c r="B4506" s="3" t="str">
        <f>"00207610"</f>
        <v>00207610</v>
      </c>
    </row>
    <row r="4507" spans="1:2" x14ac:dyDescent="0.25">
      <c r="A4507" s="2">
        <v>4502</v>
      </c>
      <c r="B4507" s="3" t="str">
        <f>"00207611"</f>
        <v>00207611</v>
      </c>
    </row>
    <row r="4508" spans="1:2" x14ac:dyDescent="0.25">
      <c r="A4508" s="2">
        <v>4503</v>
      </c>
      <c r="B4508" s="3" t="str">
        <f>"00207613"</f>
        <v>00207613</v>
      </c>
    </row>
    <row r="4509" spans="1:2" x14ac:dyDescent="0.25">
      <c r="A4509" s="2">
        <v>4504</v>
      </c>
      <c r="B4509" s="3" t="str">
        <f>"00207695"</f>
        <v>00207695</v>
      </c>
    </row>
    <row r="4510" spans="1:2" x14ac:dyDescent="0.25">
      <c r="A4510" s="2">
        <v>4505</v>
      </c>
      <c r="B4510" s="3" t="str">
        <f>"00207738"</f>
        <v>00207738</v>
      </c>
    </row>
    <row r="4511" spans="1:2" x14ac:dyDescent="0.25">
      <c r="A4511" s="2">
        <v>4506</v>
      </c>
      <c r="B4511" s="3" t="str">
        <f>"00207756"</f>
        <v>00207756</v>
      </c>
    </row>
    <row r="4512" spans="1:2" x14ac:dyDescent="0.25">
      <c r="A4512" s="2">
        <v>4507</v>
      </c>
      <c r="B4512" s="3" t="str">
        <f>"00207889"</f>
        <v>00207889</v>
      </c>
    </row>
    <row r="4513" spans="1:2" x14ac:dyDescent="0.25">
      <c r="A4513" s="2">
        <v>4508</v>
      </c>
      <c r="B4513" s="3" t="str">
        <f>"00207908"</f>
        <v>00207908</v>
      </c>
    </row>
    <row r="4514" spans="1:2" x14ac:dyDescent="0.25">
      <c r="A4514" s="2">
        <v>4509</v>
      </c>
      <c r="B4514" s="3" t="str">
        <f>"00207976"</f>
        <v>00207976</v>
      </c>
    </row>
    <row r="4515" spans="1:2" x14ac:dyDescent="0.25">
      <c r="A4515" s="2">
        <v>4510</v>
      </c>
      <c r="B4515" s="3" t="str">
        <f>"00207980"</f>
        <v>00207980</v>
      </c>
    </row>
    <row r="4516" spans="1:2" x14ac:dyDescent="0.25">
      <c r="A4516" s="2">
        <v>4511</v>
      </c>
      <c r="B4516" s="3" t="str">
        <f>"00208077"</f>
        <v>00208077</v>
      </c>
    </row>
    <row r="4517" spans="1:2" x14ac:dyDescent="0.25">
      <c r="A4517" s="2">
        <v>4512</v>
      </c>
      <c r="B4517" s="3" t="str">
        <f>"00208097"</f>
        <v>00208097</v>
      </c>
    </row>
    <row r="4518" spans="1:2" x14ac:dyDescent="0.25">
      <c r="A4518" s="2">
        <v>4513</v>
      </c>
      <c r="B4518" s="3" t="str">
        <f>"00208108"</f>
        <v>00208108</v>
      </c>
    </row>
    <row r="4519" spans="1:2" x14ac:dyDescent="0.25">
      <c r="A4519" s="2">
        <v>4514</v>
      </c>
      <c r="B4519" s="3" t="str">
        <f>"00208123"</f>
        <v>00208123</v>
      </c>
    </row>
    <row r="4520" spans="1:2" x14ac:dyDescent="0.25">
      <c r="A4520" s="2">
        <v>4515</v>
      </c>
      <c r="B4520" s="3" t="str">
        <f>"00208128"</f>
        <v>00208128</v>
      </c>
    </row>
    <row r="4521" spans="1:2" x14ac:dyDescent="0.25">
      <c r="A4521" s="2">
        <v>4516</v>
      </c>
      <c r="B4521" s="3" t="str">
        <f>"00208196"</f>
        <v>00208196</v>
      </c>
    </row>
    <row r="4522" spans="1:2" x14ac:dyDescent="0.25">
      <c r="A4522" s="2">
        <v>4517</v>
      </c>
      <c r="B4522" s="3" t="str">
        <f>"00208238"</f>
        <v>00208238</v>
      </c>
    </row>
    <row r="4523" spans="1:2" x14ac:dyDescent="0.25">
      <c r="A4523" s="2">
        <v>4518</v>
      </c>
      <c r="B4523" s="3" t="str">
        <f>"00208264"</f>
        <v>00208264</v>
      </c>
    </row>
    <row r="4524" spans="1:2" x14ac:dyDescent="0.25">
      <c r="A4524" s="2">
        <v>4519</v>
      </c>
      <c r="B4524" s="3" t="str">
        <f>"00208268"</f>
        <v>00208268</v>
      </c>
    </row>
    <row r="4525" spans="1:2" x14ac:dyDescent="0.25">
      <c r="A4525" s="2">
        <v>4520</v>
      </c>
      <c r="B4525" s="3" t="str">
        <f>"00208270"</f>
        <v>00208270</v>
      </c>
    </row>
    <row r="4526" spans="1:2" x14ac:dyDescent="0.25">
      <c r="A4526" s="2">
        <v>4521</v>
      </c>
      <c r="B4526" s="3" t="str">
        <f>"00208278"</f>
        <v>00208278</v>
      </c>
    </row>
    <row r="4527" spans="1:2" x14ac:dyDescent="0.25">
      <c r="A4527" s="2">
        <v>4522</v>
      </c>
      <c r="B4527" s="3" t="str">
        <f>"00208461"</f>
        <v>00208461</v>
      </c>
    </row>
    <row r="4528" spans="1:2" x14ac:dyDescent="0.25">
      <c r="A4528" s="2">
        <v>4523</v>
      </c>
      <c r="B4528" s="3" t="str">
        <f>"00208478"</f>
        <v>00208478</v>
      </c>
    </row>
    <row r="4529" spans="1:2" x14ac:dyDescent="0.25">
      <c r="A4529" s="2">
        <v>4524</v>
      </c>
      <c r="B4529" s="3" t="str">
        <f>"00208509"</f>
        <v>00208509</v>
      </c>
    </row>
    <row r="4530" spans="1:2" x14ac:dyDescent="0.25">
      <c r="A4530" s="2">
        <v>4525</v>
      </c>
      <c r="B4530" s="3" t="str">
        <f>"00208576"</f>
        <v>00208576</v>
      </c>
    </row>
    <row r="4531" spans="1:2" x14ac:dyDescent="0.25">
      <c r="A4531" s="2">
        <v>4526</v>
      </c>
      <c r="B4531" s="3" t="str">
        <f>"00208577"</f>
        <v>00208577</v>
      </c>
    </row>
    <row r="4532" spans="1:2" x14ac:dyDescent="0.25">
      <c r="A4532" s="2">
        <v>4527</v>
      </c>
      <c r="B4532" s="3" t="str">
        <f>"00208615"</f>
        <v>00208615</v>
      </c>
    </row>
    <row r="4533" spans="1:2" x14ac:dyDescent="0.25">
      <c r="A4533" s="2">
        <v>4528</v>
      </c>
      <c r="B4533" s="3" t="str">
        <f>"00208647"</f>
        <v>00208647</v>
      </c>
    </row>
    <row r="4534" spans="1:2" x14ac:dyDescent="0.25">
      <c r="A4534" s="2">
        <v>4529</v>
      </c>
      <c r="B4534" s="3" t="str">
        <f>"00208767"</f>
        <v>00208767</v>
      </c>
    </row>
    <row r="4535" spans="1:2" x14ac:dyDescent="0.25">
      <c r="A4535" s="2">
        <v>4530</v>
      </c>
      <c r="B4535" s="3" t="str">
        <f>"00208786"</f>
        <v>00208786</v>
      </c>
    </row>
    <row r="4536" spans="1:2" x14ac:dyDescent="0.25">
      <c r="A4536" s="2">
        <v>4531</v>
      </c>
      <c r="B4536" s="3" t="str">
        <f>"00208842"</f>
        <v>00208842</v>
      </c>
    </row>
    <row r="4537" spans="1:2" x14ac:dyDescent="0.25">
      <c r="A4537" s="2">
        <v>4532</v>
      </c>
      <c r="B4537" s="3" t="str">
        <f>"00208856"</f>
        <v>00208856</v>
      </c>
    </row>
    <row r="4538" spans="1:2" x14ac:dyDescent="0.25">
      <c r="A4538" s="2">
        <v>4533</v>
      </c>
      <c r="B4538" s="3" t="str">
        <f>"00208914"</f>
        <v>00208914</v>
      </c>
    </row>
    <row r="4539" spans="1:2" x14ac:dyDescent="0.25">
      <c r="A4539" s="2">
        <v>4534</v>
      </c>
      <c r="B4539" s="3" t="str">
        <f>"00208928"</f>
        <v>00208928</v>
      </c>
    </row>
    <row r="4540" spans="1:2" x14ac:dyDescent="0.25">
      <c r="A4540" s="2">
        <v>4535</v>
      </c>
      <c r="B4540" s="3" t="str">
        <f>"00208954"</f>
        <v>00208954</v>
      </c>
    </row>
    <row r="4541" spans="1:2" x14ac:dyDescent="0.25">
      <c r="A4541" s="2">
        <v>4536</v>
      </c>
      <c r="B4541" s="3" t="str">
        <f>"00208966"</f>
        <v>00208966</v>
      </c>
    </row>
    <row r="4542" spans="1:2" x14ac:dyDescent="0.25">
      <c r="A4542" s="2">
        <v>4537</v>
      </c>
      <c r="B4542" s="3" t="str">
        <f>"00209081"</f>
        <v>00209081</v>
      </c>
    </row>
    <row r="4543" spans="1:2" x14ac:dyDescent="0.25">
      <c r="A4543" s="2">
        <v>4538</v>
      </c>
      <c r="B4543" s="3" t="str">
        <f>"00209190"</f>
        <v>00209190</v>
      </c>
    </row>
    <row r="4544" spans="1:2" x14ac:dyDescent="0.25">
      <c r="A4544" s="2">
        <v>4539</v>
      </c>
      <c r="B4544" s="3" t="str">
        <f>"00209206"</f>
        <v>00209206</v>
      </c>
    </row>
    <row r="4545" spans="1:2" x14ac:dyDescent="0.25">
      <c r="A4545" s="2">
        <v>4540</v>
      </c>
      <c r="B4545" s="3" t="str">
        <f>"00209218"</f>
        <v>00209218</v>
      </c>
    </row>
    <row r="4546" spans="1:2" x14ac:dyDescent="0.25">
      <c r="A4546" s="2">
        <v>4541</v>
      </c>
      <c r="B4546" s="3" t="str">
        <f>"00209226"</f>
        <v>00209226</v>
      </c>
    </row>
    <row r="4547" spans="1:2" x14ac:dyDescent="0.25">
      <c r="A4547" s="2">
        <v>4542</v>
      </c>
      <c r="B4547" s="3" t="str">
        <f>"00209233"</f>
        <v>00209233</v>
      </c>
    </row>
    <row r="4548" spans="1:2" x14ac:dyDescent="0.25">
      <c r="A4548" s="2">
        <v>4543</v>
      </c>
      <c r="B4548" s="3" t="str">
        <f>"00209285"</f>
        <v>00209285</v>
      </c>
    </row>
    <row r="4549" spans="1:2" x14ac:dyDescent="0.25">
      <c r="A4549" s="2">
        <v>4544</v>
      </c>
      <c r="B4549" s="3" t="str">
        <f>"00209304"</f>
        <v>00209304</v>
      </c>
    </row>
    <row r="4550" spans="1:2" x14ac:dyDescent="0.25">
      <c r="A4550" s="2">
        <v>4545</v>
      </c>
      <c r="B4550" s="3" t="str">
        <f>"00209350"</f>
        <v>00209350</v>
      </c>
    </row>
    <row r="4551" spans="1:2" x14ac:dyDescent="0.25">
      <c r="A4551" s="2">
        <v>4546</v>
      </c>
      <c r="B4551" s="3" t="str">
        <f>"00209422"</f>
        <v>00209422</v>
      </c>
    </row>
    <row r="4552" spans="1:2" x14ac:dyDescent="0.25">
      <c r="A4552" s="2">
        <v>4547</v>
      </c>
      <c r="B4552" s="3" t="str">
        <f>"00209447"</f>
        <v>00209447</v>
      </c>
    </row>
    <row r="4553" spans="1:2" x14ac:dyDescent="0.25">
      <c r="A4553" s="2">
        <v>4548</v>
      </c>
      <c r="B4553" s="3" t="str">
        <f>"00209502"</f>
        <v>00209502</v>
      </c>
    </row>
    <row r="4554" spans="1:2" x14ac:dyDescent="0.25">
      <c r="A4554" s="2">
        <v>4549</v>
      </c>
      <c r="B4554" s="3" t="str">
        <f>"00209527"</f>
        <v>00209527</v>
      </c>
    </row>
    <row r="4555" spans="1:2" x14ac:dyDescent="0.25">
      <c r="A4555" s="2">
        <v>4550</v>
      </c>
      <c r="B4555" s="3" t="str">
        <f>"00209544"</f>
        <v>00209544</v>
      </c>
    </row>
    <row r="4556" spans="1:2" x14ac:dyDescent="0.25">
      <c r="A4556" s="2">
        <v>4551</v>
      </c>
      <c r="B4556" s="3" t="str">
        <f>"00209612"</f>
        <v>00209612</v>
      </c>
    </row>
    <row r="4557" spans="1:2" x14ac:dyDescent="0.25">
      <c r="A4557" s="2">
        <v>4552</v>
      </c>
      <c r="B4557" s="3" t="str">
        <f>"00209685"</f>
        <v>00209685</v>
      </c>
    </row>
    <row r="4558" spans="1:2" x14ac:dyDescent="0.25">
      <c r="A4558" s="2">
        <v>4553</v>
      </c>
      <c r="B4558" s="3" t="str">
        <f>"00209715"</f>
        <v>00209715</v>
      </c>
    </row>
    <row r="4559" spans="1:2" x14ac:dyDescent="0.25">
      <c r="A4559" s="2">
        <v>4554</v>
      </c>
      <c r="B4559" s="3" t="str">
        <f>"00209763"</f>
        <v>00209763</v>
      </c>
    </row>
    <row r="4560" spans="1:2" x14ac:dyDescent="0.25">
      <c r="A4560" s="2">
        <v>4555</v>
      </c>
      <c r="B4560" s="3" t="str">
        <f>"00209802"</f>
        <v>00209802</v>
      </c>
    </row>
    <row r="4561" spans="1:2" x14ac:dyDescent="0.25">
      <c r="A4561" s="2">
        <v>4556</v>
      </c>
      <c r="B4561" s="3" t="str">
        <f>"00209845"</f>
        <v>00209845</v>
      </c>
    </row>
    <row r="4562" spans="1:2" x14ac:dyDescent="0.25">
      <c r="A4562" s="2">
        <v>4557</v>
      </c>
      <c r="B4562" s="3" t="str">
        <f>"00209854"</f>
        <v>00209854</v>
      </c>
    </row>
    <row r="4563" spans="1:2" x14ac:dyDescent="0.25">
      <c r="A4563" s="2">
        <v>4558</v>
      </c>
      <c r="B4563" s="3" t="str">
        <f>"00209861"</f>
        <v>00209861</v>
      </c>
    </row>
    <row r="4564" spans="1:2" x14ac:dyDescent="0.25">
      <c r="A4564" s="2">
        <v>4559</v>
      </c>
      <c r="B4564" s="3" t="str">
        <f>"00209951"</f>
        <v>00209951</v>
      </c>
    </row>
    <row r="4565" spans="1:2" x14ac:dyDescent="0.25">
      <c r="A4565" s="2">
        <v>4560</v>
      </c>
      <c r="B4565" s="3" t="str">
        <f>"00209980"</f>
        <v>00209980</v>
      </c>
    </row>
    <row r="4566" spans="1:2" x14ac:dyDescent="0.25">
      <c r="A4566" s="2">
        <v>4561</v>
      </c>
      <c r="B4566" s="3" t="str">
        <f>"00209989"</f>
        <v>00209989</v>
      </c>
    </row>
    <row r="4567" spans="1:2" x14ac:dyDescent="0.25">
      <c r="A4567" s="2">
        <v>4562</v>
      </c>
      <c r="B4567" s="3" t="str">
        <f>"00210014"</f>
        <v>00210014</v>
      </c>
    </row>
    <row r="4568" spans="1:2" x14ac:dyDescent="0.25">
      <c r="A4568" s="2">
        <v>4563</v>
      </c>
      <c r="B4568" s="3" t="str">
        <f>"00210043"</f>
        <v>00210043</v>
      </c>
    </row>
    <row r="4569" spans="1:2" x14ac:dyDescent="0.25">
      <c r="A4569" s="2">
        <v>4564</v>
      </c>
      <c r="B4569" s="3" t="str">
        <f>"00210108"</f>
        <v>00210108</v>
      </c>
    </row>
    <row r="4570" spans="1:2" x14ac:dyDescent="0.25">
      <c r="A4570" s="2">
        <v>4565</v>
      </c>
      <c r="B4570" s="3" t="str">
        <f>"00210134"</f>
        <v>00210134</v>
      </c>
    </row>
    <row r="4571" spans="1:2" x14ac:dyDescent="0.25">
      <c r="A4571" s="2">
        <v>4566</v>
      </c>
      <c r="B4571" s="3" t="str">
        <f>"00210148"</f>
        <v>00210148</v>
      </c>
    </row>
    <row r="4572" spans="1:2" x14ac:dyDescent="0.25">
      <c r="A4572" s="2">
        <v>4567</v>
      </c>
      <c r="B4572" s="3" t="str">
        <f>"00210149"</f>
        <v>00210149</v>
      </c>
    </row>
    <row r="4573" spans="1:2" x14ac:dyDescent="0.25">
      <c r="A4573" s="2">
        <v>4568</v>
      </c>
      <c r="B4573" s="3" t="str">
        <f>"00210182"</f>
        <v>00210182</v>
      </c>
    </row>
    <row r="4574" spans="1:2" x14ac:dyDescent="0.25">
      <c r="A4574" s="2">
        <v>4569</v>
      </c>
      <c r="B4574" s="3" t="str">
        <f>"00210221"</f>
        <v>00210221</v>
      </c>
    </row>
    <row r="4575" spans="1:2" x14ac:dyDescent="0.25">
      <c r="A4575" s="2">
        <v>4570</v>
      </c>
      <c r="B4575" s="3" t="str">
        <f>"00210245"</f>
        <v>00210245</v>
      </c>
    </row>
    <row r="4576" spans="1:2" x14ac:dyDescent="0.25">
      <c r="A4576" s="2">
        <v>4571</v>
      </c>
      <c r="B4576" s="3" t="str">
        <f>"00210262"</f>
        <v>00210262</v>
      </c>
    </row>
    <row r="4577" spans="1:2" x14ac:dyDescent="0.25">
      <c r="A4577" s="2">
        <v>4572</v>
      </c>
      <c r="B4577" s="3" t="str">
        <f>"00210272"</f>
        <v>00210272</v>
      </c>
    </row>
    <row r="4578" spans="1:2" x14ac:dyDescent="0.25">
      <c r="A4578" s="2">
        <v>4573</v>
      </c>
      <c r="B4578" s="3" t="str">
        <f>"00210370"</f>
        <v>00210370</v>
      </c>
    </row>
    <row r="4579" spans="1:2" x14ac:dyDescent="0.25">
      <c r="A4579" s="2">
        <v>4574</v>
      </c>
      <c r="B4579" s="3" t="str">
        <f>"00210414"</f>
        <v>00210414</v>
      </c>
    </row>
    <row r="4580" spans="1:2" x14ac:dyDescent="0.25">
      <c r="A4580" s="2">
        <v>4575</v>
      </c>
      <c r="B4580" s="3" t="str">
        <f>"00210415"</f>
        <v>00210415</v>
      </c>
    </row>
    <row r="4581" spans="1:2" x14ac:dyDescent="0.25">
      <c r="A4581" s="2">
        <v>4576</v>
      </c>
      <c r="B4581" s="3" t="str">
        <f>"00210548"</f>
        <v>00210548</v>
      </c>
    </row>
    <row r="4582" spans="1:2" x14ac:dyDescent="0.25">
      <c r="A4582" s="2">
        <v>4577</v>
      </c>
      <c r="B4582" s="3" t="str">
        <f>"00211930"</f>
        <v>00211930</v>
      </c>
    </row>
    <row r="4583" spans="1:2" x14ac:dyDescent="0.25">
      <c r="A4583" s="2">
        <v>4578</v>
      </c>
      <c r="B4583" s="3" t="str">
        <f>"00211948"</f>
        <v>00211948</v>
      </c>
    </row>
    <row r="4584" spans="1:2" x14ac:dyDescent="0.25">
      <c r="A4584" s="2">
        <v>4579</v>
      </c>
      <c r="B4584" s="3" t="str">
        <f>"00211988"</f>
        <v>00211988</v>
      </c>
    </row>
    <row r="4585" spans="1:2" x14ac:dyDescent="0.25">
      <c r="A4585" s="2">
        <v>4580</v>
      </c>
      <c r="B4585" s="3" t="str">
        <f>"00212031"</f>
        <v>00212031</v>
      </c>
    </row>
    <row r="4586" spans="1:2" x14ac:dyDescent="0.25">
      <c r="A4586" s="2">
        <v>4581</v>
      </c>
      <c r="B4586" s="3" t="str">
        <f>"00212045"</f>
        <v>00212045</v>
      </c>
    </row>
    <row r="4587" spans="1:2" x14ac:dyDescent="0.25">
      <c r="A4587" s="2">
        <v>4582</v>
      </c>
      <c r="B4587" s="3" t="str">
        <f>"00212074"</f>
        <v>00212074</v>
      </c>
    </row>
    <row r="4588" spans="1:2" x14ac:dyDescent="0.25">
      <c r="A4588" s="2">
        <v>4583</v>
      </c>
      <c r="B4588" s="3" t="str">
        <f>"00212099"</f>
        <v>00212099</v>
      </c>
    </row>
    <row r="4589" spans="1:2" x14ac:dyDescent="0.25">
      <c r="A4589" s="2">
        <v>4584</v>
      </c>
      <c r="B4589" s="3" t="str">
        <f>"00212100"</f>
        <v>00212100</v>
      </c>
    </row>
    <row r="4590" spans="1:2" x14ac:dyDescent="0.25">
      <c r="A4590" s="2">
        <v>4585</v>
      </c>
      <c r="B4590" s="3" t="str">
        <f>"00212105"</f>
        <v>00212105</v>
      </c>
    </row>
    <row r="4591" spans="1:2" x14ac:dyDescent="0.25">
      <c r="A4591" s="2">
        <v>4586</v>
      </c>
      <c r="B4591" s="3" t="str">
        <f>"00212117"</f>
        <v>00212117</v>
      </c>
    </row>
    <row r="4592" spans="1:2" x14ac:dyDescent="0.25">
      <c r="A4592" s="2">
        <v>4587</v>
      </c>
      <c r="B4592" s="3" t="str">
        <f>"00212147"</f>
        <v>00212147</v>
      </c>
    </row>
    <row r="4593" spans="1:2" x14ac:dyDescent="0.25">
      <c r="A4593" s="2">
        <v>4588</v>
      </c>
      <c r="B4593" s="3" t="str">
        <f>"00212185"</f>
        <v>00212185</v>
      </c>
    </row>
    <row r="4594" spans="1:2" x14ac:dyDescent="0.25">
      <c r="A4594" s="2">
        <v>4589</v>
      </c>
      <c r="B4594" s="3" t="str">
        <f>"00212186"</f>
        <v>00212186</v>
      </c>
    </row>
    <row r="4595" spans="1:2" x14ac:dyDescent="0.25">
      <c r="A4595" s="2">
        <v>4590</v>
      </c>
      <c r="B4595" s="3" t="str">
        <f>"00212190"</f>
        <v>00212190</v>
      </c>
    </row>
    <row r="4596" spans="1:2" x14ac:dyDescent="0.25">
      <c r="A4596" s="2">
        <v>4591</v>
      </c>
      <c r="B4596" s="3" t="str">
        <f>"00212250"</f>
        <v>00212250</v>
      </c>
    </row>
    <row r="4597" spans="1:2" x14ac:dyDescent="0.25">
      <c r="A4597" s="2">
        <v>4592</v>
      </c>
      <c r="B4597" s="3" t="str">
        <f>"00212312"</f>
        <v>00212312</v>
      </c>
    </row>
    <row r="4598" spans="1:2" x14ac:dyDescent="0.25">
      <c r="A4598" s="2">
        <v>4593</v>
      </c>
      <c r="B4598" s="3" t="str">
        <f>"00212335"</f>
        <v>00212335</v>
      </c>
    </row>
    <row r="4599" spans="1:2" x14ac:dyDescent="0.25">
      <c r="A4599" s="2">
        <v>4594</v>
      </c>
      <c r="B4599" s="3" t="str">
        <f>"00212497"</f>
        <v>00212497</v>
      </c>
    </row>
    <row r="4600" spans="1:2" x14ac:dyDescent="0.25">
      <c r="A4600" s="2">
        <v>4595</v>
      </c>
      <c r="B4600" s="3" t="str">
        <f>"00212542"</f>
        <v>00212542</v>
      </c>
    </row>
    <row r="4601" spans="1:2" x14ac:dyDescent="0.25">
      <c r="A4601" s="2">
        <v>4596</v>
      </c>
      <c r="B4601" s="3" t="str">
        <f>"00212611"</f>
        <v>00212611</v>
      </c>
    </row>
    <row r="4602" spans="1:2" x14ac:dyDescent="0.25">
      <c r="A4602" s="2">
        <v>4597</v>
      </c>
      <c r="B4602" s="3" t="str">
        <f>"00212625"</f>
        <v>00212625</v>
      </c>
    </row>
    <row r="4603" spans="1:2" x14ac:dyDescent="0.25">
      <c r="A4603" s="2">
        <v>4598</v>
      </c>
      <c r="B4603" s="3" t="str">
        <f>"00212669"</f>
        <v>00212669</v>
      </c>
    </row>
    <row r="4604" spans="1:2" x14ac:dyDescent="0.25">
      <c r="A4604" s="2">
        <v>4599</v>
      </c>
      <c r="B4604" s="3" t="str">
        <f>"00212698"</f>
        <v>00212698</v>
      </c>
    </row>
    <row r="4605" spans="1:2" x14ac:dyDescent="0.25">
      <c r="A4605" s="2">
        <v>4600</v>
      </c>
      <c r="B4605" s="3" t="str">
        <f>"00212795"</f>
        <v>00212795</v>
      </c>
    </row>
    <row r="4606" spans="1:2" x14ac:dyDescent="0.25">
      <c r="A4606" s="2">
        <v>4601</v>
      </c>
      <c r="B4606" s="3" t="str">
        <f>"00212869"</f>
        <v>00212869</v>
      </c>
    </row>
    <row r="4607" spans="1:2" x14ac:dyDescent="0.25">
      <c r="A4607" s="2">
        <v>4602</v>
      </c>
      <c r="B4607" s="3" t="str">
        <f>"00212969"</f>
        <v>00212969</v>
      </c>
    </row>
    <row r="4608" spans="1:2" x14ac:dyDescent="0.25">
      <c r="A4608" s="2">
        <v>4603</v>
      </c>
      <c r="B4608" s="3" t="str">
        <f>"00212998"</f>
        <v>00212998</v>
      </c>
    </row>
    <row r="4609" spans="1:2" x14ac:dyDescent="0.25">
      <c r="A4609" s="2">
        <v>4604</v>
      </c>
      <c r="B4609" s="3" t="str">
        <f>"00213231"</f>
        <v>00213231</v>
      </c>
    </row>
    <row r="4610" spans="1:2" x14ac:dyDescent="0.25">
      <c r="A4610" s="2">
        <v>4605</v>
      </c>
      <c r="B4610" s="3" t="str">
        <f>"00213239"</f>
        <v>00213239</v>
      </c>
    </row>
    <row r="4611" spans="1:2" x14ac:dyDescent="0.25">
      <c r="A4611" s="2">
        <v>4606</v>
      </c>
      <c r="B4611" s="3" t="str">
        <f>"00213296"</f>
        <v>00213296</v>
      </c>
    </row>
    <row r="4612" spans="1:2" x14ac:dyDescent="0.25">
      <c r="A4612" s="2">
        <v>4607</v>
      </c>
      <c r="B4612" s="3" t="str">
        <f>"00213353"</f>
        <v>00213353</v>
      </c>
    </row>
    <row r="4613" spans="1:2" x14ac:dyDescent="0.25">
      <c r="A4613" s="2">
        <v>4608</v>
      </c>
      <c r="B4613" s="3" t="str">
        <f>"00213384"</f>
        <v>00213384</v>
      </c>
    </row>
    <row r="4614" spans="1:2" x14ac:dyDescent="0.25">
      <c r="A4614" s="2">
        <v>4609</v>
      </c>
      <c r="B4614" s="3" t="str">
        <f>"00213432"</f>
        <v>00213432</v>
      </c>
    </row>
    <row r="4615" spans="1:2" x14ac:dyDescent="0.25">
      <c r="A4615" s="2">
        <v>4610</v>
      </c>
      <c r="B4615" s="3" t="str">
        <f>"00213453"</f>
        <v>00213453</v>
      </c>
    </row>
    <row r="4616" spans="1:2" x14ac:dyDescent="0.25">
      <c r="A4616" s="2">
        <v>4611</v>
      </c>
      <c r="B4616" s="3" t="str">
        <f>"00213520"</f>
        <v>00213520</v>
      </c>
    </row>
    <row r="4617" spans="1:2" x14ac:dyDescent="0.25">
      <c r="A4617" s="2">
        <v>4612</v>
      </c>
      <c r="B4617" s="3" t="str">
        <f>"00213535"</f>
        <v>00213535</v>
      </c>
    </row>
    <row r="4618" spans="1:2" x14ac:dyDescent="0.25">
      <c r="A4618" s="2">
        <v>4613</v>
      </c>
      <c r="B4618" s="3" t="str">
        <f>"00213557"</f>
        <v>00213557</v>
      </c>
    </row>
    <row r="4619" spans="1:2" x14ac:dyDescent="0.25">
      <c r="A4619" s="2">
        <v>4614</v>
      </c>
      <c r="B4619" s="3" t="str">
        <f>"00214107"</f>
        <v>00214107</v>
      </c>
    </row>
    <row r="4620" spans="1:2" x14ac:dyDescent="0.25">
      <c r="A4620" s="2">
        <v>4615</v>
      </c>
      <c r="B4620" s="3" t="str">
        <f>"00214152"</f>
        <v>00214152</v>
      </c>
    </row>
    <row r="4621" spans="1:2" x14ac:dyDescent="0.25">
      <c r="A4621" s="2">
        <v>4616</v>
      </c>
      <c r="B4621" s="3" t="str">
        <f>"00214173"</f>
        <v>00214173</v>
      </c>
    </row>
    <row r="4622" spans="1:2" x14ac:dyDescent="0.25">
      <c r="A4622" s="2">
        <v>4617</v>
      </c>
      <c r="B4622" s="3" t="str">
        <f>"00214179"</f>
        <v>00214179</v>
      </c>
    </row>
    <row r="4623" spans="1:2" x14ac:dyDescent="0.25">
      <c r="A4623" s="2">
        <v>4618</v>
      </c>
      <c r="B4623" s="3" t="str">
        <f>"00214219"</f>
        <v>00214219</v>
      </c>
    </row>
    <row r="4624" spans="1:2" x14ac:dyDescent="0.25">
      <c r="A4624" s="2">
        <v>4619</v>
      </c>
      <c r="B4624" s="3" t="str">
        <f>"00214257"</f>
        <v>00214257</v>
      </c>
    </row>
    <row r="4625" spans="1:2" x14ac:dyDescent="0.25">
      <c r="A4625" s="2">
        <v>4620</v>
      </c>
      <c r="B4625" s="3" t="str">
        <f>"00214285"</f>
        <v>00214285</v>
      </c>
    </row>
    <row r="4626" spans="1:2" x14ac:dyDescent="0.25">
      <c r="A4626" s="2">
        <v>4621</v>
      </c>
      <c r="B4626" s="3" t="str">
        <f>"00214344"</f>
        <v>00214344</v>
      </c>
    </row>
    <row r="4627" spans="1:2" x14ac:dyDescent="0.25">
      <c r="A4627" s="2">
        <v>4622</v>
      </c>
      <c r="B4627" s="3" t="str">
        <f>"00214398"</f>
        <v>00214398</v>
      </c>
    </row>
    <row r="4628" spans="1:2" x14ac:dyDescent="0.25">
      <c r="A4628" s="2">
        <v>4623</v>
      </c>
      <c r="B4628" s="3" t="str">
        <f>"00214438"</f>
        <v>00214438</v>
      </c>
    </row>
    <row r="4629" spans="1:2" x14ac:dyDescent="0.25">
      <c r="A4629" s="2">
        <v>4624</v>
      </c>
      <c r="B4629" s="3" t="str">
        <f>"00214473"</f>
        <v>00214473</v>
      </c>
    </row>
    <row r="4630" spans="1:2" x14ac:dyDescent="0.25">
      <c r="A4630" s="2">
        <v>4625</v>
      </c>
      <c r="B4630" s="3" t="str">
        <f>"00214474"</f>
        <v>00214474</v>
      </c>
    </row>
    <row r="4631" spans="1:2" x14ac:dyDescent="0.25">
      <c r="A4631" s="2">
        <v>4626</v>
      </c>
      <c r="B4631" s="3" t="str">
        <f>"00214500"</f>
        <v>00214500</v>
      </c>
    </row>
    <row r="4632" spans="1:2" x14ac:dyDescent="0.25">
      <c r="A4632" s="2">
        <v>4627</v>
      </c>
      <c r="B4632" s="3" t="str">
        <f>"00214501"</f>
        <v>00214501</v>
      </c>
    </row>
    <row r="4633" spans="1:2" x14ac:dyDescent="0.25">
      <c r="A4633" s="2">
        <v>4628</v>
      </c>
      <c r="B4633" s="3" t="str">
        <f>"00214565"</f>
        <v>00214565</v>
      </c>
    </row>
    <row r="4634" spans="1:2" x14ac:dyDescent="0.25">
      <c r="A4634" s="2">
        <v>4629</v>
      </c>
      <c r="B4634" s="3" t="str">
        <f>"00214618"</f>
        <v>00214618</v>
      </c>
    </row>
    <row r="4635" spans="1:2" x14ac:dyDescent="0.25">
      <c r="A4635" s="2">
        <v>4630</v>
      </c>
      <c r="B4635" s="3" t="str">
        <f>"00214638"</f>
        <v>00214638</v>
      </c>
    </row>
    <row r="4636" spans="1:2" x14ac:dyDescent="0.25">
      <c r="A4636" s="2">
        <v>4631</v>
      </c>
      <c r="B4636" s="3" t="str">
        <f>"00214668"</f>
        <v>00214668</v>
      </c>
    </row>
    <row r="4637" spans="1:2" x14ac:dyDescent="0.25">
      <c r="A4637" s="2">
        <v>4632</v>
      </c>
      <c r="B4637" s="3" t="str">
        <f>"00214700"</f>
        <v>00214700</v>
      </c>
    </row>
    <row r="4638" spans="1:2" x14ac:dyDescent="0.25">
      <c r="A4638" s="2">
        <v>4633</v>
      </c>
      <c r="B4638" s="3" t="str">
        <f>"00214769"</f>
        <v>00214769</v>
      </c>
    </row>
    <row r="4639" spans="1:2" x14ac:dyDescent="0.25">
      <c r="A4639" s="2">
        <v>4634</v>
      </c>
      <c r="B4639" s="3" t="str">
        <f>"00214840"</f>
        <v>00214840</v>
      </c>
    </row>
    <row r="4640" spans="1:2" x14ac:dyDescent="0.25">
      <c r="A4640" s="2">
        <v>4635</v>
      </c>
      <c r="B4640" s="3" t="str">
        <f>"00214922"</f>
        <v>00214922</v>
      </c>
    </row>
    <row r="4641" spans="1:2" x14ac:dyDescent="0.25">
      <c r="A4641" s="2">
        <v>4636</v>
      </c>
      <c r="B4641" s="3" t="str">
        <f>"00214982"</f>
        <v>00214982</v>
      </c>
    </row>
    <row r="4642" spans="1:2" x14ac:dyDescent="0.25">
      <c r="A4642" s="2">
        <v>4637</v>
      </c>
      <c r="B4642" s="3" t="str">
        <f>"00215060"</f>
        <v>00215060</v>
      </c>
    </row>
    <row r="4643" spans="1:2" x14ac:dyDescent="0.25">
      <c r="A4643" s="2">
        <v>4638</v>
      </c>
      <c r="B4643" s="3" t="str">
        <f>"00215120"</f>
        <v>00215120</v>
      </c>
    </row>
    <row r="4644" spans="1:2" x14ac:dyDescent="0.25">
      <c r="A4644" s="2">
        <v>4639</v>
      </c>
      <c r="B4644" s="3" t="str">
        <f>"00215123"</f>
        <v>00215123</v>
      </c>
    </row>
    <row r="4645" spans="1:2" x14ac:dyDescent="0.25">
      <c r="A4645" s="2">
        <v>4640</v>
      </c>
      <c r="B4645" s="3" t="str">
        <f>"00215321"</f>
        <v>00215321</v>
      </c>
    </row>
    <row r="4646" spans="1:2" x14ac:dyDescent="0.25">
      <c r="A4646" s="2">
        <v>4641</v>
      </c>
      <c r="B4646" s="3" t="str">
        <f>"00215341"</f>
        <v>00215341</v>
      </c>
    </row>
    <row r="4647" spans="1:2" x14ac:dyDescent="0.25">
      <c r="A4647" s="2">
        <v>4642</v>
      </c>
      <c r="B4647" s="3" t="str">
        <f>"00215363"</f>
        <v>00215363</v>
      </c>
    </row>
    <row r="4648" spans="1:2" x14ac:dyDescent="0.25">
      <c r="A4648" s="2">
        <v>4643</v>
      </c>
      <c r="B4648" s="3" t="str">
        <f>"00215439"</f>
        <v>00215439</v>
      </c>
    </row>
    <row r="4649" spans="1:2" x14ac:dyDescent="0.25">
      <c r="A4649" s="2">
        <v>4644</v>
      </c>
      <c r="B4649" s="3" t="str">
        <f>"00215446"</f>
        <v>00215446</v>
      </c>
    </row>
    <row r="4650" spans="1:2" x14ac:dyDescent="0.25">
      <c r="A4650" s="2">
        <v>4645</v>
      </c>
      <c r="B4650" s="3" t="str">
        <f>"00215464"</f>
        <v>00215464</v>
      </c>
    </row>
    <row r="4651" spans="1:2" x14ac:dyDescent="0.25">
      <c r="A4651" s="2">
        <v>4646</v>
      </c>
      <c r="B4651" s="3" t="str">
        <f>"00215486"</f>
        <v>00215486</v>
      </c>
    </row>
    <row r="4652" spans="1:2" x14ac:dyDescent="0.25">
      <c r="A4652" s="2">
        <v>4647</v>
      </c>
      <c r="B4652" s="3" t="str">
        <f>"00215502"</f>
        <v>00215502</v>
      </c>
    </row>
    <row r="4653" spans="1:2" x14ac:dyDescent="0.25">
      <c r="A4653" s="2">
        <v>4648</v>
      </c>
      <c r="B4653" s="3" t="str">
        <f>"00215532"</f>
        <v>00215532</v>
      </c>
    </row>
    <row r="4654" spans="1:2" x14ac:dyDescent="0.25">
      <c r="A4654" s="2">
        <v>4649</v>
      </c>
      <c r="B4654" s="3" t="str">
        <f>"00215551"</f>
        <v>00215551</v>
      </c>
    </row>
    <row r="4655" spans="1:2" x14ac:dyDescent="0.25">
      <c r="A4655" s="2">
        <v>4650</v>
      </c>
      <c r="B4655" s="3" t="str">
        <f>"00215586"</f>
        <v>00215586</v>
      </c>
    </row>
    <row r="4656" spans="1:2" x14ac:dyDescent="0.25">
      <c r="A4656" s="2">
        <v>4651</v>
      </c>
      <c r="B4656" s="3" t="str">
        <f>"00215588"</f>
        <v>00215588</v>
      </c>
    </row>
    <row r="4657" spans="1:2" x14ac:dyDescent="0.25">
      <c r="A4657" s="2">
        <v>4652</v>
      </c>
      <c r="B4657" s="3" t="str">
        <f>"00215616"</f>
        <v>00215616</v>
      </c>
    </row>
    <row r="4658" spans="1:2" x14ac:dyDescent="0.25">
      <c r="A4658" s="2">
        <v>4653</v>
      </c>
      <c r="B4658" s="3" t="str">
        <f>"00215618"</f>
        <v>00215618</v>
      </c>
    </row>
    <row r="4659" spans="1:2" x14ac:dyDescent="0.25">
      <c r="A4659" s="2">
        <v>4654</v>
      </c>
      <c r="B4659" s="3" t="str">
        <f>"00215727"</f>
        <v>00215727</v>
      </c>
    </row>
    <row r="4660" spans="1:2" x14ac:dyDescent="0.25">
      <c r="A4660" s="2">
        <v>4655</v>
      </c>
      <c r="B4660" s="3" t="str">
        <f>"00215747"</f>
        <v>00215747</v>
      </c>
    </row>
    <row r="4661" spans="1:2" x14ac:dyDescent="0.25">
      <c r="A4661" s="2">
        <v>4656</v>
      </c>
      <c r="B4661" s="3" t="str">
        <f>"00215754"</f>
        <v>00215754</v>
      </c>
    </row>
    <row r="4662" spans="1:2" x14ac:dyDescent="0.25">
      <c r="A4662" s="2">
        <v>4657</v>
      </c>
      <c r="B4662" s="3" t="str">
        <f>"00215772"</f>
        <v>00215772</v>
      </c>
    </row>
    <row r="4663" spans="1:2" x14ac:dyDescent="0.25">
      <c r="A4663" s="2">
        <v>4658</v>
      </c>
      <c r="B4663" s="3" t="str">
        <f>"00215811"</f>
        <v>00215811</v>
      </c>
    </row>
    <row r="4664" spans="1:2" x14ac:dyDescent="0.25">
      <c r="A4664" s="2">
        <v>4659</v>
      </c>
      <c r="B4664" s="3" t="str">
        <f>"00215841"</f>
        <v>00215841</v>
      </c>
    </row>
    <row r="4665" spans="1:2" x14ac:dyDescent="0.25">
      <c r="A4665" s="2">
        <v>4660</v>
      </c>
      <c r="B4665" s="3" t="str">
        <f>"00215913"</f>
        <v>00215913</v>
      </c>
    </row>
    <row r="4666" spans="1:2" x14ac:dyDescent="0.25">
      <c r="A4666" s="2">
        <v>4661</v>
      </c>
      <c r="B4666" s="3" t="str">
        <f>"00216025"</f>
        <v>00216025</v>
      </c>
    </row>
    <row r="4667" spans="1:2" x14ac:dyDescent="0.25">
      <c r="A4667" s="2">
        <v>4662</v>
      </c>
      <c r="B4667" s="3" t="str">
        <f>"00216061"</f>
        <v>00216061</v>
      </c>
    </row>
    <row r="4668" spans="1:2" x14ac:dyDescent="0.25">
      <c r="A4668" s="2">
        <v>4663</v>
      </c>
      <c r="B4668" s="3" t="str">
        <f>"00216074"</f>
        <v>00216074</v>
      </c>
    </row>
    <row r="4669" spans="1:2" x14ac:dyDescent="0.25">
      <c r="A4669" s="2">
        <v>4664</v>
      </c>
      <c r="B4669" s="3" t="str">
        <f>"00216112"</f>
        <v>00216112</v>
      </c>
    </row>
    <row r="4670" spans="1:2" x14ac:dyDescent="0.25">
      <c r="A4670" s="2">
        <v>4665</v>
      </c>
      <c r="B4670" s="3" t="str">
        <f>"00216171"</f>
        <v>00216171</v>
      </c>
    </row>
    <row r="4671" spans="1:2" x14ac:dyDescent="0.25">
      <c r="A4671" s="2">
        <v>4666</v>
      </c>
      <c r="B4671" s="3" t="str">
        <f>"00216252"</f>
        <v>00216252</v>
      </c>
    </row>
    <row r="4672" spans="1:2" x14ac:dyDescent="0.25">
      <c r="A4672" s="2">
        <v>4667</v>
      </c>
      <c r="B4672" s="3" t="str">
        <f>"00216340"</f>
        <v>00216340</v>
      </c>
    </row>
    <row r="4673" spans="1:2" x14ac:dyDescent="0.25">
      <c r="A4673" s="2">
        <v>4668</v>
      </c>
      <c r="B4673" s="3" t="str">
        <f>"00216360"</f>
        <v>00216360</v>
      </c>
    </row>
    <row r="4674" spans="1:2" x14ac:dyDescent="0.25">
      <c r="A4674" s="2">
        <v>4669</v>
      </c>
      <c r="B4674" s="3" t="str">
        <f>"00216400"</f>
        <v>00216400</v>
      </c>
    </row>
    <row r="4675" spans="1:2" x14ac:dyDescent="0.25">
      <c r="A4675" s="2">
        <v>4670</v>
      </c>
      <c r="B4675" s="3" t="str">
        <f>"00216471"</f>
        <v>00216471</v>
      </c>
    </row>
    <row r="4676" spans="1:2" x14ac:dyDescent="0.25">
      <c r="A4676" s="2">
        <v>4671</v>
      </c>
      <c r="B4676" s="3" t="str">
        <f>"00216523"</f>
        <v>00216523</v>
      </c>
    </row>
    <row r="4677" spans="1:2" x14ac:dyDescent="0.25">
      <c r="A4677" s="2">
        <v>4672</v>
      </c>
      <c r="B4677" s="3" t="str">
        <f>"00216542"</f>
        <v>00216542</v>
      </c>
    </row>
    <row r="4678" spans="1:2" x14ac:dyDescent="0.25">
      <c r="A4678" s="2">
        <v>4673</v>
      </c>
      <c r="B4678" s="3" t="str">
        <f>"00216557"</f>
        <v>00216557</v>
      </c>
    </row>
    <row r="4679" spans="1:2" x14ac:dyDescent="0.25">
      <c r="A4679" s="2">
        <v>4674</v>
      </c>
      <c r="B4679" s="3" t="str">
        <f>"00216609"</f>
        <v>00216609</v>
      </c>
    </row>
    <row r="4680" spans="1:2" x14ac:dyDescent="0.25">
      <c r="A4680" s="2">
        <v>4675</v>
      </c>
      <c r="B4680" s="3" t="str">
        <f>"00216644"</f>
        <v>00216644</v>
      </c>
    </row>
    <row r="4681" spans="1:2" x14ac:dyDescent="0.25">
      <c r="A4681" s="2">
        <v>4676</v>
      </c>
      <c r="B4681" s="3" t="str">
        <f>"00216650"</f>
        <v>00216650</v>
      </c>
    </row>
    <row r="4682" spans="1:2" x14ac:dyDescent="0.25">
      <c r="A4682" s="2">
        <v>4677</v>
      </c>
      <c r="B4682" s="3" t="str">
        <f>"00216659"</f>
        <v>00216659</v>
      </c>
    </row>
    <row r="4683" spans="1:2" x14ac:dyDescent="0.25">
      <c r="A4683" s="2">
        <v>4678</v>
      </c>
      <c r="B4683" s="3" t="str">
        <f>"00216775"</f>
        <v>00216775</v>
      </c>
    </row>
    <row r="4684" spans="1:2" x14ac:dyDescent="0.25">
      <c r="A4684" s="2">
        <v>4679</v>
      </c>
      <c r="B4684" s="3" t="str">
        <f>"00216788"</f>
        <v>00216788</v>
      </c>
    </row>
    <row r="4685" spans="1:2" x14ac:dyDescent="0.25">
      <c r="A4685" s="2">
        <v>4680</v>
      </c>
      <c r="B4685" s="3" t="str">
        <f>"00216828"</f>
        <v>00216828</v>
      </c>
    </row>
    <row r="4686" spans="1:2" x14ac:dyDescent="0.25">
      <c r="A4686" s="2">
        <v>4681</v>
      </c>
      <c r="B4686" s="3" t="str">
        <f>"00216834"</f>
        <v>00216834</v>
      </c>
    </row>
    <row r="4687" spans="1:2" x14ac:dyDescent="0.25">
      <c r="A4687" s="2">
        <v>4682</v>
      </c>
      <c r="B4687" s="3" t="str">
        <f>"00216837"</f>
        <v>00216837</v>
      </c>
    </row>
    <row r="4688" spans="1:2" x14ac:dyDescent="0.25">
      <c r="A4688" s="2">
        <v>4683</v>
      </c>
      <c r="B4688" s="3" t="str">
        <f>"00216931"</f>
        <v>00216931</v>
      </c>
    </row>
    <row r="4689" spans="1:2" x14ac:dyDescent="0.25">
      <c r="A4689" s="2">
        <v>4684</v>
      </c>
      <c r="B4689" s="3" t="str">
        <f>"00217004"</f>
        <v>00217004</v>
      </c>
    </row>
    <row r="4690" spans="1:2" x14ac:dyDescent="0.25">
      <c r="A4690" s="2">
        <v>4685</v>
      </c>
      <c r="B4690" s="3" t="str">
        <f>"00217021"</f>
        <v>00217021</v>
      </c>
    </row>
    <row r="4691" spans="1:2" x14ac:dyDescent="0.25">
      <c r="A4691" s="2">
        <v>4686</v>
      </c>
      <c r="B4691" s="3" t="str">
        <f>"00217046"</f>
        <v>00217046</v>
      </c>
    </row>
    <row r="4692" spans="1:2" x14ac:dyDescent="0.25">
      <c r="A4692" s="2">
        <v>4687</v>
      </c>
      <c r="B4692" s="3" t="str">
        <f>"00217139"</f>
        <v>00217139</v>
      </c>
    </row>
    <row r="4693" spans="1:2" x14ac:dyDescent="0.25">
      <c r="A4693" s="2">
        <v>4688</v>
      </c>
      <c r="B4693" s="3" t="str">
        <f>"00217213"</f>
        <v>00217213</v>
      </c>
    </row>
    <row r="4694" spans="1:2" x14ac:dyDescent="0.25">
      <c r="A4694" s="2">
        <v>4689</v>
      </c>
      <c r="B4694" s="3" t="str">
        <f>"00217215"</f>
        <v>00217215</v>
      </c>
    </row>
    <row r="4695" spans="1:2" x14ac:dyDescent="0.25">
      <c r="A4695" s="2">
        <v>4690</v>
      </c>
      <c r="B4695" s="3" t="str">
        <f>"00217219"</f>
        <v>00217219</v>
      </c>
    </row>
    <row r="4696" spans="1:2" x14ac:dyDescent="0.25">
      <c r="A4696" s="2">
        <v>4691</v>
      </c>
      <c r="B4696" s="3" t="str">
        <f>"00217230"</f>
        <v>00217230</v>
      </c>
    </row>
    <row r="4697" spans="1:2" x14ac:dyDescent="0.25">
      <c r="A4697" s="2">
        <v>4692</v>
      </c>
      <c r="B4697" s="3" t="str">
        <f>"00217241"</f>
        <v>00217241</v>
      </c>
    </row>
    <row r="4698" spans="1:2" x14ac:dyDescent="0.25">
      <c r="A4698" s="2">
        <v>4693</v>
      </c>
      <c r="B4698" s="3" t="str">
        <f>"00217370"</f>
        <v>00217370</v>
      </c>
    </row>
    <row r="4699" spans="1:2" x14ac:dyDescent="0.25">
      <c r="A4699" s="2">
        <v>4694</v>
      </c>
      <c r="B4699" s="3" t="str">
        <f>"00217383"</f>
        <v>00217383</v>
      </c>
    </row>
    <row r="4700" spans="1:2" x14ac:dyDescent="0.25">
      <c r="A4700" s="2">
        <v>4695</v>
      </c>
      <c r="B4700" s="3" t="str">
        <f>"00217433"</f>
        <v>00217433</v>
      </c>
    </row>
    <row r="4701" spans="1:2" x14ac:dyDescent="0.25">
      <c r="A4701" s="2">
        <v>4696</v>
      </c>
      <c r="B4701" s="3" t="str">
        <f>"00217446"</f>
        <v>00217446</v>
      </c>
    </row>
    <row r="4702" spans="1:2" x14ac:dyDescent="0.25">
      <c r="A4702" s="2">
        <v>4697</v>
      </c>
      <c r="B4702" s="3" t="str">
        <f>"00217514"</f>
        <v>00217514</v>
      </c>
    </row>
    <row r="4703" spans="1:2" x14ac:dyDescent="0.25">
      <c r="A4703" s="2">
        <v>4698</v>
      </c>
      <c r="B4703" s="3" t="str">
        <f>"00217523"</f>
        <v>00217523</v>
      </c>
    </row>
    <row r="4704" spans="1:2" x14ac:dyDescent="0.25">
      <c r="A4704" s="2">
        <v>4699</v>
      </c>
      <c r="B4704" s="3" t="str">
        <f>"00217593"</f>
        <v>00217593</v>
      </c>
    </row>
    <row r="4705" spans="1:2" x14ac:dyDescent="0.25">
      <c r="A4705" s="2">
        <v>4700</v>
      </c>
      <c r="B4705" s="3" t="str">
        <f>"00217631"</f>
        <v>00217631</v>
      </c>
    </row>
    <row r="4706" spans="1:2" x14ac:dyDescent="0.25">
      <c r="A4706" s="2">
        <v>4701</v>
      </c>
      <c r="B4706" s="3" t="str">
        <f>"00217648"</f>
        <v>00217648</v>
      </c>
    </row>
    <row r="4707" spans="1:2" x14ac:dyDescent="0.25">
      <c r="A4707" s="2">
        <v>4702</v>
      </c>
      <c r="B4707" s="3" t="str">
        <f>"00217701"</f>
        <v>00217701</v>
      </c>
    </row>
    <row r="4708" spans="1:2" x14ac:dyDescent="0.25">
      <c r="A4708" s="2">
        <v>4703</v>
      </c>
      <c r="B4708" s="3" t="str">
        <f>"00217712"</f>
        <v>00217712</v>
      </c>
    </row>
    <row r="4709" spans="1:2" x14ac:dyDescent="0.25">
      <c r="A4709" s="2">
        <v>4704</v>
      </c>
      <c r="B4709" s="3" t="str">
        <f>"00217716"</f>
        <v>00217716</v>
      </c>
    </row>
    <row r="4710" spans="1:2" x14ac:dyDescent="0.25">
      <c r="A4710" s="2">
        <v>4705</v>
      </c>
      <c r="B4710" s="3" t="str">
        <f>"00217734"</f>
        <v>00217734</v>
      </c>
    </row>
    <row r="4711" spans="1:2" x14ac:dyDescent="0.25">
      <c r="A4711" s="2">
        <v>4706</v>
      </c>
      <c r="B4711" s="3" t="str">
        <f>"00217829"</f>
        <v>00217829</v>
      </c>
    </row>
    <row r="4712" spans="1:2" x14ac:dyDescent="0.25">
      <c r="A4712" s="2">
        <v>4707</v>
      </c>
      <c r="B4712" s="3" t="str">
        <f>"00217840"</f>
        <v>00217840</v>
      </c>
    </row>
    <row r="4713" spans="1:2" x14ac:dyDescent="0.25">
      <c r="A4713" s="2">
        <v>4708</v>
      </c>
      <c r="B4713" s="3" t="str">
        <f>"00217932"</f>
        <v>00217932</v>
      </c>
    </row>
    <row r="4714" spans="1:2" x14ac:dyDescent="0.25">
      <c r="A4714" s="2">
        <v>4709</v>
      </c>
      <c r="B4714" s="3" t="str">
        <f>"00217935"</f>
        <v>00217935</v>
      </c>
    </row>
    <row r="4715" spans="1:2" x14ac:dyDescent="0.25">
      <c r="A4715" s="2">
        <v>4710</v>
      </c>
      <c r="B4715" s="3" t="str">
        <f>"00218095"</f>
        <v>00218095</v>
      </c>
    </row>
    <row r="4716" spans="1:2" x14ac:dyDescent="0.25">
      <c r="A4716" s="2">
        <v>4711</v>
      </c>
      <c r="B4716" s="3" t="str">
        <f>"00218126"</f>
        <v>00218126</v>
      </c>
    </row>
    <row r="4717" spans="1:2" x14ac:dyDescent="0.25">
      <c r="A4717" s="2">
        <v>4712</v>
      </c>
      <c r="B4717" s="3" t="str">
        <f>"00218155"</f>
        <v>00218155</v>
      </c>
    </row>
    <row r="4718" spans="1:2" x14ac:dyDescent="0.25">
      <c r="A4718" s="2">
        <v>4713</v>
      </c>
      <c r="B4718" s="3" t="str">
        <f>"00218211"</f>
        <v>00218211</v>
      </c>
    </row>
    <row r="4719" spans="1:2" x14ac:dyDescent="0.25">
      <c r="A4719" s="2">
        <v>4714</v>
      </c>
      <c r="B4719" s="3" t="str">
        <f>"00218285"</f>
        <v>00218285</v>
      </c>
    </row>
    <row r="4720" spans="1:2" x14ac:dyDescent="0.25">
      <c r="A4720" s="2">
        <v>4715</v>
      </c>
      <c r="B4720" s="3" t="str">
        <f>"00218311"</f>
        <v>00218311</v>
      </c>
    </row>
    <row r="4721" spans="1:2" x14ac:dyDescent="0.25">
      <c r="A4721" s="2">
        <v>4716</v>
      </c>
      <c r="B4721" s="3" t="str">
        <f>"00218379"</f>
        <v>00218379</v>
      </c>
    </row>
    <row r="4722" spans="1:2" x14ac:dyDescent="0.25">
      <c r="A4722" s="2">
        <v>4717</v>
      </c>
      <c r="B4722" s="3" t="str">
        <f>"00218434"</f>
        <v>00218434</v>
      </c>
    </row>
    <row r="4723" spans="1:2" x14ac:dyDescent="0.25">
      <c r="A4723" s="2">
        <v>4718</v>
      </c>
      <c r="B4723" s="3" t="str">
        <f>"00218463"</f>
        <v>00218463</v>
      </c>
    </row>
    <row r="4724" spans="1:2" x14ac:dyDescent="0.25">
      <c r="A4724" s="2">
        <v>4719</v>
      </c>
      <c r="B4724" s="3" t="str">
        <f>"00218491"</f>
        <v>00218491</v>
      </c>
    </row>
    <row r="4725" spans="1:2" x14ac:dyDescent="0.25">
      <c r="A4725" s="2">
        <v>4720</v>
      </c>
      <c r="B4725" s="3" t="str">
        <f>"00218513"</f>
        <v>00218513</v>
      </c>
    </row>
    <row r="4726" spans="1:2" x14ac:dyDescent="0.25">
      <c r="A4726" s="2">
        <v>4721</v>
      </c>
      <c r="B4726" s="3" t="str">
        <f>"00218515"</f>
        <v>00218515</v>
      </c>
    </row>
    <row r="4727" spans="1:2" x14ac:dyDescent="0.25">
      <c r="A4727" s="2">
        <v>4722</v>
      </c>
      <c r="B4727" s="3" t="str">
        <f>"00218550"</f>
        <v>00218550</v>
      </c>
    </row>
    <row r="4728" spans="1:2" x14ac:dyDescent="0.25">
      <c r="A4728" s="2">
        <v>4723</v>
      </c>
      <c r="B4728" s="3" t="str">
        <f>"00218652"</f>
        <v>00218652</v>
      </c>
    </row>
    <row r="4729" spans="1:2" x14ac:dyDescent="0.25">
      <c r="A4729" s="2">
        <v>4724</v>
      </c>
      <c r="B4729" s="3" t="str">
        <f>"00218658"</f>
        <v>00218658</v>
      </c>
    </row>
    <row r="4730" spans="1:2" x14ac:dyDescent="0.25">
      <c r="A4730" s="2">
        <v>4725</v>
      </c>
      <c r="B4730" s="3" t="str">
        <f>"00218687"</f>
        <v>00218687</v>
      </c>
    </row>
    <row r="4731" spans="1:2" x14ac:dyDescent="0.25">
      <c r="A4731" s="2">
        <v>4726</v>
      </c>
      <c r="B4731" s="3" t="str">
        <f>"00218785"</f>
        <v>00218785</v>
      </c>
    </row>
    <row r="4732" spans="1:2" x14ac:dyDescent="0.25">
      <c r="A4732" s="2">
        <v>4727</v>
      </c>
      <c r="B4732" s="3" t="str">
        <f>"00218829"</f>
        <v>00218829</v>
      </c>
    </row>
    <row r="4733" spans="1:2" x14ac:dyDescent="0.25">
      <c r="A4733" s="2">
        <v>4728</v>
      </c>
      <c r="B4733" s="3" t="str">
        <f>"00218887"</f>
        <v>00218887</v>
      </c>
    </row>
    <row r="4734" spans="1:2" x14ac:dyDescent="0.25">
      <c r="A4734" s="2">
        <v>4729</v>
      </c>
      <c r="B4734" s="3" t="str">
        <f>"00218905"</f>
        <v>00218905</v>
      </c>
    </row>
    <row r="4735" spans="1:2" x14ac:dyDescent="0.25">
      <c r="A4735" s="2">
        <v>4730</v>
      </c>
      <c r="B4735" s="3" t="str">
        <f>"00218967"</f>
        <v>00218967</v>
      </c>
    </row>
    <row r="4736" spans="1:2" x14ac:dyDescent="0.25">
      <c r="A4736" s="2">
        <v>4731</v>
      </c>
      <c r="B4736" s="3" t="str">
        <f>"00219057"</f>
        <v>00219057</v>
      </c>
    </row>
    <row r="4737" spans="1:2" x14ac:dyDescent="0.25">
      <c r="A4737" s="2">
        <v>4732</v>
      </c>
      <c r="B4737" s="3" t="str">
        <f>"00219115"</f>
        <v>00219115</v>
      </c>
    </row>
    <row r="4738" spans="1:2" x14ac:dyDescent="0.25">
      <c r="A4738" s="2">
        <v>4733</v>
      </c>
      <c r="B4738" s="3" t="str">
        <f>"00219142"</f>
        <v>00219142</v>
      </c>
    </row>
    <row r="4739" spans="1:2" x14ac:dyDescent="0.25">
      <c r="A4739" s="2">
        <v>4734</v>
      </c>
      <c r="B4739" s="3" t="str">
        <f>"00219145"</f>
        <v>00219145</v>
      </c>
    </row>
    <row r="4740" spans="1:2" x14ac:dyDescent="0.25">
      <c r="A4740" s="2">
        <v>4735</v>
      </c>
      <c r="B4740" s="3" t="str">
        <f>"00219205"</f>
        <v>00219205</v>
      </c>
    </row>
    <row r="4741" spans="1:2" x14ac:dyDescent="0.25">
      <c r="A4741" s="2">
        <v>4736</v>
      </c>
      <c r="B4741" s="3" t="str">
        <f>"00219237"</f>
        <v>00219237</v>
      </c>
    </row>
    <row r="4742" spans="1:2" x14ac:dyDescent="0.25">
      <c r="A4742" s="2">
        <v>4737</v>
      </c>
      <c r="B4742" s="3" t="str">
        <f>"00219343"</f>
        <v>00219343</v>
      </c>
    </row>
    <row r="4743" spans="1:2" x14ac:dyDescent="0.25">
      <c r="A4743" s="2">
        <v>4738</v>
      </c>
      <c r="B4743" s="3" t="str">
        <f>"00219356"</f>
        <v>00219356</v>
      </c>
    </row>
    <row r="4744" spans="1:2" x14ac:dyDescent="0.25">
      <c r="A4744" s="2">
        <v>4739</v>
      </c>
      <c r="B4744" s="3" t="str">
        <f>"00219442"</f>
        <v>00219442</v>
      </c>
    </row>
    <row r="4745" spans="1:2" x14ac:dyDescent="0.25">
      <c r="A4745" s="2">
        <v>4740</v>
      </c>
      <c r="B4745" s="3" t="str">
        <f>"00219494"</f>
        <v>00219494</v>
      </c>
    </row>
    <row r="4746" spans="1:2" x14ac:dyDescent="0.25">
      <c r="A4746" s="2">
        <v>4741</v>
      </c>
      <c r="B4746" s="3" t="str">
        <f>"00219507"</f>
        <v>00219507</v>
      </c>
    </row>
    <row r="4747" spans="1:2" x14ac:dyDescent="0.25">
      <c r="A4747" s="2">
        <v>4742</v>
      </c>
      <c r="B4747" s="3" t="str">
        <f>"00219543"</f>
        <v>00219543</v>
      </c>
    </row>
    <row r="4748" spans="1:2" x14ac:dyDescent="0.25">
      <c r="A4748" s="2">
        <v>4743</v>
      </c>
      <c r="B4748" s="3" t="str">
        <f>"00219560"</f>
        <v>00219560</v>
      </c>
    </row>
    <row r="4749" spans="1:2" x14ac:dyDescent="0.25">
      <c r="A4749" s="2">
        <v>4744</v>
      </c>
      <c r="B4749" s="3" t="str">
        <f>"00219565"</f>
        <v>00219565</v>
      </c>
    </row>
    <row r="4750" spans="1:2" x14ac:dyDescent="0.25">
      <c r="A4750" s="2">
        <v>4745</v>
      </c>
      <c r="B4750" s="3" t="str">
        <f>"00219591"</f>
        <v>00219591</v>
      </c>
    </row>
    <row r="4751" spans="1:2" x14ac:dyDescent="0.25">
      <c r="A4751" s="2">
        <v>4746</v>
      </c>
      <c r="B4751" s="3" t="str">
        <f>"00219593"</f>
        <v>00219593</v>
      </c>
    </row>
    <row r="4752" spans="1:2" x14ac:dyDescent="0.25">
      <c r="A4752" s="2">
        <v>4747</v>
      </c>
      <c r="B4752" s="3" t="str">
        <f>"00219619"</f>
        <v>00219619</v>
      </c>
    </row>
    <row r="4753" spans="1:2" x14ac:dyDescent="0.25">
      <c r="A4753" s="2">
        <v>4748</v>
      </c>
      <c r="B4753" s="3" t="str">
        <f>"00219635"</f>
        <v>00219635</v>
      </c>
    </row>
    <row r="4754" spans="1:2" x14ac:dyDescent="0.25">
      <c r="A4754" s="2">
        <v>4749</v>
      </c>
      <c r="B4754" s="3" t="str">
        <f>"00219677"</f>
        <v>00219677</v>
      </c>
    </row>
    <row r="4755" spans="1:2" x14ac:dyDescent="0.25">
      <c r="A4755" s="2">
        <v>4750</v>
      </c>
      <c r="B4755" s="3" t="str">
        <f>"00219784"</f>
        <v>00219784</v>
      </c>
    </row>
    <row r="4756" spans="1:2" x14ac:dyDescent="0.25">
      <c r="A4756" s="2">
        <v>4751</v>
      </c>
      <c r="B4756" s="3" t="str">
        <f>"00219828"</f>
        <v>00219828</v>
      </c>
    </row>
    <row r="4757" spans="1:2" x14ac:dyDescent="0.25">
      <c r="A4757" s="2">
        <v>4752</v>
      </c>
      <c r="B4757" s="3" t="str">
        <f>"00219882"</f>
        <v>00219882</v>
      </c>
    </row>
    <row r="4758" spans="1:2" x14ac:dyDescent="0.25">
      <c r="A4758" s="2">
        <v>4753</v>
      </c>
      <c r="B4758" s="3" t="str">
        <f>"00219885"</f>
        <v>00219885</v>
      </c>
    </row>
    <row r="4759" spans="1:2" x14ac:dyDescent="0.25">
      <c r="A4759" s="2">
        <v>4754</v>
      </c>
      <c r="B4759" s="3" t="str">
        <f>"00219946"</f>
        <v>00219946</v>
      </c>
    </row>
    <row r="4760" spans="1:2" x14ac:dyDescent="0.25">
      <c r="A4760" s="2">
        <v>4755</v>
      </c>
      <c r="B4760" s="3" t="str">
        <f>"00219961"</f>
        <v>00219961</v>
      </c>
    </row>
    <row r="4761" spans="1:2" x14ac:dyDescent="0.25">
      <c r="A4761" s="2">
        <v>4756</v>
      </c>
      <c r="B4761" s="3" t="str">
        <f>"00219971"</f>
        <v>00219971</v>
      </c>
    </row>
    <row r="4762" spans="1:2" x14ac:dyDescent="0.25">
      <c r="A4762" s="2">
        <v>4757</v>
      </c>
      <c r="B4762" s="3" t="str">
        <f>"00220016"</f>
        <v>00220016</v>
      </c>
    </row>
    <row r="4763" spans="1:2" x14ac:dyDescent="0.25">
      <c r="A4763" s="2">
        <v>4758</v>
      </c>
      <c r="B4763" s="3" t="str">
        <f>"00220040"</f>
        <v>00220040</v>
      </c>
    </row>
    <row r="4764" spans="1:2" x14ac:dyDescent="0.25">
      <c r="A4764" s="2">
        <v>4759</v>
      </c>
      <c r="B4764" s="3" t="str">
        <f>"00220086"</f>
        <v>00220086</v>
      </c>
    </row>
    <row r="4765" spans="1:2" x14ac:dyDescent="0.25">
      <c r="A4765" s="2">
        <v>4760</v>
      </c>
      <c r="B4765" s="3" t="str">
        <f>"00220087"</f>
        <v>00220087</v>
      </c>
    </row>
    <row r="4766" spans="1:2" x14ac:dyDescent="0.25">
      <c r="A4766" s="2">
        <v>4761</v>
      </c>
      <c r="B4766" s="3" t="str">
        <f>"00220125"</f>
        <v>00220125</v>
      </c>
    </row>
    <row r="4767" spans="1:2" x14ac:dyDescent="0.25">
      <c r="A4767" s="2">
        <v>4762</v>
      </c>
      <c r="B4767" s="3" t="str">
        <f>"00220145"</f>
        <v>00220145</v>
      </c>
    </row>
    <row r="4768" spans="1:2" x14ac:dyDescent="0.25">
      <c r="A4768" s="2">
        <v>4763</v>
      </c>
      <c r="B4768" s="3" t="str">
        <f>"00220161"</f>
        <v>00220161</v>
      </c>
    </row>
    <row r="4769" spans="1:2" x14ac:dyDescent="0.25">
      <c r="A4769" s="2">
        <v>4764</v>
      </c>
      <c r="B4769" s="3" t="str">
        <f>"00220214"</f>
        <v>00220214</v>
      </c>
    </row>
    <row r="4770" spans="1:2" x14ac:dyDescent="0.25">
      <c r="A4770" s="2">
        <v>4765</v>
      </c>
      <c r="B4770" s="3" t="str">
        <f>"00220218"</f>
        <v>00220218</v>
      </c>
    </row>
    <row r="4771" spans="1:2" x14ac:dyDescent="0.25">
      <c r="A4771" s="2">
        <v>4766</v>
      </c>
      <c r="B4771" s="3" t="str">
        <f>"00220228"</f>
        <v>00220228</v>
      </c>
    </row>
    <row r="4772" spans="1:2" x14ac:dyDescent="0.25">
      <c r="A4772" s="2">
        <v>4767</v>
      </c>
      <c r="B4772" s="3" t="str">
        <f>"00220247"</f>
        <v>00220247</v>
      </c>
    </row>
    <row r="4773" spans="1:2" x14ac:dyDescent="0.25">
      <c r="A4773" s="2">
        <v>4768</v>
      </c>
      <c r="B4773" s="3" t="str">
        <f>"00220269"</f>
        <v>00220269</v>
      </c>
    </row>
    <row r="4774" spans="1:2" x14ac:dyDescent="0.25">
      <c r="A4774" s="2">
        <v>4769</v>
      </c>
      <c r="B4774" s="3" t="str">
        <f>"00220293"</f>
        <v>00220293</v>
      </c>
    </row>
    <row r="4775" spans="1:2" x14ac:dyDescent="0.25">
      <c r="A4775" s="2">
        <v>4770</v>
      </c>
      <c r="B4775" s="3" t="str">
        <f>"00220325"</f>
        <v>00220325</v>
      </c>
    </row>
    <row r="4776" spans="1:2" x14ac:dyDescent="0.25">
      <c r="A4776" s="2">
        <v>4771</v>
      </c>
      <c r="B4776" s="3" t="str">
        <f>"00220346"</f>
        <v>00220346</v>
      </c>
    </row>
    <row r="4777" spans="1:2" x14ac:dyDescent="0.25">
      <c r="A4777" s="2">
        <v>4772</v>
      </c>
      <c r="B4777" s="3" t="str">
        <f>"00220374"</f>
        <v>00220374</v>
      </c>
    </row>
    <row r="4778" spans="1:2" x14ac:dyDescent="0.25">
      <c r="A4778" s="2">
        <v>4773</v>
      </c>
      <c r="B4778" s="3" t="str">
        <f>"00220411"</f>
        <v>00220411</v>
      </c>
    </row>
    <row r="4779" spans="1:2" x14ac:dyDescent="0.25">
      <c r="A4779" s="2">
        <v>4774</v>
      </c>
      <c r="B4779" s="3" t="str">
        <f>"00220469"</f>
        <v>00220469</v>
      </c>
    </row>
    <row r="4780" spans="1:2" x14ac:dyDescent="0.25">
      <c r="A4780" s="2">
        <v>4775</v>
      </c>
      <c r="B4780" s="3" t="str">
        <f>"00220506"</f>
        <v>00220506</v>
      </c>
    </row>
    <row r="4781" spans="1:2" x14ac:dyDescent="0.25">
      <c r="A4781" s="2">
        <v>4776</v>
      </c>
      <c r="B4781" s="3" t="str">
        <f>"00220546"</f>
        <v>00220546</v>
      </c>
    </row>
    <row r="4782" spans="1:2" x14ac:dyDescent="0.25">
      <c r="A4782" s="2">
        <v>4777</v>
      </c>
      <c r="B4782" s="3" t="str">
        <f>"00220586"</f>
        <v>00220586</v>
      </c>
    </row>
    <row r="4783" spans="1:2" x14ac:dyDescent="0.25">
      <c r="A4783" s="2">
        <v>4778</v>
      </c>
      <c r="B4783" s="3" t="str">
        <f>"00220599"</f>
        <v>00220599</v>
      </c>
    </row>
    <row r="4784" spans="1:2" x14ac:dyDescent="0.25">
      <c r="A4784" s="2">
        <v>4779</v>
      </c>
      <c r="B4784" s="3" t="str">
        <f>"00220637"</f>
        <v>00220637</v>
      </c>
    </row>
    <row r="4785" spans="1:2" x14ac:dyDescent="0.25">
      <c r="A4785" s="2">
        <v>4780</v>
      </c>
      <c r="B4785" s="3" t="str">
        <f>"00220643"</f>
        <v>00220643</v>
      </c>
    </row>
    <row r="4786" spans="1:2" x14ac:dyDescent="0.25">
      <c r="A4786" s="2">
        <v>4781</v>
      </c>
      <c r="B4786" s="3" t="str">
        <f>"00220672"</f>
        <v>00220672</v>
      </c>
    </row>
    <row r="4787" spans="1:2" x14ac:dyDescent="0.25">
      <c r="A4787" s="2">
        <v>4782</v>
      </c>
      <c r="B4787" s="3" t="str">
        <f>"00220681"</f>
        <v>00220681</v>
      </c>
    </row>
    <row r="4788" spans="1:2" x14ac:dyDescent="0.25">
      <c r="A4788" s="2">
        <v>4783</v>
      </c>
      <c r="B4788" s="3" t="str">
        <f>"00220696"</f>
        <v>00220696</v>
      </c>
    </row>
    <row r="4789" spans="1:2" x14ac:dyDescent="0.25">
      <c r="A4789" s="2">
        <v>4784</v>
      </c>
      <c r="B4789" s="3" t="str">
        <f>"00220713"</f>
        <v>00220713</v>
      </c>
    </row>
    <row r="4790" spans="1:2" x14ac:dyDescent="0.25">
      <c r="A4790" s="2">
        <v>4785</v>
      </c>
      <c r="B4790" s="3" t="str">
        <f>"00220751"</f>
        <v>00220751</v>
      </c>
    </row>
    <row r="4791" spans="1:2" x14ac:dyDescent="0.25">
      <c r="A4791" s="2">
        <v>4786</v>
      </c>
      <c r="B4791" s="3" t="str">
        <f>"00220781"</f>
        <v>00220781</v>
      </c>
    </row>
    <row r="4792" spans="1:2" x14ac:dyDescent="0.25">
      <c r="A4792" s="2">
        <v>4787</v>
      </c>
      <c r="B4792" s="3" t="str">
        <f>"00220832"</f>
        <v>00220832</v>
      </c>
    </row>
    <row r="4793" spans="1:2" x14ac:dyDescent="0.25">
      <c r="A4793" s="2">
        <v>4788</v>
      </c>
      <c r="B4793" s="3" t="str">
        <f>"00220890"</f>
        <v>00220890</v>
      </c>
    </row>
    <row r="4794" spans="1:2" x14ac:dyDescent="0.25">
      <c r="A4794" s="2">
        <v>4789</v>
      </c>
      <c r="B4794" s="3" t="str">
        <f>"00220935"</f>
        <v>00220935</v>
      </c>
    </row>
    <row r="4795" spans="1:2" x14ac:dyDescent="0.25">
      <c r="A4795" s="2">
        <v>4790</v>
      </c>
      <c r="B4795" s="3" t="str">
        <f>"00220936"</f>
        <v>00220936</v>
      </c>
    </row>
    <row r="4796" spans="1:2" x14ac:dyDescent="0.25">
      <c r="A4796" s="2">
        <v>4791</v>
      </c>
      <c r="B4796" s="3" t="str">
        <f>"00221029"</f>
        <v>00221029</v>
      </c>
    </row>
    <row r="4797" spans="1:2" x14ac:dyDescent="0.25">
      <c r="A4797" s="2">
        <v>4792</v>
      </c>
      <c r="B4797" s="3" t="str">
        <f>"00221032"</f>
        <v>00221032</v>
      </c>
    </row>
    <row r="4798" spans="1:2" x14ac:dyDescent="0.25">
      <c r="A4798" s="2">
        <v>4793</v>
      </c>
      <c r="B4798" s="3" t="str">
        <f>"00221048"</f>
        <v>00221048</v>
      </c>
    </row>
    <row r="4799" spans="1:2" x14ac:dyDescent="0.25">
      <c r="A4799" s="2">
        <v>4794</v>
      </c>
      <c r="B4799" s="3" t="str">
        <f>"00221060"</f>
        <v>00221060</v>
      </c>
    </row>
    <row r="4800" spans="1:2" x14ac:dyDescent="0.25">
      <c r="A4800" s="2">
        <v>4795</v>
      </c>
      <c r="B4800" s="3" t="str">
        <f>"00221094"</f>
        <v>00221094</v>
      </c>
    </row>
    <row r="4801" spans="1:2" x14ac:dyDescent="0.25">
      <c r="A4801" s="2">
        <v>4796</v>
      </c>
      <c r="B4801" s="3" t="str">
        <f>"00221102"</f>
        <v>00221102</v>
      </c>
    </row>
    <row r="4802" spans="1:2" x14ac:dyDescent="0.25">
      <c r="A4802" s="2">
        <v>4797</v>
      </c>
      <c r="B4802" s="3" t="str">
        <f>"00221115"</f>
        <v>00221115</v>
      </c>
    </row>
    <row r="4803" spans="1:2" x14ac:dyDescent="0.25">
      <c r="A4803" s="2">
        <v>4798</v>
      </c>
      <c r="B4803" s="3" t="str">
        <f>"00221131"</f>
        <v>00221131</v>
      </c>
    </row>
    <row r="4804" spans="1:2" x14ac:dyDescent="0.25">
      <c r="A4804" s="2">
        <v>4799</v>
      </c>
      <c r="B4804" s="3" t="str">
        <f>"00221132"</f>
        <v>00221132</v>
      </c>
    </row>
    <row r="4805" spans="1:2" x14ac:dyDescent="0.25">
      <c r="A4805" s="2">
        <v>4800</v>
      </c>
      <c r="B4805" s="3" t="str">
        <f>"00221140"</f>
        <v>00221140</v>
      </c>
    </row>
    <row r="4806" spans="1:2" x14ac:dyDescent="0.25">
      <c r="A4806" s="2">
        <v>4801</v>
      </c>
      <c r="B4806" s="3" t="str">
        <f>"00221142"</f>
        <v>00221142</v>
      </c>
    </row>
    <row r="4807" spans="1:2" x14ac:dyDescent="0.25">
      <c r="A4807" s="2">
        <v>4802</v>
      </c>
      <c r="B4807" s="3" t="str">
        <f>"00221145"</f>
        <v>00221145</v>
      </c>
    </row>
    <row r="4808" spans="1:2" x14ac:dyDescent="0.25">
      <c r="A4808" s="2">
        <v>4803</v>
      </c>
      <c r="B4808" s="3" t="str">
        <f>"00221163"</f>
        <v>00221163</v>
      </c>
    </row>
    <row r="4809" spans="1:2" x14ac:dyDescent="0.25">
      <c r="A4809" s="2">
        <v>4804</v>
      </c>
      <c r="B4809" s="3" t="str">
        <f>"00221183"</f>
        <v>00221183</v>
      </c>
    </row>
    <row r="4810" spans="1:2" x14ac:dyDescent="0.25">
      <c r="A4810" s="2">
        <v>4805</v>
      </c>
      <c r="B4810" s="3" t="str">
        <f>"00221244"</f>
        <v>00221244</v>
      </c>
    </row>
    <row r="4811" spans="1:2" x14ac:dyDescent="0.25">
      <c r="A4811" s="2">
        <v>4806</v>
      </c>
      <c r="B4811" s="3" t="str">
        <f>"00221254"</f>
        <v>00221254</v>
      </c>
    </row>
    <row r="4812" spans="1:2" x14ac:dyDescent="0.25">
      <c r="A4812" s="2">
        <v>4807</v>
      </c>
      <c r="B4812" s="3" t="str">
        <f>"00221292"</f>
        <v>00221292</v>
      </c>
    </row>
    <row r="4813" spans="1:2" x14ac:dyDescent="0.25">
      <c r="A4813" s="2">
        <v>4808</v>
      </c>
      <c r="B4813" s="3" t="str">
        <f>"00221347"</f>
        <v>00221347</v>
      </c>
    </row>
    <row r="4814" spans="1:2" x14ac:dyDescent="0.25">
      <c r="A4814" s="2">
        <v>4809</v>
      </c>
      <c r="B4814" s="3" t="str">
        <f>"00221432"</f>
        <v>00221432</v>
      </c>
    </row>
    <row r="4815" spans="1:2" x14ac:dyDescent="0.25">
      <c r="A4815" s="2">
        <v>4810</v>
      </c>
      <c r="B4815" s="3" t="str">
        <f>"00221456"</f>
        <v>00221456</v>
      </c>
    </row>
    <row r="4816" spans="1:2" x14ac:dyDescent="0.25">
      <c r="A4816" s="2">
        <v>4811</v>
      </c>
      <c r="B4816" s="3" t="str">
        <f>"00221474"</f>
        <v>00221474</v>
      </c>
    </row>
    <row r="4817" spans="1:2" x14ac:dyDescent="0.25">
      <c r="A4817" s="2">
        <v>4812</v>
      </c>
      <c r="B4817" s="3" t="str">
        <f>"00221491"</f>
        <v>00221491</v>
      </c>
    </row>
    <row r="4818" spans="1:2" x14ac:dyDescent="0.25">
      <c r="A4818" s="2">
        <v>4813</v>
      </c>
      <c r="B4818" s="3" t="str">
        <f>"00221494"</f>
        <v>00221494</v>
      </c>
    </row>
    <row r="4819" spans="1:2" x14ac:dyDescent="0.25">
      <c r="A4819" s="2">
        <v>4814</v>
      </c>
      <c r="B4819" s="3" t="str">
        <f>"00221510"</f>
        <v>00221510</v>
      </c>
    </row>
    <row r="4820" spans="1:2" x14ac:dyDescent="0.25">
      <c r="A4820" s="2">
        <v>4815</v>
      </c>
      <c r="B4820" s="3" t="str">
        <f>"00221512"</f>
        <v>00221512</v>
      </c>
    </row>
    <row r="4821" spans="1:2" x14ac:dyDescent="0.25">
      <c r="A4821" s="2">
        <v>4816</v>
      </c>
      <c r="B4821" s="3" t="str">
        <f>"00221622"</f>
        <v>00221622</v>
      </c>
    </row>
    <row r="4822" spans="1:2" x14ac:dyDescent="0.25">
      <c r="A4822" s="2">
        <v>4817</v>
      </c>
      <c r="B4822" s="3" t="str">
        <f>"00221782"</f>
        <v>00221782</v>
      </c>
    </row>
    <row r="4823" spans="1:2" x14ac:dyDescent="0.25">
      <c r="A4823" s="2">
        <v>4818</v>
      </c>
      <c r="B4823" s="3" t="str">
        <f>"00221794"</f>
        <v>00221794</v>
      </c>
    </row>
    <row r="4824" spans="1:2" x14ac:dyDescent="0.25">
      <c r="A4824" s="2">
        <v>4819</v>
      </c>
      <c r="B4824" s="3" t="str">
        <f>"00221897"</f>
        <v>00221897</v>
      </c>
    </row>
    <row r="4825" spans="1:2" x14ac:dyDescent="0.25">
      <c r="A4825" s="2">
        <v>4820</v>
      </c>
      <c r="B4825" s="3" t="str">
        <f>"00221943"</f>
        <v>00221943</v>
      </c>
    </row>
    <row r="4826" spans="1:2" x14ac:dyDescent="0.25">
      <c r="A4826" s="2">
        <v>4821</v>
      </c>
      <c r="B4826" s="3" t="str">
        <f>"00221990"</f>
        <v>00221990</v>
      </c>
    </row>
    <row r="4827" spans="1:2" x14ac:dyDescent="0.25">
      <c r="A4827" s="2">
        <v>4822</v>
      </c>
      <c r="B4827" s="3" t="str">
        <f>"00222011"</f>
        <v>00222011</v>
      </c>
    </row>
    <row r="4828" spans="1:2" x14ac:dyDescent="0.25">
      <c r="A4828" s="2">
        <v>4823</v>
      </c>
      <c r="B4828" s="3" t="str">
        <f>"00222069"</f>
        <v>00222069</v>
      </c>
    </row>
    <row r="4829" spans="1:2" x14ac:dyDescent="0.25">
      <c r="A4829" s="2">
        <v>4824</v>
      </c>
      <c r="B4829" s="3" t="str">
        <f>"00222084"</f>
        <v>00222084</v>
      </c>
    </row>
    <row r="4830" spans="1:2" x14ac:dyDescent="0.25">
      <c r="A4830" s="2">
        <v>4825</v>
      </c>
      <c r="B4830" s="3" t="str">
        <f>"00222088"</f>
        <v>00222088</v>
      </c>
    </row>
    <row r="4831" spans="1:2" x14ac:dyDescent="0.25">
      <c r="A4831" s="2">
        <v>4826</v>
      </c>
      <c r="B4831" s="3" t="str">
        <f>"00222107"</f>
        <v>00222107</v>
      </c>
    </row>
    <row r="4832" spans="1:2" x14ac:dyDescent="0.25">
      <c r="A4832" s="2">
        <v>4827</v>
      </c>
      <c r="B4832" s="3" t="str">
        <f>"00222115"</f>
        <v>00222115</v>
      </c>
    </row>
    <row r="4833" spans="1:2" x14ac:dyDescent="0.25">
      <c r="A4833" s="2">
        <v>4828</v>
      </c>
      <c r="B4833" s="3" t="str">
        <f>"00222132"</f>
        <v>00222132</v>
      </c>
    </row>
    <row r="4834" spans="1:2" x14ac:dyDescent="0.25">
      <c r="A4834" s="2">
        <v>4829</v>
      </c>
      <c r="B4834" s="3" t="str">
        <f>"00222183"</f>
        <v>00222183</v>
      </c>
    </row>
    <row r="4835" spans="1:2" x14ac:dyDescent="0.25">
      <c r="A4835" s="2">
        <v>4830</v>
      </c>
      <c r="B4835" s="3" t="str">
        <f>"00222217"</f>
        <v>00222217</v>
      </c>
    </row>
    <row r="4836" spans="1:2" x14ac:dyDescent="0.25">
      <c r="A4836" s="2">
        <v>4831</v>
      </c>
      <c r="B4836" s="3" t="str">
        <f>"00222221"</f>
        <v>00222221</v>
      </c>
    </row>
    <row r="4837" spans="1:2" x14ac:dyDescent="0.25">
      <c r="A4837" s="2">
        <v>4832</v>
      </c>
      <c r="B4837" s="3" t="str">
        <f>"00222231"</f>
        <v>00222231</v>
      </c>
    </row>
    <row r="4838" spans="1:2" x14ac:dyDescent="0.25">
      <c r="A4838" s="2">
        <v>4833</v>
      </c>
      <c r="B4838" s="3" t="str">
        <f>"00222258"</f>
        <v>00222258</v>
      </c>
    </row>
    <row r="4839" spans="1:2" x14ac:dyDescent="0.25">
      <c r="A4839" s="2">
        <v>4834</v>
      </c>
      <c r="B4839" s="3" t="str">
        <f>"00222354"</f>
        <v>00222354</v>
      </c>
    </row>
    <row r="4840" spans="1:2" x14ac:dyDescent="0.25">
      <c r="A4840" s="2">
        <v>4835</v>
      </c>
      <c r="B4840" s="3" t="str">
        <f>"00222377"</f>
        <v>00222377</v>
      </c>
    </row>
    <row r="4841" spans="1:2" x14ac:dyDescent="0.25">
      <c r="A4841" s="2">
        <v>4836</v>
      </c>
      <c r="B4841" s="3" t="str">
        <f>"00222461"</f>
        <v>00222461</v>
      </c>
    </row>
    <row r="4842" spans="1:2" x14ac:dyDescent="0.25">
      <c r="A4842" s="2">
        <v>4837</v>
      </c>
      <c r="B4842" s="3" t="str">
        <f>"00222479"</f>
        <v>00222479</v>
      </c>
    </row>
    <row r="4843" spans="1:2" x14ac:dyDescent="0.25">
      <c r="A4843" s="2">
        <v>4838</v>
      </c>
      <c r="B4843" s="3" t="str">
        <f>"00222585"</f>
        <v>00222585</v>
      </c>
    </row>
    <row r="4844" spans="1:2" x14ac:dyDescent="0.25">
      <c r="A4844" s="2">
        <v>4839</v>
      </c>
      <c r="B4844" s="3" t="str">
        <f>"00222586"</f>
        <v>00222586</v>
      </c>
    </row>
    <row r="4845" spans="1:2" x14ac:dyDescent="0.25">
      <c r="A4845" s="2">
        <v>4840</v>
      </c>
      <c r="B4845" s="3" t="str">
        <f>"00222588"</f>
        <v>00222588</v>
      </c>
    </row>
    <row r="4846" spans="1:2" x14ac:dyDescent="0.25">
      <c r="A4846" s="2">
        <v>4841</v>
      </c>
      <c r="B4846" s="3" t="str">
        <f>"00222592"</f>
        <v>00222592</v>
      </c>
    </row>
    <row r="4847" spans="1:2" x14ac:dyDescent="0.25">
      <c r="A4847" s="2">
        <v>4842</v>
      </c>
      <c r="B4847" s="3" t="str">
        <f>"00222612"</f>
        <v>00222612</v>
      </c>
    </row>
    <row r="4848" spans="1:2" x14ac:dyDescent="0.25">
      <c r="A4848" s="2">
        <v>4843</v>
      </c>
      <c r="B4848" s="3" t="str">
        <f>"00222618"</f>
        <v>00222618</v>
      </c>
    </row>
    <row r="4849" spans="1:2" x14ac:dyDescent="0.25">
      <c r="A4849" s="2">
        <v>4844</v>
      </c>
      <c r="B4849" s="3" t="str">
        <f>"00222622"</f>
        <v>00222622</v>
      </c>
    </row>
    <row r="4850" spans="1:2" x14ac:dyDescent="0.25">
      <c r="A4850" s="2">
        <v>4845</v>
      </c>
      <c r="B4850" s="3" t="str">
        <f>"00222652"</f>
        <v>00222652</v>
      </c>
    </row>
    <row r="4851" spans="1:2" x14ac:dyDescent="0.25">
      <c r="A4851" s="2">
        <v>4846</v>
      </c>
      <c r="B4851" s="3" t="str">
        <f>"00222667"</f>
        <v>00222667</v>
      </c>
    </row>
    <row r="4852" spans="1:2" x14ac:dyDescent="0.25">
      <c r="A4852" s="2">
        <v>4847</v>
      </c>
      <c r="B4852" s="3" t="str">
        <f>"00222674"</f>
        <v>00222674</v>
      </c>
    </row>
    <row r="4853" spans="1:2" x14ac:dyDescent="0.25">
      <c r="A4853" s="2">
        <v>4848</v>
      </c>
      <c r="B4853" s="3" t="str">
        <f>"00222678"</f>
        <v>00222678</v>
      </c>
    </row>
    <row r="4854" spans="1:2" x14ac:dyDescent="0.25">
      <c r="A4854" s="2">
        <v>4849</v>
      </c>
      <c r="B4854" s="3" t="str">
        <f>"00222693"</f>
        <v>00222693</v>
      </c>
    </row>
    <row r="4855" spans="1:2" x14ac:dyDescent="0.25">
      <c r="A4855" s="2">
        <v>4850</v>
      </c>
      <c r="B4855" s="3" t="str">
        <f>"00222740"</f>
        <v>00222740</v>
      </c>
    </row>
    <row r="4856" spans="1:2" x14ac:dyDescent="0.25">
      <c r="A4856" s="2">
        <v>4851</v>
      </c>
      <c r="B4856" s="3" t="str">
        <f>"00222784"</f>
        <v>00222784</v>
      </c>
    </row>
    <row r="4857" spans="1:2" x14ac:dyDescent="0.25">
      <c r="A4857" s="2">
        <v>4852</v>
      </c>
      <c r="B4857" s="3" t="str">
        <f>"00222796"</f>
        <v>00222796</v>
      </c>
    </row>
    <row r="4858" spans="1:2" x14ac:dyDescent="0.25">
      <c r="A4858" s="2">
        <v>4853</v>
      </c>
      <c r="B4858" s="3" t="str">
        <f>"00222882"</f>
        <v>00222882</v>
      </c>
    </row>
    <row r="4859" spans="1:2" x14ac:dyDescent="0.25">
      <c r="A4859" s="2">
        <v>4854</v>
      </c>
      <c r="B4859" s="3" t="str">
        <f>"00222901"</f>
        <v>00222901</v>
      </c>
    </row>
    <row r="4860" spans="1:2" x14ac:dyDescent="0.25">
      <c r="A4860" s="2">
        <v>4855</v>
      </c>
      <c r="B4860" s="3" t="str">
        <f>"00222997"</f>
        <v>00222997</v>
      </c>
    </row>
    <row r="4861" spans="1:2" x14ac:dyDescent="0.25">
      <c r="A4861" s="2">
        <v>4856</v>
      </c>
      <c r="B4861" s="3" t="str">
        <f>"00223065"</f>
        <v>00223065</v>
      </c>
    </row>
    <row r="4862" spans="1:2" x14ac:dyDescent="0.25">
      <c r="A4862" s="2">
        <v>4857</v>
      </c>
      <c r="B4862" s="3" t="str">
        <f>"00223072"</f>
        <v>00223072</v>
      </c>
    </row>
    <row r="4863" spans="1:2" x14ac:dyDescent="0.25">
      <c r="A4863" s="2">
        <v>4858</v>
      </c>
      <c r="B4863" s="3" t="str">
        <f>"00223161"</f>
        <v>00223161</v>
      </c>
    </row>
    <row r="4864" spans="1:2" x14ac:dyDescent="0.25">
      <c r="A4864" s="2">
        <v>4859</v>
      </c>
      <c r="B4864" s="3" t="str">
        <f>"00223172"</f>
        <v>00223172</v>
      </c>
    </row>
    <row r="4865" spans="1:2" x14ac:dyDescent="0.25">
      <c r="A4865" s="2">
        <v>4860</v>
      </c>
      <c r="B4865" s="3" t="str">
        <f>"00223209"</f>
        <v>00223209</v>
      </c>
    </row>
    <row r="4866" spans="1:2" x14ac:dyDescent="0.25">
      <c r="A4866" s="2">
        <v>4861</v>
      </c>
      <c r="B4866" s="3" t="str">
        <f>"00223239"</f>
        <v>00223239</v>
      </c>
    </row>
    <row r="4867" spans="1:2" x14ac:dyDescent="0.25">
      <c r="A4867" s="2">
        <v>4862</v>
      </c>
      <c r="B4867" s="3" t="str">
        <f>"00223247"</f>
        <v>00223247</v>
      </c>
    </row>
    <row r="4868" spans="1:2" x14ac:dyDescent="0.25">
      <c r="A4868" s="2">
        <v>4863</v>
      </c>
      <c r="B4868" s="3" t="str">
        <f>"00223248"</f>
        <v>00223248</v>
      </c>
    </row>
    <row r="4869" spans="1:2" x14ac:dyDescent="0.25">
      <c r="A4869" s="2">
        <v>4864</v>
      </c>
      <c r="B4869" s="3" t="str">
        <f>"00223254"</f>
        <v>00223254</v>
      </c>
    </row>
    <row r="4870" spans="1:2" x14ac:dyDescent="0.25">
      <c r="A4870" s="2">
        <v>4865</v>
      </c>
      <c r="B4870" s="3" t="str">
        <f>"00223266"</f>
        <v>00223266</v>
      </c>
    </row>
    <row r="4871" spans="1:2" x14ac:dyDescent="0.25">
      <c r="A4871" s="2">
        <v>4866</v>
      </c>
      <c r="B4871" s="3" t="str">
        <f>"00223319"</f>
        <v>00223319</v>
      </c>
    </row>
    <row r="4872" spans="1:2" x14ac:dyDescent="0.25">
      <c r="A4872" s="2">
        <v>4867</v>
      </c>
      <c r="B4872" s="3" t="str">
        <f>"00223326"</f>
        <v>00223326</v>
      </c>
    </row>
    <row r="4873" spans="1:2" x14ac:dyDescent="0.25">
      <c r="A4873" s="2">
        <v>4868</v>
      </c>
      <c r="B4873" s="3" t="str">
        <f>"00223332"</f>
        <v>00223332</v>
      </c>
    </row>
    <row r="4874" spans="1:2" x14ac:dyDescent="0.25">
      <c r="A4874" s="2">
        <v>4869</v>
      </c>
      <c r="B4874" s="3" t="str">
        <f>"00223342"</f>
        <v>00223342</v>
      </c>
    </row>
    <row r="4875" spans="1:2" x14ac:dyDescent="0.25">
      <c r="A4875" s="2">
        <v>4870</v>
      </c>
      <c r="B4875" s="3" t="str">
        <f>"00223354"</f>
        <v>00223354</v>
      </c>
    </row>
    <row r="4876" spans="1:2" x14ac:dyDescent="0.25">
      <c r="A4876" s="2">
        <v>4871</v>
      </c>
      <c r="B4876" s="3" t="str">
        <f>"00223393"</f>
        <v>00223393</v>
      </c>
    </row>
    <row r="4877" spans="1:2" x14ac:dyDescent="0.25">
      <c r="A4877" s="2">
        <v>4872</v>
      </c>
      <c r="B4877" s="3" t="str">
        <f>"00223434"</f>
        <v>00223434</v>
      </c>
    </row>
    <row r="4878" spans="1:2" x14ac:dyDescent="0.25">
      <c r="A4878" s="2">
        <v>4873</v>
      </c>
      <c r="B4878" s="3" t="str">
        <f>"00223461"</f>
        <v>00223461</v>
      </c>
    </row>
    <row r="4879" spans="1:2" x14ac:dyDescent="0.25">
      <c r="A4879" s="2">
        <v>4874</v>
      </c>
      <c r="B4879" s="3" t="str">
        <f>"00223482"</f>
        <v>00223482</v>
      </c>
    </row>
    <row r="4880" spans="1:2" x14ac:dyDescent="0.25">
      <c r="A4880" s="2">
        <v>4875</v>
      </c>
      <c r="B4880" s="3" t="str">
        <f>"00223491"</f>
        <v>00223491</v>
      </c>
    </row>
    <row r="4881" spans="1:2" x14ac:dyDescent="0.25">
      <c r="A4881" s="2">
        <v>4876</v>
      </c>
      <c r="B4881" s="3" t="str">
        <f>"00223509"</f>
        <v>00223509</v>
      </c>
    </row>
    <row r="4882" spans="1:2" x14ac:dyDescent="0.25">
      <c r="A4882" s="2">
        <v>4877</v>
      </c>
      <c r="B4882" s="3" t="str">
        <f>"00223618"</f>
        <v>00223618</v>
      </c>
    </row>
    <row r="4883" spans="1:2" x14ac:dyDescent="0.25">
      <c r="A4883" s="2">
        <v>4878</v>
      </c>
      <c r="B4883" s="3" t="str">
        <f>"00223633"</f>
        <v>00223633</v>
      </c>
    </row>
    <row r="4884" spans="1:2" x14ac:dyDescent="0.25">
      <c r="A4884" s="2">
        <v>4879</v>
      </c>
      <c r="B4884" s="3" t="str">
        <f>"00223721"</f>
        <v>00223721</v>
      </c>
    </row>
    <row r="4885" spans="1:2" x14ac:dyDescent="0.25">
      <c r="A4885" s="2">
        <v>4880</v>
      </c>
      <c r="B4885" s="3" t="str">
        <f>"00223773"</f>
        <v>00223773</v>
      </c>
    </row>
    <row r="4886" spans="1:2" x14ac:dyDescent="0.25">
      <c r="A4886" s="2">
        <v>4881</v>
      </c>
      <c r="B4886" s="3" t="str">
        <f>"00223816"</f>
        <v>00223816</v>
      </c>
    </row>
    <row r="4887" spans="1:2" x14ac:dyDescent="0.25">
      <c r="A4887" s="2">
        <v>4882</v>
      </c>
      <c r="B4887" s="3" t="str">
        <f>"00223840"</f>
        <v>00223840</v>
      </c>
    </row>
    <row r="4888" spans="1:2" x14ac:dyDescent="0.25">
      <c r="A4888" s="2">
        <v>4883</v>
      </c>
      <c r="B4888" s="3" t="str">
        <f>"00223850"</f>
        <v>00223850</v>
      </c>
    </row>
    <row r="4889" spans="1:2" x14ac:dyDescent="0.25">
      <c r="A4889" s="2">
        <v>4884</v>
      </c>
      <c r="B4889" s="3" t="str">
        <f>"00223886"</f>
        <v>00223886</v>
      </c>
    </row>
    <row r="4890" spans="1:2" x14ac:dyDescent="0.25">
      <c r="A4890" s="2">
        <v>4885</v>
      </c>
      <c r="B4890" s="3" t="str">
        <f>"00223916"</f>
        <v>00223916</v>
      </c>
    </row>
    <row r="4891" spans="1:2" x14ac:dyDescent="0.25">
      <c r="A4891" s="2">
        <v>4886</v>
      </c>
      <c r="B4891" s="3" t="str">
        <f>"00223917"</f>
        <v>00223917</v>
      </c>
    </row>
    <row r="4892" spans="1:2" x14ac:dyDescent="0.25">
      <c r="A4892" s="2">
        <v>4887</v>
      </c>
      <c r="B4892" s="3" t="str">
        <f>"00223935"</f>
        <v>00223935</v>
      </c>
    </row>
    <row r="4893" spans="1:2" x14ac:dyDescent="0.25">
      <c r="A4893" s="2">
        <v>4888</v>
      </c>
      <c r="B4893" s="3" t="str">
        <f>"00224037"</f>
        <v>00224037</v>
      </c>
    </row>
    <row r="4894" spans="1:2" x14ac:dyDescent="0.25">
      <c r="A4894" s="2">
        <v>4889</v>
      </c>
      <c r="B4894" s="3" t="str">
        <f>"00224116"</f>
        <v>00224116</v>
      </c>
    </row>
    <row r="4895" spans="1:2" x14ac:dyDescent="0.25">
      <c r="A4895" s="2">
        <v>4890</v>
      </c>
      <c r="B4895" s="3" t="str">
        <f>"00224142"</f>
        <v>00224142</v>
      </c>
    </row>
    <row r="4896" spans="1:2" x14ac:dyDescent="0.25">
      <c r="A4896" s="2">
        <v>4891</v>
      </c>
      <c r="B4896" s="3" t="str">
        <f>"00224219"</f>
        <v>00224219</v>
      </c>
    </row>
    <row r="4897" spans="1:2" x14ac:dyDescent="0.25">
      <c r="A4897" s="2">
        <v>4892</v>
      </c>
      <c r="B4897" s="3" t="str">
        <f>"00224247"</f>
        <v>00224247</v>
      </c>
    </row>
    <row r="4898" spans="1:2" x14ac:dyDescent="0.25">
      <c r="A4898" s="2">
        <v>4893</v>
      </c>
      <c r="B4898" s="3" t="str">
        <f>"00224271"</f>
        <v>00224271</v>
      </c>
    </row>
    <row r="4899" spans="1:2" x14ac:dyDescent="0.25">
      <c r="A4899" s="2">
        <v>4894</v>
      </c>
      <c r="B4899" s="3" t="str">
        <f>"00224313"</f>
        <v>00224313</v>
      </c>
    </row>
    <row r="4900" spans="1:2" x14ac:dyDescent="0.25">
      <c r="A4900" s="2">
        <v>4895</v>
      </c>
      <c r="B4900" s="3" t="str">
        <f>"00224333"</f>
        <v>00224333</v>
      </c>
    </row>
    <row r="4901" spans="1:2" x14ac:dyDescent="0.25">
      <c r="A4901" s="2">
        <v>4896</v>
      </c>
      <c r="B4901" s="3" t="str">
        <f>"00224338"</f>
        <v>00224338</v>
      </c>
    </row>
    <row r="4902" spans="1:2" x14ac:dyDescent="0.25">
      <c r="A4902" s="2">
        <v>4897</v>
      </c>
      <c r="B4902" s="3" t="str">
        <f>"00224348"</f>
        <v>00224348</v>
      </c>
    </row>
    <row r="4903" spans="1:2" x14ac:dyDescent="0.25">
      <c r="A4903" s="2">
        <v>4898</v>
      </c>
      <c r="B4903" s="3" t="str">
        <f>"00224354"</f>
        <v>00224354</v>
      </c>
    </row>
    <row r="4904" spans="1:2" x14ac:dyDescent="0.25">
      <c r="A4904" s="2">
        <v>4899</v>
      </c>
      <c r="B4904" s="3" t="str">
        <f>"00224412"</f>
        <v>00224412</v>
      </c>
    </row>
    <row r="4905" spans="1:2" x14ac:dyDescent="0.25">
      <c r="A4905" s="2">
        <v>4900</v>
      </c>
      <c r="B4905" s="3" t="str">
        <f>"00224471"</f>
        <v>00224471</v>
      </c>
    </row>
    <row r="4906" spans="1:2" x14ac:dyDescent="0.25">
      <c r="A4906" s="2">
        <v>4901</v>
      </c>
      <c r="B4906" s="3" t="str">
        <f>"00224501"</f>
        <v>00224501</v>
      </c>
    </row>
    <row r="4907" spans="1:2" x14ac:dyDescent="0.25">
      <c r="A4907" s="2">
        <v>4902</v>
      </c>
      <c r="B4907" s="3" t="str">
        <f>"00224530"</f>
        <v>00224530</v>
      </c>
    </row>
    <row r="4908" spans="1:2" x14ac:dyDescent="0.25">
      <c r="A4908" s="2">
        <v>4903</v>
      </c>
      <c r="B4908" s="3" t="str">
        <f>"00224569"</f>
        <v>00224569</v>
      </c>
    </row>
    <row r="4909" spans="1:2" x14ac:dyDescent="0.25">
      <c r="A4909" s="2">
        <v>4904</v>
      </c>
      <c r="B4909" s="3" t="str">
        <f>"00224670"</f>
        <v>00224670</v>
      </c>
    </row>
    <row r="4910" spans="1:2" x14ac:dyDescent="0.25">
      <c r="A4910" s="2">
        <v>4905</v>
      </c>
      <c r="B4910" s="3" t="str">
        <f>"00224831"</f>
        <v>00224831</v>
      </c>
    </row>
    <row r="4911" spans="1:2" x14ac:dyDescent="0.25">
      <c r="A4911" s="2">
        <v>4906</v>
      </c>
      <c r="B4911" s="3" t="str">
        <f>"00224891"</f>
        <v>00224891</v>
      </c>
    </row>
    <row r="4912" spans="1:2" x14ac:dyDescent="0.25">
      <c r="A4912" s="2">
        <v>4907</v>
      </c>
      <c r="B4912" s="3" t="str">
        <f>"00225007"</f>
        <v>00225007</v>
      </c>
    </row>
    <row r="4913" spans="1:2" x14ac:dyDescent="0.25">
      <c r="A4913" s="2">
        <v>4908</v>
      </c>
      <c r="B4913" s="3" t="str">
        <f>"00225029"</f>
        <v>00225029</v>
      </c>
    </row>
    <row r="4914" spans="1:2" x14ac:dyDescent="0.25">
      <c r="A4914" s="2">
        <v>4909</v>
      </c>
      <c r="B4914" s="3" t="str">
        <f>"00225223"</f>
        <v>00225223</v>
      </c>
    </row>
    <row r="4915" spans="1:2" x14ac:dyDescent="0.25">
      <c r="A4915" s="2">
        <v>4910</v>
      </c>
      <c r="B4915" s="3" t="str">
        <f>"00225261"</f>
        <v>00225261</v>
      </c>
    </row>
    <row r="4916" spans="1:2" x14ac:dyDescent="0.25">
      <c r="A4916" s="2">
        <v>4911</v>
      </c>
      <c r="B4916" s="3" t="str">
        <f>"00225591"</f>
        <v>00225591</v>
      </c>
    </row>
    <row r="4917" spans="1:2" x14ac:dyDescent="0.25">
      <c r="A4917" s="2">
        <v>4912</v>
      </c>
      <c r="B4917" s="3" t="str">
        <f>"00225627"</f>
        <v>00225627</v>
      </c>
    </row>
    <row r="4918" spans="1:2" x14ac:dyDescent="0.25">
      <c r="A4918" s="2">
        <v>4913</v>
      </c>
      <c r="B4918" s="3" t="str">
        <f>"00225628"</f>
        <v>00225628</v>
      </c>
    </row>
    <row r="4919" spans="1:2" x14ac:dyDescent="0.25">
      <c r="A4919" s="2">
        <v>4914</v>
      </c>
      <c r="B4919" s="3" t="str">
        <f>"00225711"</f>
        <v>00225711</v>
      </c>
    </row>
    <row r="4920" spans="1:2" x14ac:dyDescent="0.25">
      <c r="A4920" s="2">
        <v>4915</v>
      </c>
      <c r="B4920" s="3" t="str">
        <f>"00225730"</f>
        <v>00225730</v>
      </c>
    </row>
    <row r="4921" spans="1:2" x14ac:dyDescent="0.25">
      <c r="A4921" s="2">
        <v>4916</v>
      </c>
      <c r="B4921" s="3" t="str">
        <f>"00225782"</f>
        <v>00225782</v>
      </c>
    </row>
    <row r="4922" spans="1:2" x14ac:dyDescent="0.25">
      <c r="A4922" s="2">
        <v>4917</v>
      </c>
      <c r="B4922" s="3" t="str">
        <f>"00225843"</f>
        <v>00225843</v>
      </c>
    </row>
    <row r="4923" spans="1:2" x14ac:dyDescent="0.25">
      <c r="A4923" s="2">
        <v>4918</v>
      </c>
      <c r="B4923" s="3" t="str">
        <f>"00225887"</f>
        <v>00225887</v>
      </c>
    </row>
    <row r="4924" spans="1:2" x14ac:dyDescent="0.25">
      <c r="A4924" s="2">
        <v>4919</v>
      </c>
      <c r="B4924" s="3" t="str">
        <f>"00225915"</f>
        <v>00225915</v>
      </c>
    </row>
    <row r="4925" spans="1:2" x14ac:dyDescent="0.25">
      <c r="A4925" s="2">
        <v>4920</v>
      </c>
      <c r="B4925" s="3" t="str">
        <f>"00226028"</f>
        <v>00226028</v>
      </c>
    </row>
    <row r="4926" spans="1:2" x14ac:dyDescent="0.25">
      <c r="A4926" s="2">
        <v>4921</v>
      </c>
      <c r="B4926" s="3" t="str">
        <f>"00226037"</f>
        <v>00226037</v>
      </c>
    </row>
    <row r="4927" spans="1:2" x14ac:dyDescent="0.25">
      <c r="A4927" s="2">
        <v>4922</v>
      </c>
      <c r="B4927" s="3" t="str">
        <f>"00226039"</f>
        <v>00226039</v>
      </c>
    </row>
    <row r="4928" spans="1:2" x14ac:dyDescent="0.25">
      <c r="A4928" s="2">
        <v>4923</v>
      </c>
      <c r="B4928" s="3" t="str">
        <f>"00226205"</f>
        <v>00226205</v>
      </c>
    </row>
    <row r="4929" spans="1:2" x14ac:dyDescent="0.25">
      <c r="A4929" s="2">
        <v>4924</v>
      </c>
      <c r="B4929" s="3" t="str">
        <f>"00226231"</f>
        <v>00226231</v>
      </c>
    </row>
    <row r="4930" spans="1:2" x14ac:dyDescent="0.25">
      <c r="A4930" s="2">
        <v>4925</v>
      </c>
      <c r="B4930" s="3" t="str">
        <f>"00226253"</f>
        <v>00226253</v>
      </c>
    </row>
    <row r="4931" spans="1:2" x14ac:dyDescent="0.25">
      <c r="A4931" s="2">
        <v>4926</v>
      </c>
      <c r="B4931" s="3" t="str">
        <f>"00226292"</f>
        <v>00226292</v>
      </c>
    </row>
    <row r="4932" spans="1:2" x14ac:dyDescent="0.25">
      <c r="A4932" s="2">
        <v>4927</v>
      </c>
      <c r="B4932" s="3" t="str">
        <f>"00226305"</f>
        <v>00226305</v>
      </c>
    </row>
    <row r="4933" spans="1:2" x14ac:dyDescent="0.25">
      <c r="A4933" s="2">
        <v>4928</v>
      </c>
      <c r="B4933" s="3" t="str">
        <f>"00226313"</f>
        <v>00226313</v>
      </c>
    </row>
    <row r="4934" spans="1:2" x14ac:dyDescent="0.25">
      <c r="A4934" s="2">
        <v>4929</v>
      </c>
      <c r="B4934" s="3" t="str">
        <f>"00226341"</f>
        <v>00226341</v>
      </c>
    </row>
    <row r="4935" spans="1:2" x14ac:dyDescent="0.25">
      <c r="A4935" s="2">
        <v>4930</v>
      </c>
      <c r="B4935" s="3" t="str">
        <f>"00226343"</f>
        <v>00226343</v>
      </c>
    </row>
    <row r="4936" spans="1:2" x14ac:dyDescent="0.25">
      <c r="A4936" s="2">
        <v>4931</v>
      </c>
      <c r="B4936" s="3" t="str">
        <f>"00226382"</f>
        <v>00226382</v>
      </c>
    </row>
    <row r="4937" spans="1:2" x14ac:dyDescent="0.25">
      <c r="A4937" s="2">
        <v>4932</v>
      </c>
      <c r="B4937" s="3" t="str">
        <f>"00226476"</f>
        <v>00226476</v>
      </c>
    </row>
    <row r="4938" spans="1:2" x14ac:dyDescent="0.25">
      <c r="A4938" s="2">
        <v>4933</v>
      </c>
      <c r="B4938" s="3" t="str">
        <f>"00226538"</f>
        <v>00226538</v>
      </c>
    </row>
    <row r="4939" spans="1:2" x14ac:dyDescent="0.25">
      <c r="A4939" s="2">
        <v>4934</v>
      </c>
      <c r="B4939" s="3" t="str">
        <f>"00226563"</f>
        <v>00226563</v>
      </c>
    </row>
    <row r="4940" spans="1:2" x14ac:dyDescent="0.25">
      <c r="A4940" s="2">
        <v>4935</v>
      </c>
      <c r="B4940" s="3" t="str">
        <f>"00226618"</f>
        <v>00226618</v>
      </c>
    </row>
    <row r="4941" spans="1:2" x14ac:dyDescent="0.25">
      <c r="A4941" s="2">
        <v>4936</v>
      </c>
      <c r="B4941" s="3" t="str">
        <f>"00226818"</f>
        <v>00226818</v>
      </c>
    </row>
    <row r="4942" spans="1:2" x14ac:dyDescent="0.25">
      <c r="A4942" s="2">
        <v>4937</v>
      </c>
      <c r="B4942" s="3" t="str">
        <f>"00226889"</f>
        <v>00226889</v>
      </c>
    </row>
    <row r="4943" spans="1:2" x14ac:dyDescent="0.25">
      <c r="A4943" s="2">
        <v>4938</v>
      </c>
      <c r="B4943" s="3" t="str">
        <f>"00226916"</f>
        <v>00226916</v>
      </c>
    </row>
    <row r="4944" spans="1:2" x14ac:dyDescent="0.25">
      <c r="A4944" s="2">
        <v>4939</v>
      </c>
      <c r="B4944" s="3" t="str">
        <f>"00226962"</f>
        <v>00226962</v>
      </c>
    </row>
    <row r="4945" spans="1:2" x14ac:dyDescent="0.25">
      <c r="A4945" s="2">
        <v>4940</v>
      </c>
      <c r="B4945" s="3" t="str">
        <f>"00226976"</f>
        <v>00226976</v>
      </c>
    </row>
    <row r="4946" spans="1:2" x14ac:dyDescent="0.25">
      <c r="A4946" s="2">
        <v>4941</v>
      </c>
      <c r="B4946" s="3" t="str">
        <f>"00226985"</f>
        <v>00226985</v>
      </c>
    </row>
    <row r="4947" spans="1:2" x14ac:dyDescent="0.25">
      <c r="A4947" s="2">
        <v>4942</v>
      </c>
      <c r="B4947" s="3" t="str">
        <f>"00227021"</f>
        <v>00227021</v>
      </c>
    </row>
    <row r="4948" spans="1:2" x14ac:dyDescent="0.25">
      <c r="A4948" s="2">
        <v>4943</v>
      </c>
      <c r="B4948" s="3" t="str">
        <f>"00227140"</f>
        <v>00227140</v>
      </c>
    </row>
    <row r="4949" spans="1:2" x14ac:dyDescent="0.25">
      <c r="A4949" s="2">
        <v>4944</v>
      </c>
      <c r="B4949" s="3" t="str">
        <f>"00227186"</f>
        <v>00227186</v>
      </c>
    </row>
    <row r="4950" spans="1:2" x14ac:dyDescent="0.25">
      <c r="A4950" s="2">
        <v>4945</v>
      </c>
      <c r="B4950" s="3" t="str">
        <f>"00227264"</f>
        <v>00227264</v>
      </c>
    </row>
    <row r="4951" spans="1:2" x14ac:dyDescent="0.25">
      <c r="A4951" s="2">
        <v>4946</v>
      </c>
      <c r="B4951" s="3" t="str">
        <f>"00227337"</f>
        <v>00227337</v>
      </c>
    </row>
    <row r="4952" spans="1:2" x14ac:dyDescent="0.25">
      <c r="A4952" s="2">
        <v>4947</v>
      </c>
      <c r="B4952" s="3" t="str">
        <f>"00227340"</f>
        <v>00227340</v>
      </c>
    </row>
    <row r="4953" spans="1:2" x14ac:dyDescent="0.25">
      <c r="A4953" s="2">
        <v>4948</v>
      </c>
      <c r="B4953" s="3" t="str">
        <f>"00227418"</f>
        <v>00227418</v>
      </c>
    </row>
    <row r="4954" spans="1:2" x14ac:dyDescent="0.25">
      <c r="A4954" s="2">
        <v>4949</v>
      </c>
      <c r="B4954" s="3" t="str">
        <f>"00227436"</f>
        <v>00227436</v>
      </c>
    </row>
    <row r="4955" spans="1:2" x14ac:dyDescent="0.25">
      <c r="A4955" s="2">
        <v>4950</v>
      </c>
      <c r="B4955" s="3" t="str">
        <f>"00227462"</f>
        <v>00227462</v>
      </c>
    </row>
    <row r="4956" spans="1:2" x14ac:dyDescent="0.25">
      <c r="A4956" s="2">
        <v>4951</v>
      </c>
      <c r="B4956" s="3" t="str">
        <f>"00227501"</f>
        <v>00227501</v>
      </c>
    </row>
    <row r="4957" spans="1:2" x14ac:dyDescent="0.25">
      <c r="A4957" s="2">
        <v>4952</v>
      </c>
      <c r="B4957" s="3" t="str">
        <f>"00227641"</f>
        <v>00227641</v>
      </c>
    </row>
    <row r="4958" spans="1:2" x14ac:dyDescent="0.25">
      <c r="A4958" s="2">
        <v>4953</v>
      </c>
      <c r="B4958" s="3" t="str">
        <f>"00227777"</f>
        <v>00227777</v>
      </c>
    </row>
    <row r="4959" spans="1:2" x14ac:dyDescent="0.25">
      <c r="A4959" s="2">
        <v>4954</v>
      </c>
      <c r="B4959" s="3" t="str">
        <f>"00227783"</f>
        <v>00227783</v>
      </c>
    </row>
    <row r="4960" spans="1:2" x14ac:dyDescent="0.25">
      <c r="A4960" s="2">
        <v>4955</v>
      </c>
      <c r="B4960" s="3" t="str">
        <f>"00227801"</f>
        <v>00227801</v>
      </c>
    </row>
    <row r="4961" spans="1:2" x14ac:dyDescent="0.25">
      <c r="A4961" s="2">
        <v>4956</v>
      </c>
      <c r="B4961" s="3" t="str">
        <f>"00227849"</f>
        <v>00227849</v>
      </c>
    </row>
    <row r="4962" spans="1:2" x14ac:dyDescent="0.25">
      <c r="A4962" s="2">
        <v>4957</v>
      </c>
      <c r="B4962" s="3" t="str">
        <f>"00227898"</f>
        <v>00227898</v>
      </c>
    </row>
    <row r="4963" spans="1:2" x14ac:dyDescent="0.25">
      <c r="A4963" s="2">
        <v>4958</v>
      </c>
      <c r="B4963" s="3" t="str">
        <f>"00227943"</f>
        <v>00227943</v>
      </c>
    </row>
    <row r="4964" spans="1:2" x14ac:dyDescent="0.25">
      <c r="A4964" s="2">
        <v>4959</v>
      </c>
      <c r="B4964" s="3" t="str">
        <f>"00228003"</f>
        <v>00228003</v>
      </c>
    </row>
    <row r="4965" spans="1:2" x14ac:dyDescent="0.25">
      <c r="A4965" s="2">
        <v>4960</v>
      </c>
      <c r="B4965" s="3" t="str">
        <f>"00228203"</f>
        <v>00228203</v>
      </c>
    </row>
    <row r="4966" spans="1:2" x14ac:dyDescent="0.25">
      <c r="A4966" s="2">
        <v>4961</v>
      </c>
      <c r="B4966" s="3" t="str">
        <f>"00228319"</f>
        <v>00228319</v>
      </c>
    </row>
    <row r="4967" spans="1:2" x14ac:dyDescent="0.25">
      <c r="A4967" s="2">
        <v>4962</v>
      </c>
      <c r="B4967" s="3" t="str">
        <f>"00228341"</f>
        <v>00228341</v>
      </c>
    </row>
    <row r="4968" spans="1:2" x14ac:dyDescent="0.25">
      <c r="A4968" s="2">
        <v>4963</v>
      </c>
      <c r="B4968" s="3" t="str">
        <f>"00228454"</f>
        <v>00228454</v>
      </c>
    </row>
    <row r="4969" spans="1:2" x14ac:dyDescent="0.25">
      <c r="A4969" s="2">
        <v>4964</v>
      </c>
      <c r="B4969" s="3" t="str">
        <f>"00228477"</f>
        <v>00228477</v>
      </c>
    </row>
    <row r="4970" spans="1:2" x14ac:dyDescent="0.25">
      <c r="A4970" s="2">
        <v>4965</v>
      </c>
      <c r="B4970" s="3" t="str">
        <f>"00228560"</f>
        <v>00228560</v>
      </c>
    </row>
    <row r="4971" spans="1:2" x14ac:dyDescent="0.25">
      <c r="A4971" s="2">
        <v>4966</v>
      </c>
      <c r="B4971" s="3" t="str">
        <f>"00228604"</f>
        <v>00228604</v>
      </c>
    </row>
    <row r="4972" spans="1:2" x14ac:dyDescent="0.25">
      <c r="A4972" s="2">
        <v>4967</v>
      </c>
      <c r="B4972" s="3" t="str">
        <f>"00228614"</f>
        <v>00228614</v>
      </c>
    </row>
    <row r="4973" spans="1:2" x14ac:dyDescent="0.25">
      <c r="A4973" s="2">
        <v>4968</v>
      </c>
      <c r="B4973" s="3" t="str">
        <f>"00228642"</f>
        <v>00228642</v>
      </c>
    </row>
    <row r="4974" spans="1:2" x14ac:dyDescent="0.25">
      <c r="A4974" s="2">
        <v>4969</v>
      </c>
      <c r="B4974" s="3" t="str">
        <f>"00228800"</f>
        <v>00228800</v>
      </c>
    </row>
    <row r="4975" spans="1:2" x14ac:dyDescent="0.25">
      <c r="A4975" s="2">
        <v>4970</v>
      </c>
      <c r="B4975" s="3" t="str">
        <f>"00228804"</f>
        <v>00228804</v>
      </c>
    </row>
    <row r="4976" spans="1:2" x14ac:dyDescent="0.25">
      <c r="A4976" s="2">
        <v>4971</v>
      </c>
      <c r="B4976" s="3" t="str">
        <f>"00228824"</f>
        <v>00228824</v>
      </c>
    </row>
    <row r="4977" spans="1:2" x14ac:dyDescent="0.25">
      <c r="A4977" s="2">
        <v>4972</v>
      </c>
      <c r="B4977" s="3" t="str">
        <f>"00228875"</f>
        <v>00228875</v>
      </c>
    </row>
    <row r="4978" spans="1:2" x14ac:dyDescent="0.25">
      <c r="A4978" s="2">
        <v>4973</v>
      </c>
      <c r="B4978" s="3" t="str">
        <f>"00228944"</f>
        <v>00228944</v>
      </c>
    </row>
    <row r="4979" spans="1:2" x14ac:dyDescent="0.25">
      <c r="A4979" s="2">
        <v>4974</v>
      </c>
      <c r="B4979" s="3" t="str">
        <f>"00228980"</f>
        <v>00228980</v>
      </c>
    </row>
    <row r="4980" spans="1:2" x14ac:dyDescent="0.25">
      <c r="A4980" s="2">
        <v>4975</v>
      </c>
      <c r="B4980" s="3" t="str">
        <f>"00229072"</f>
        <v>00229072</v>
      </c>
    </row>
    <row r="4981" spans="1:2" x14ac:dyDescent="0.25">
      <c r="A4981" s="2">
        <v>4976</v>
      </c>
      <c r="B4981" s="3" t="str">
        <f>"00229091"</f>
        <v>00229091</v>
      </c>
    </row>
    <row r="4982" spans="1:2" x14ac:dyDescent="0.25">
      <c r="A4982" s="2">
        <v>4977</v>
      </c>
      <c r="B4982" s="3" t="str">
        <f>"00229145"</f>
        <v>00229145</v>
      </c>
    </row>
    <row r="4983" spans="1:2" x14ac:dyDescent="0.25">
      <c r="A4983" s="2">
        <v>4978</v>
      </c>
      <c r="B4983" s="3" t="str">
        <f>"00229150"</f>
        <v>00229150</v>
      </c>
    </row>
    <row r="4984" spans="1:2" x14ac:dyDescent="0.25">
      <c r="A4984" s="2">
        <v>4979</v>
      </c>
      <c r="B4984" s="3" t="str">
        <f>"00229477"</f>
        <v>00229477</v>
      </c>
    </row>
    <row r="4985" spans="1:2" x14ac:dyDescent="0.25">
      <c r="A4985" s="2">
        <v>4980</v>
      </c>
      <c r="B4985" s="3" t="str">
        <f>"00229640"</f>
        <v>00229640</v>
      </c>
    </row>
    <row r="4986" spans="1:2" x14ac:dyDescent="0.25">
      <c r="A4986" s="2">
        <v>4981</v>
      </c>
      <c r="B4986" s="3" t="str">
        <f>"00229680"</f>
        <v>00229680</v>
      </c>
    </row>
    <row r="4987" spans="1:2" x14ac:dyDescent="0.25">
      <c r="A4987" s="2">
        <v>4982</v>
      </c>
      <c r="B4987" s="3" t="str">
        <f>"00229689"</f>
        <v>00229689</v>
      </c>
    </row>
    <row r="4988" spans="1:2" x14ac:dyDescent="0.25">
      <c r="A4988" s="2">
        <v>4983</v>
      </c>
      <c r="B4988" s="3" t="str">
        <f>"00229777"</f>
        <v>00229777</v>
      </c>
    </row>
    <row r="4989" spans="1:2" x14ac:dyDescent="0.25">
      <c r="A4989" s="2">
        <v>4984</v>
      </c>
      <c r="B4989" s="3" t="str">
        <f>"00229857"</f>
        <v>00229857</v>
      </c>
    </row>
    <row r="4990" spans="1:2" x14ac:dyDescent="0.25">
      <c r="A4990" s="2">
        <v>4985</v>
      </c>
      <c r="B4990" s="3" t="str">
        <f>"00229871"</f>
        <v>00229871</v>
      </c>
    </row>
    <row r="4991" spans="1:2" x14ac:dyDescent="0.25">
      <c r="A4991" s="2">
        <v>4986</v>
      </c>
      <c r="B4991" s="3" t="str">
        <f>"00229875"</f>
        <v>00229875</v>
      </c>
    </row>
    <row r="4992" spans="1:2" x14ac:dyDescent="0.25">
      <c r="A4992" s="2">
        <v>4987</v>
      </c>
      <c r="B4992" s="3" t="str">
        <f>"00229896"</f>
        <v>00229896</v>
      </c>
    </row>
    <row r="4993" spans="1:2" x14ac:dyDescent="0.25">
      <c r="A4993" s="2">
        <v>4988</v>
      </c>
      <c r="B4993" s="3" t="str">
        <f>"00229904"</f>
        <v>00229904</v>
      </c>
    </row>
    <row r="4994" spans="1:2" x14ac:dyDescent="0.25">
      <c r="A4994" s="2">
        <v>4989</v>
      </c>
      <c r="B4994" s="3" t="str">
        <f>"00229966"</f>
        <v>00229966</v>
      </c>
    </row>
    <row r="4995" spans="1:2" x14ac:dyDescent="0.25">
      <c r="A4995" s="2">
        <v>4990</v>
      </c>
      <c r="B4995" s="3" t="str">
        <f>"00229997"</f>
        <v>00229997</v>
      </c>
    </row>
    <row r="4996" spans="1:2" x14ac:dyDescent="0.25">
      <c r="A4996" s="2">
        <v>4991</v>
      </c>
      <c r="B4996" s="3" t="str">
        <f>"00230013"</f>
        <v>00230013</v>
      </c>
    </row>
    <row r="4997" spans="1:2" x14ac:dyDescent="0.25">
      <c r="A4997" s="2">
        <v>4992</v>
      </c>
      <c r="B4997" s="3" t="str">
        <f>"00230037"</f>
        <v>00230037</v>
      </c>
    </row>
    <row r="4998" spans="1:2" x14ac:dyDescent="0.25">
      <c r="A4998" s="2">
        <v>4993</v>
      </c>
      <c r="B4998" s="3" t="str">
        <f>"00230187"</f>
        <v>00230187</v>
      </c>
    </row>
    <row r="4999" spans="1:2" x14ac:dyDescent="0.25">
      <c r="A4999" s="2">
        <v>4994</v>
      </c>
      <c r="B4999" s="3" t="str">
        <f>"00230232"</f>
        <v>00230232</v>
      </c>
    </row>
    <row r="5000" spans="1:2" x14ac:dyDescent="0.25">
      <c r="A5000" s="2">
        <v>4995</v>
      </c>
      <c r="B5000" s="3" t="str">
        <f>"00230272"</f>
        <v>00230272</v>
      </c>
    </row>
    <row r="5001" spans="1:2" x14ac:dyDescent="0.25">
      <c r="A5001" s="2">
        <v>4996</v>
      </c>
      <c r="B5001" s="3" t="str">
        <f>"00230325"</f>
        <v>00230325</v>
      </c>
    </row>
    <row r="5002" spans="1:2" x14ac:dyDescent="0.25">
      <c r="A5002" s="2">
        <v>4997</v>
      </c>
      <c r="B5002" s="3" t="str">
        <f>"00230384"</f>
        <v>00230384</v>
      </c>
    </row>
    <row r="5003" spans="1:2" x14ac:dyDescent="0.25">
      <c r="A5003" s="2">
        <v>4998</v>
      </c>
      <c r="B5003" s="3" t="str">
        <f>"00230424"</f>
        <v>00230424</v>
      </c>
    </row>
    <row r="5004" spans="1:2" x14ac:dyDescent="0.25">
      <c r="A5004" s="2">
        <v>4999</v>
      </c>
      <c r="B5004" s="3" t="str">
        <f>"00230486"</f>
        <v>00230486</v>
      </c>
    </row>
    <row r="5005" spans="1:2" x14ac:dyDescent="0.25">
      <c r="A5005" s="2">
        <v>5000</v>
      </c>
      <c r="B5005" s="3" t="str">
        <f>"00230558"</f>
        <v>00230558</v>
      </c>
    </row>
    <row r="5006" spans="1:2" x14ac:dyDescent="0.25">
      <c r="A5006" s="2">
        <v>5001</v>
      </c>
      <c r="B5006" s="3" t="str">
        <f>"00230634"</f>
        <v>00230634</v>
      </c>
    </row>
    <row r="5007" spans="1:2" x14ac:dyDescent="0.25">
      <c r="A5007" s="2">
        <v>5002</v>
      </c>
      <c r="B5007" s="3" t="str">
        <f>"00230675"</f>
        <v>00230675</v>
      </c>
    </row>
    <row r="5008" spans="1:2" x14ac:dyDescent="0.25">
      <c r="A5008" s="2">
        <v>5003</v>
      </c>
      <c r="B5008" s="3" t="str">
        <f>"00230676"</f>
        <v>00230676</v>
      </c>
    </row>
    <row r="5009" spans="1:2" x14ac:dyDescent="0.25">
      <c r="A5009" s="2">
        <v>5004</v>
      </c>
      <c r="B5009" s="3" t="str">
        <f>"00230731"</f>
        <v>00230731</v>
      </c>
    </row>
    <row r="5010" spans="1:2" x14ac:dyDescent="0.25">
      <c r="A5010" s="2">
        <v>5005</v>
      </c>
      <c r="B5010" s="3" t="str">
        <f>"00230732"</f>
        <v>00230732</v>
      </c>
    </row>
    <row r="5011" spans="1:2" x14ac:dyDescent="0.25">
      <c r="A5011" s="2">
        <v>5006</v>
      </c>
      <c r="B5011" s="3" t="str">
        <f>"00230759"</f>
        <v>00230759</v>
      </c>
    </row>
    <row r="5012" spans="1:2" x14ac:dyDescent="0.25">
      <c r="A5012" s="2">
        <v>5007</v>
      </c>
      <c r="B5012" s="3" t="str">
        <f>"00230844"</f>
        <v>00230844</v>
      </c>
    </row>
    <row r="5013" spans="1:2" x14ac:dyDescent="0.25">
      <c r="A5013" s="2">
        <v>5008</v>
      </c>
      <c r="B5013" s="3" t="str">
        <f>"00230900"</f>
        <v>00230900</v>
      </c>
    </row>
    <row r="5014" spans="1:2" x14ac:dyDescent="0.25">
      <c r="A5014" s="2">
        <v>5009</v>
      </c>
      <c r="B5014" s="3" t="str">
        <f>"00230913"</f>
        <v>00230913</v>
      </c>
    </row>
    <row r="5015" spans="1:2" x14ac:dyDescent="0.25">
      <c r="A5015" s="2">
        <v>5010</v>
      </c>
      <c r="B5015" s="3" t="str">
        <f>"00230927"</f>
        <v>00230927</v>
      </c>
    </row>
    <row r="5016" spans="1:2" x14ac:dyDescent="0.25">
      <c r="A5016" s="2">
        <v>5011</v>
      </c>
      <c r="B5016" s="3" t="str">
        <f>"00231011"</f>
        <v>00231011</v>
      </c>
    </row>
    <row r="5017" spans="1:2" x14ac:dyDescent="0.25">
      <c r="A5017" s="2">
        <v>5012</v>
      </c>
      <c r="B5017" s="3" t="str">
        <f>"00231013"</f>
        <v>00231013</v>
      </c>
    </row>
    <row r="5018" spans="1:2" x14ac:dyDescent="0.25">
      <c r="A5018" s="2">
        <v>5013</v>
      </c>
      <c r="B5018" s="3" t="str">
        <f>"00231090"</f>
        <v>00231090</v>
      </c>
    </row>
    <row r="5019" spans="1:2" x14ac:dyDescent="0.25">
      <c r="A5019" s="2">
        <v>5014</v>
      </c>
      <c r="B5019" s="3" t="str">
        <f>"00231208"</f>
        <v>00231208</v>
      </c>
    </row>
    <row r="5020" spans="1:2" x14ac:dyDescent="0.25">
      <c r="A5020" s="2">
        <v>5015</v>
      </c>
      <c r="B5020" s="3" t="str">
        <f>"00231357"</f>
        <v>00231357</v>
      </c>
    </row>
    <row r="5021" spans="1:2" x14ac:dyDescent="0.25">
      <c r="A5021" s="2">
        <v>5016</v>
      </c>
      <c r="B5021" s="3" t="str">
        <f>"00231405"</f>
        <v>00231405</v>
      </c>
    </row>
    <row r="5022" spans="1:2" x14ac:dyDescent="0.25">
      <c r="A5022" s="2">
        <v>5017</v>
      </c>
      <c r="B5022" s="3" t="str">
        <f>"00231446"</f>
        <v>00231446</v>
      </c>
    </row>
    <row r="5023" spans="1:2" x14ac:dyDescent="0.25">
      <c r="A5023" s="2">
        <v>5018</v>
      </c>
      <c r="B5023" s="3" t="str">
        <f>"00231466"</f>
        <v>00231466</v>
      </c>
    </row>
    <row r="5024" spans="1:2" x14ac:dyDescent="0.25">
      <c r="A5024" s="2">
        <v>5019</v>
      </c>
      <c r="B5024" s="3" t="str">
        <f>"00231709"</f>
        <v>00231709</v>
      </c>
    </row>
    <row r="5025" spans="1:2" x14ac:dyDescent="0.25">
      <c r="A5025" s="2">
        <v>5020</v>
      </c>
      <c r="B5025" s="3" t="str">
        <f>"00231819"</f>
        <v>00231819</v>
      </c>
    </row>
    <row r="5026" spans="1:2" x14ac:dyDescent="0.25">
      <c r="A5026" s="2">
        <v>5021</v>
      </c>
      <c r="B5026" s="3" t="str">
        <f>"00231849"</f>
        <v>00231849</v>
      </c>
    </row>
    <row r="5027" spans="1:2" x14ac:dyDescent="0.25">
      <c r="A5027" s="2">
        <v>5022</v>
      </c>
      <c r="B5027" s="3" t="str">
        <f>"00231853"</f>
        <v>00231853</v>
      </c>
    </row>
    <row r="5028" spans="1:2" x14ac:dyDescent="0.25">
      <c r="A5028" s="2">
        <v>5023</v>
      </c>
      <c r="B5028" s="3" t="str">
        <f>"00231854"</f>
        <v>00231854</v>
      </c>
    </row>
    <row r="5029" spans="1:2" x14ac:dyDescent="0.25">
      <c r="A5029" s="2">
        <v>5024</v>
      </c>
      <c r="B5029" s="3" t="str">
        <f>"00231855"</f>
        <v>00231855</v>
      </c>
    </row>
    <row r="5030" spans="1:2" x14ac:dyDescent="0.25">
      <c r="A5030" s="2">
        <v>5025</v>
      </c>
      <c r="B5030" s="3" t="str">
        <f>"00231876"</f>
        <v>00231876</v>
      </c>
    </row>
    <row r="5031" spans="1:2" x14ac:dyDescent="0.25">
      <c r="A5031" s="2">
        <v>5026</v>
      </c>
      <c r="B5031" s="3" t="str">
        <f>"00231916"</f>
        <v>00231916</v>
      </c>
    </row>
    <row r="5032" spans="1:2" x14ac:dyDescent="0.25">
      <c r="A5032" s="2">
        <v>5027</v>
      </c>
      <c r="B5032" s="3" t="str">
        <f>"00231924"</f>
        <v>00231924</v>
      </c>
    </row>
    <row r="5033" spans="1:2" x14ac:dyDescent="0.25">
      <c r="A5033" s="2">
        <v>5028</v>
      </c>
      <c r="B5033" s="3" t="str">
        <f>"00231991"</f>
        <v>00231991</v>
      </c>
    </row>
    <row r="5034" spans="1:2" x14ac:dyDescent="0.25">
      <c r="A5034" s="2">
        <v>5029</v>
      </c>
      <c r="B5034" s="3" t="str">
        <f>"00232009"</f>
        <v>00232009</v>
      </c>
    </row>
    <row r="5035" spans="1:2" x14ac:dyDescent="0.25">
      <c r="A5035" s="2">
        <v>5030</v>
      </c>
      <c r="B5035" s="3" t="str">
        <f>"00232026"</f>
        <v>00232026</v>
      </c>
    </row>
    <row r="5036" spans="1:2" x14ac:dyDescent="0.25">
      <c r="A5036" s="2">
        <v>5031</v>
      </c>
      <c r="B5036" s="3" t="str">
        <f>"00232054"</f>
        <v>00232054</v>
      </c>
    </row>
    <row r="5037" spans="1:2" x14ac:dyDescent="0.25">
      <c r="A5037" s="2">
        <v>5032</v>
      </c>
      <c r="B5037" s="3" t="str">
        <f>"00232072"</f>
        <v>00232072</v>
      </c>
    </row>
    <row r="5038" spans="1:2" x14ac:dyDescent="0.25">
      <c r="A5038" s="2">
        <v>5033</v>
      </c>
      <c r="B5038" s="3" t="str">
        <f>"00232078"</f>
        <v>00232078</v>
      </c>
    </row>
    <row r="5039" spans="1:2" x14ac:dyDescent="0.25">
      <c r="A5039" s="2">
        <v>5034</v>
      </c>
      <c r="B5039" s="3" t="str">
        <f>"00232121"</f>
        <v>00232121</v>
      </c>
    </row>
    <row r="5040" spans="1:2" x14ac:dyDescent="0.25">
      <c r="A5040" s="2">
        <v>5035</v>
      </c>
      <c r="B5040" s="3" t="str">
        <f>"00232132"</f>
        <v>00232132</v>
      </c>
    </row>
    <row r="5041" spans="1:2" x14ac:dyDescent="0.25">
      <c r="A5041" s="2">
        <v>5036</v>
      </c>
      <c r="B5041" s="3" t="str">
        <f>"00232187"</f>
        <v>00232187</v>
      </c>
    </row>
    <row r="5042" spans="1:2" x14ac:dyDescent="0.25">
      <c r="A5042" s="2">
        <v>5037</v>
      </c>
      <c r="B5042" s="3" t="str">
        <f>"00232251"</f>
        <v>00232251</v>
      </c>
    </row>
    <row r="5043" spans="1:2" x14ac:dyDescent="0.25">
      <c r="A5043" s="2">
        <v>5038</v>
      </c>
      <c r="B5043" s="3" t="str">
        <f>"00232461"</f>
        <v>00232461</v>
      </c>
    </row>
    <row r="5044" spans="1:2" x14ac:dyDescent="0.25">
      <c r="A5044" s="2">
        <v>5039</v>
      </c>
      <c r="B5044" s="3" t="str">
        <f>"00232477"</f>
        <v>00232477</v>
      </c>
    </row>
    <row r="5045" spans="1:2" x14ac:dyDescent="0.25">
      <c r="A5045" s="2">
        <v>5040</v>
      </c>
      <c r="B5045" s="3" t="str">
        <f>"00232532"</f>
        <v>00232532</v>
      </c>
    </row>
    <row r="5046" spans="1:2" x14ac:dyDescent="0.25">
      <c r="A5046" s="2">
        <v>5041</v>
      </c>
      <c r="B5046" s="3" t="str">
        <f>"00232579"</f>
        <v>00232579</v>
      </c>
    </row>
    <row r="5047" spans="1:2" x14ac:dyDescent="0.25">
      <c r="A5047" s="2">
        <v>5042</v>
      </c>
      <c r="B5047" s="3" t="str">
        <f>"00232672"</f>
        <v>00232672</v>
      </c>
    </row>
    <row r="5048" spans="1:2" x14ac:dyDescent="0.25">
      <c r="A5048" s="2">
        <v>5043</v>
      </c>
      <c r="B5048" s="3" t="str">
        <f>"00232675"</f>
        <v>00232675</v>
      </c>
    </row>
    <row r="5049" spans="1:2" x14ac:dyDescent="0.25">
      <c r="A5049" s="2">
        <v>5044</v>
      </c>
      <c r="B5049" s="3" t="str">
        <f>"00232699"</f>
        <v>00232699</v>
      </c>
    </row>
    <row r="5050" spans="1:2" x14ac:dyDescent="0.25">
      <c r="A5050" s="2">
        <v>5045</v>
      </c>
      <c r="B5050" s="3" t="str">
        <f>"00232712"</f>
        <v>00232712</v>
      </c>
    </row>
    <row r="5051" spans="1:2" x14ac:dyDescent="0.25">
      <c r="A5051" s="2">
        <v>5046</v>
      </c>
      <c r="B5051" s="3" t="str">
        <f>"00232836"</f>
        <v>00232836</v>
      </c>
    </row>
    <row r="5052" spans="1:2" x14ac:dyDescent="0.25">
      <c r="A5052" s="2">
        <v>5047</v>
      </c>
      <c r="B5052" s="3" t="str">
        <f>"00232843"</f>
        <v>00232843</v>
      </c>
    </row>
    <row r="5053" spans="1:2" x14ac:dyDescent="0.25">
      <c r="A5053" s="2">
        <v>5048</v>
      </c>
      <c r="B5053" s="3" t="str">
        <f>"00232866"</f>
        <v>00232866</v>
      </c>
    </row>
    <row r="5054" spans="1:2" x14ac:dyDescent="0.25">
      <c r="A5054" s="2">
        <v>5049</v>
      </c>
      <c r="B5054" s="3" t="str">
        <f>"00232897"</f>
        <v>00232897</v>
      </c>
    </row>
    <row r="5055" spans="1:2" x14ac:dyDescent="0.25">
      <c r="A5055" s="2">
        <v>5050</v>
      </c>
      <c r="B5055" s="3" t="str">
        <f>"00232942"</f>
        <v>00232942</v>
      </c>
    </row>
    <row r="5056" spans="1:2" x14ac:dyDescent="0.25">
      <c r="A5056" s="2">
        <v>5051</v>
      </c>
      <c r="B5056" s="3" t="str">
        <f>"00232943"</f>
        <v>00232943</v>
      </c>
    </row>
    <row r="5057" spans="1:2" x14ac:dyDescent="0.25">
      <c r="A5057" s="2">
        <v>5052</v>
      </c>
      <c r="B5057" s="3" t="str">
        <f>"00233177"</f>
        <v>00233177</v>
      </c>
    </row>
    <row r="5058" spans="1:2" x14ac:dyDescent="0.25">
      <c r="A5058" s="2">
        <v>5053</v>
      </c>
      <c r="B5058" s="3" t="str">
        <f>"00233191"</f>
        <v>00233191</v>
      </c>
    </row>
    <row r="5059" spans="1:2" x14ac:dyDescent="0.25">
      <c r="A5059" s="2">
        <v>5054</v>
      </c>
      <c r="B5059" s="3" t="str">
        <f>"00233252"</f>
        <v>00233252</v>
      </c>
    </row>
    <row r="5060" spans="1:2" x14ac:dyDescent="0.25">
      <c r="A5060" s="2">
        <v>5055</v>
      </c>
      <c r="B5060" s="3" t="str">
        <f>"00233442"</f>
        <v>00233442</v>
      </c>
    </row>
    <row r="5061" spans="1:2" x14ac:dyDescent="0.25">
      <c r="A5061" s="2">
        <v>5056</v>
      </c>
      <c r="B5061" s="3" t="str">
        <f>"00233464"</f>
        <v>00233464</v>
      </c>
    </row>
    <row r="5062" spans="1:2" x14ac:dyDescent="0.25">
      <c r="A5062" s="2">
        <v>5057</v>
      </c>
      <c r="B5062" s="3" t="str">
        <f>"00233494"</f>
        <v>00233494</v>
      </c>
    </row>
    <row r="5063" spans="1:2" x14ac:dyDescent="0.25">
      <c r="A5063" s="2">
        <v>5058</v>
      </c>
      <c r="B5063" s="3" t="str">
        <f>"00233505"</f>
        <v>00233505</v>
      </c>
    </row>
    <row r="5064" spans="1:2" x14ac:dyDescent="0.25">
      <c r="A5064" s="2">
        <v>5059</v>
      </c>
      <c r="B5064" s="3" t="str">
        <f>"00233579"</f>
        <v>00233579</v>
      </c>
    </row>
    <row r="5065" spans="1:2" x14ac:dyDescent="0.25">
      <c r="A5065" s="2">
        <v>5060</v>
      </c>
      <c r="B5065" s="3" t="str">
        <f>"00233748"</f>
        <v>00233748</v>
      </c>
    </row>
    <row r="5066" spans="1:2" x14ac:dyDescent="0.25">
      <c r="A5066" s="2">
        <v>5061</v>
      </c>
      <c r="B5066" s="3" t="str">
        <f>"00233749"</f>
        <v>00233749</v>
      </c>
    </row>
    <row r="5067" spans="1:2" x14ac:dyDescent="0.25">
      <c r="A5067" s="2">
        <v>5062</v>
      </c>
      <c r="B5067" s="3" t="str">
        <f>"00233768"</f>
        <v>00233768</v>
      </c>
    </row>
    <row r="5068" spans="1:2" x14ac:dyDescent="0.25">
      <c r="A5068" s="2">
        <v>5063</v>
      </c>
      <c r="B5068" s="3" t="str">
        <f>"00233795"</f>
        <v>00233795</v>
      </c>
    </row>
    <row r="5069" spans="1:2" x14ac:dyDescent="0.25">
      <c r="A5069" s="2">
        <v>5064</v>
      </c>
      <c r="B5069" s="3" t="str">
        <f>"00233806"</f>
        <v>00233806</v>
      </c>
    </row>
    <row r="5070" spans="1:2" x14ac:dyDescent="0.25">
      <c r="A5070" s="2">
        <v>5065</v>
      </c>
      <c r="B5070" s="3" t="str">
        <f>"00233854"</f>
        <v>00233854</v>
      </c>
    </row>
    <row r="5071" spans="1:2" x14ac:dyDescent="0.25">
      <c r="A5071" s="2">
        <v>5066</v>
      </c>
      <c r="B5071" s="3" t="str">
        <f>"00233877"</f>
        <v>00233877</v>
      </c>
    </row>
    <row r="5072" spans="1:2" x14ac:dyDescent="0.25">
      <c r="A5072" s="2">
        <v>5067</v>
      </c>
      <c r="B5072" s="3" t="str">
        <f>"00233966"</f>
        <v>00233966</v>
      </c>
    </row>
    <row r="5073" spans="1:2" x14ac:dyDescent="0.25">
      <c r="A5073" s="2">
        <v>5068</v>
      </c>
      <c r="B5073" s="3" t="str">
        <f>"00234003"</f>
        <v>00234003</v>
      </c>
    </row>
    <row r="5074" spans="1:2" x14ac:dyDescent="0.25">
      <c r="A5074" s="2">
        <v>5069</v>
      </c>
      <c r="B5074" s="3" t="str">
        <f>"00234033"</f>
        <v>00234033</v>
      </c>
    </row>
    <row r="5075" spans="1:2" x14ac:dyDescent="0.25">
      <c r="A5075" s="2">
        <v>5070</v>
      </c>
      <c r="B5075" s="3" t="str">
        <f>"00234054"</f>
        <v>00234054</v>
      </c>
    </row>
    <row r="5076" spans="1:2" x14ac:dyDescent="0.25">
      <c r="A5076" s="2">
        <v>5071</v>
      </c>
      <c r="B5076" s="3" t="str">
        <f>"00234139"</f>
        <v>00234139</v>
      </c>
    </row>
    <row r="5077" spans="1:2" x14ac:dyDescent="0.25">
      <c r="A5077" s="2">
        <v>5072</v>
      </c>
      <c r="B5077" s="3" t="str">
        <f>"00234191"</f>
        <v>00234191</v>
      </c>
    </row>
    <row r="5078" spans="1:2" x14ac:dyDescent="0.25">
      <c r="A5078" s="2">
        <v>5073</v>
      </c>
      <c r="B5078" s="3" t="str">
        <f>"00234198"</f>
        <v>00234198</v>
      </c>
    </row>
    <row r="5079" spans="1:2" x14ac:dyDescent="0.25">
      <c r="A5079" s="2">
        <v>5074</v>
      </c>
      <c r="B5079" s="3" t="str">
        <f>"00234202"</f>
        <v>00234202</v>
      </c>
    </row>
    <row r="5080" spans="1:2" x14ac:dyDescent="0.25">
      <c r="A5080" s="2">
        <v>5075</v>
      </c>
      <c r="B5080" s="3" t="str">
        <f>"00234209"</f>
        <v>00234209</v>
      </c>
    </row>
    <row r="5081" spans="1:2" x14ac:dyDescent="0.25">
      <c r="A5081" s="2">
        <v>5076</v>
      </c>
      <c r="B5081" s="3" t="str">
        <f>"00234265"</f>
        <v>00234265</v>
      </c>
    </row>
    <row r="5082" spans="1:2" x14ac:dyDescent="0.25">
      <c r="A5082" s="2">
        <v>5077</v>
      </c>
      <c r="B5082" s="3" t="str">
        <f>"00234315"</f>
        <v>00234315</v>
      </c>
    </row>
    <row r="5083" spans="1:2" x14ac:dyDescent="0.25">
      <c r="A5083" s="2">
        <v>5078</v>
      </c>
      <c r="B5083" s="3" t="str">
        <f>"00234336"</f>
        <v>00234336</v>
      </c>
    </row>
    <row r="5084" spans="1:2" x14ac:dyDescent="0.25">
      <c r="A5084" s="2">
        <v>5079</v>
      </c>
      <c r="B5084" s="3" t="str">
        <f>"00234370"</f>
        <v>00234370</v>
      </c>
    </row>
    <row r="5085" spans="1:2" x14ac:dyDescent="0.25">
      <c r="A5085" s="2">
        <v>5080</v>
      </c>
      <c r="B5085" s="3" t="str">
        <f>"00234371"</f>
        <v>00234371</v>
      </c>
    </row>
    <row r="5086" spans="1:2" x14ac:dyDescent="0.25">
      <c r="A5086" s="2">
        <v>5081</v>
      </c>
      <c r="B5086" s="3" t="str">
        <f>"00234473"</f>
        <v>00234473</v>
      </c>
    </row>
    <row r="5087" spans="1:2" x14ac:dyDescent="0.25">
      <c r="A5087" s="2">
        <v>5082</v>
      </c>
      <c r="B5087" s="3" t="str">
        <f>"00234479"</f>
        <v>00234479</v>
      </c>
    </row>
    <row r="5088" spans="1:2" x14ac:dyDescent="0.25">
      <c r="A5088" s="2">
        <v>5083</v>
      </c>
      <c r="B5088" s="3" t="str">
        <f>"00234918"</f>
        <v>00234918</v>
      </c>
    </row>
    <row r="5089" spans="1:2" x14ac:dyDescent="0.25">
      <c r="A5089" s="2">
        <v>5084</v>
      </c>
      <c r="B5089" s="3" t="str">
        <f>"00234920"</f>
        <v>00234920</v>
      </c>
    </row>
    <row r="5090" spans="1:2" x14ac:dyDescent="0.25">
      <c r="A5090" s="2">
        <v>5085</v>
      </c>
      <c r="B5090" s="3" t="str">
        <f>"00234937"</f>
        <v>00234937</v>
      </c>
    </row>
    <row r="5091" spans="1:2" x14ac:dyDescent="0.25">
      <c r="A5091" s="2">
        <v>5086</v>
      </c>
      <c r="B5091" s="3" t="str">
        <f>"00234962"</f>
        <v>00234962</v>
      </c>
    </row>
    <row r="5092" spans="1:2" x14ac:dyDescent="0.25">
      <c r="A5092" s="2">
        <v>5087</v>
      </c>
      <c r="B5092" s="3" t="str">
        <f>"00235015"</f>
        <v>00235015</v>
      </c>
    </row>
    <row r="5093" spans="1:2" x14ac:dyDescent="0.25">
      <c r="A5093" s="2">
        <v>5088</v>
      </c>
      <c r="B5093" s="3" t="str">
        <f>"00235082"</f>
        <v>00235082</v>
      </c>
    </row>
    <row r="5094" spans="1:2" x14ac:dyDescent="0.25">
      <c r="A5094" s="2">
        <v>5089</v>
      </c>
      <c r="B5094" s="3" t="str">
        <f>"00235107"</f>
        <v>00235107</v>
      </c>
    </row>
    <row r="5095" spans="1:2" x14ac:dyDescent="0.25">
      <c r="A5095" s="2">
        <v>5090</v>
      </c>
      <c r="B5095" s="3" t="str">
        <f>"00235224"</f>
        <v>00235224</v>
      </c>
    </row>
    <row r="5096" spans="1:2" x14ac:dyDescent="0.25">
      <c r="A5096" s="2">
        <v>5091</v>
      </c>
      <c r="B5096" s="3" t="str">
        <f>"00235513"</f>
        <v>00235513</v>
      </c>
    </row>
    <row r="5097" spans="1:2" x14ac:dyDescent="0.25">
      <c r="A5097" s="2">
        <v>5092</v>
      </c>
      <c r="B5097" s="3" t="str">
        <f>"00235712"</f>
        <v>00235712</v>
      </c>
    </row>
    <row r="5098" spans="1:2" x14ac:dyDescent="0.25">
      <c r="A5098" s="2">
        <v>5093</v>
      </c>
      <c r="B5098" s="3" t="str">
        <f>"00235763"</f>
        <v>00235763</v>
      </c>
    </row>
    <row r="5099" spans="1:2" x14ac:dyDescent="0.25">
      <c r="A5099" s="2">
        <v>5094</v>
      </c>
      <c r="B5099" s="3" t="str">
        <f>"00235765"</f>
        <v>00235765</v>
      </c>
    </row>
    <row r="5100" spans="1:2" x14ac:dyDescent="0.25">
      <c r="A5100" s="2">
        <v>5095</v>
      </c>
      <c r="B5100" s="3" t="str">
        <f>"00235967"</f>
        <v>00235967</v>
      </c>
    </row>
    <row r="5101" spans="1:2" x14ac:dyDescent="0.25">
      <c r="A5101" s="2">
        <v>5096</v>
      </c>
      <c r="B5101" s="3" t="str">
        <f>"00236019"</f>
        <v>00236019</v>
      </c>
    </row>
    <row r="5102" spans="1:2" x14ac:dyDescent="0.25">
      <c r="A5102" s="2">
        <v>5097</v>
      </c>
      <c r="B5102" s="3" t="str">
        <f>"00236023"</f>
        <v>00236023</v>
      </c>
    </row>
    <row r="5103" spans="1:2" x14ac:dyDescent="0.25">
      <c r="A5103" s="2">
        <v>5098</v>
      </c>
      <c r="B5103" s="3" t="str">
        <f>"00236210"</f>
        <v>00236210</v>
      </c>
    </row>
    <row r="5104" spans="1:2" x14ac:dyDescent="0.25">
      <c r="A5104" s="2">
        <v>5099</v>
      </c>
      <c r="B5104" s="3" t="str">
        <f>"00236284"</f>
        <v>00236284</v>
      </c>
    </row>
    <row r="5105" spans="1:2" x14ac:dyDescent="0.25">
      <c r="A5105" s="2">
        <v>5100</v>
      </c>
      <c r="B5105" s="3" t="str">
        <f>"00236314"</f>
        <v>00236314</v>
      </c>
    </row>
    <row r="5106" spans="1:2" x14ac:dyDescent="0.25">
      <c r="A5106" s="2">
        <v>5101</v>
      </c>
      <c r="B5106" s="3" t="str">
        <f>"00236374"</f>
        <v>00236374</v>
      </c>
    </row>
    <row r="5107" spans="1:2" x14ac:dyDescent="0.25">
      <c r="A5107" s="2">
        <v>5102</v>
      </c>
      <c r="B5107" s="3" t="str">
        <f>"00236481"</f>
        <v>00236481</v>
      </c>
    </row>
    <row r="5108" spans="1:2" x14ac:dyDescent="0.25">
      <c r="A5108" s="2">
        <v>5103</v>
      </c>
      <c r="B5108" s="3" t="str">
        <f>"00236495"</f>
        <v>00236495</v>
      </c>
    </row>
    <row r="5109" spans="1:2" x14ac:dyDescent="0.25">
      <c r="A5109" s="2">
        <v>5104</v>
      </c>
      <c r="B5109" s="3" t="str">
        <f>"00236554"</f>
        <v>00236554</v>
      </c>
    </row>
    <row r="5110" spans="1:2" x14ac:dyDescent="0.25">
      <c r="A5110" s="2">
        <v>5105</v>
      </c>
      <c r="B5110" s="3" t="str">
        <f>"00236564"</f>
        <v>00236564</v>
      </c>
    </row>
    <row r="5111" spans="1:2" x14ac:dyDescent="0.25">
      <c r="A5111" s="2">
        <v>5106</v>
      </c>
      <c r="B5111" s="3" t="str">
        <f>"00236682"</f>
        <v>00236682</v>
      </c>
    </row>
    <row r="5112" spans="1:2" x14ac:dyDescent="0.25">
      <c r="A5112" s="2">
        <v>5107</v>
      </c>
      <c r="B5112" s="3" t="str">
        <f>"00236764"</f>
        <v>00236764</v>
      </c>
    </row>
    <row r="5113" spans="1:2" x14ac:dyDescent="0.25">
      <c r="A5113" s="2">
        <v>5108</v>
      </c>
      <c r="B5113" s="3" t="str">
        <f>"00236784"</f>
        <v>00236784</v>
      </c>
    </row>
    <row r="5114" spans="1:2" x14ac:dyDescent="0.25">
      <c r="A5114" s="2">
        <v>5109</v>
      </c>
      <c r="B5114" s="3" t="str">
        <f>"00236933"</f>
        <v>00236933</v>
      </c>
    </row>
    <row r="5115" spans="1:2" x14ac:dyDescent="0.25">
      <c r="A5115" s="2">
        <v>5110</v>
      </c>
      <c r="B5115" s="3" t="str">
        <f>"00236961"</f>
        <v>00236961</v>
      </c>
    </row>
    <row r="5116" spans="1:2" x14ac:dyDescent="0.25">
      <c r="A5116" s="2">
        <v>5111</v>
      </c>
      <c r="B5116" s="3" t="str">
        <f>"00237067"</f>
        <v>00237067</v>
      </c>
    </row>
    <row r="5117" spans="1:2" x14ac:dyDescent="0.25">
      <c r="A5117" s="2">
        <v>5112</v>
      </c>
      <c r="B5117" s="3" t="str">
        <f>"00237181"</f>
        <v>00237181</v>
      </c>
    </row>
    <row r="5118" spans="1:2" x14ac:dyDescent="0.25">
      <c r="A5118" s="2">
        <v>5113</v>
      </c>
      <c r="B5118" s="3" t="str">
        <f>"00237244"</f>
        <v>00237244</v>
      </c>
    </row>
    <row r="5119" spans="1:2" x14ac:dyDescent="0.25">
      <c r="A5119" s="2">
        <v>5114</v>
      </c>
      <c r="B5119" s="3" t="str">
        <f>"00237350"</f>
        <v>00237350</v>
      </c>
    </row>
    <row r="5120" spans="1:2" x14ac:dyDescent="0.25">
      <c r="A5120" s="2">
        <v>5115</v>
      </c>
      <c r="B5120" s="3" t="str">
        <f>"00237351"</f>
        <v>00237351</v>
      </c>
    </row>
    <row r="5121" spans="1:2" x14ac:dyDescent="0.25">
      <c r="A5121" s="2">
        <v>5116</v>
      </c>
      <c r="B5121" s="3" t="str">
        <f>"00237433"</f>
        <v>00237433</v>
      </c>
    </row>
    <row r="5122" spans="1:2" x14ac:dyDescent="0.25">
      <c r="A5122" s="2">
        <v>5117</v>
      </c>
      <c r="B5122" s="3" t="str">
        <f>"00237510"</f>
        <v>00237510</v>
      </c>
    </row>
    <row r="5123" spans="1:2" x14ac:dyDescent="0.25">
      <c r="A5123" s="2">
        <v>5118</v>
      </c>
      <c r="B5123" s="3" t="str">
        <f>"00237527"</f>
        <v>00237527</v>
      </c>
    </row>
    <row r="5124" spans="1:2" x14ac:dyDescent="0.25">
      <c r="A5124" s="2">
        <v>5119</v>
      </c>
      <c r="B5124" s="3" t="str">
        <f>"00237595"</f>
        <v>00237595</v>
      </c>
    </row>
    <row r="5125" spans="1:2" x14ac:dyDescent="0.25">
      <c r="A5125" s="2">
        <v>5120</v>
      </c>
      <c r="B5125" s="3" t="str">
        <f>"00237598"</f>
        <v>00237598</v>
      </c>
    </row>
    <row r="5126" spans="1:2" x14ac:dyDescent="0.25">
      <c r="A5126" s="2">
        <v>5121</v>
      </c>
      <c r="B5126" s="3" t="str">
        <f>"00237626"</f>
        <v>00237626</v>
      </c>
    </row>
    <row r="5127" spans="1:2" x14ac:dyDescent="0.25">
      <c r="A5127" s="2">
        <v>5122</v>
      </c>
      <c r="B5127" s="3" t="str">
        <f>"00237703"</f>
        <v>00237703</v>
      </c>
    </row>
    <row r="5128" spans="1:2" x14ac:dyDescent="0.25">
      <c r="A5128" s="2">
        <v>5123</v>
      </c>
      <c r="B5128" s="3" t="str">
        <f>"00237823"</f>
        <v>00237823</v>
      </c>
    </row>
    <row r="5129" spans="1:2" x14ac:dyDescent="0.25">
      <c r="A5129" s="2">
        <v>5124</v>
      </c>
      <c r="B5129" s="3" t="str">
        <f>"00237852"</f>
        <v>00237852</v>
      </c>
    </row>
    <row r="5130" spans="1:2" x14ac:dyDescent="0.25">
      <c r="A5130" s="2">
        <v>5125</v>
      </c>
      <c r="B5130" s="3" t="str">
        <f>"00237854"</f>
        <v>00237854</v>
      </c>
    </row>
    <row r="5131" spans="1:2" x14ac:dyDescent="0.25">
      <c r="A5131" s="2">
        <v>5126</v>
      </c>
      <c r="B5131" s="3" t="str">
        <f>"00237856"</f>
        <v>00237856</v>
      </c>
    </row>
    <row r="5132" spans="1:2" x14ac:dyDescent="0.25">
      <c r="A5132" s="2">
        <v>5127</v>
      </c>
      <c r="B5132" s="3" t="str">
        <f>"00237929"</f>
        <v>00237929</v>
      </c>
    </row>
    <row r="5133" spans="1:2" x14ac:dyDescent="0.25">
      <c r="A5133" s="2">
        <v>5128</v>
      </c>
      <c r="B5133" s="3" t="str">
        <f>"00237987"</f>
        <v>00237987</v>
      </c>
    </row>
    <row r="5134" spans="1:2" x14ac:dyDescent="0.25">
      <c r="A5134" s="2">
        <v>5129</v>
      </c>
      <c r="B5134" s="3" t="str">
        <f>"00238008"</f>
        <v>00238008</v>
      </c>
    </row>
    <row r="5135" spans="1:2" x14ac:dyDescent="0.25">
      <c r="A5135" s="2">
        <v>5130</v>
      </c>
      <c r="B5135" s="3" t="str">
        <f>"00238064"</f>
        <v>00238064</v>
      </c>
    </row>
    <row r="5136" spans="1:2" x14ac:dyDescent="0.25">
      <c r="A5136" s="2">
        <v>5131</v>
      </c>
      <c r="B5136" s="3" t="str">
        <f>"00238085"</f>
        <v>00238085</v>
      </c>
    </row>
    <row r="5137" spans="1:2" x14ac:dyDescent="0.25">
      <c r="A5137" s="2">
        <v>5132</v>
      </c>
      <c r="B5137" s="3" t="str">
        <f>"00238105"</f>
        <v>00238105</v>
      </c>
    </row>
    <row r="5138" spans="1:2" x14ac:dyDescent="0.25">
      <c r="A5138" s="2">
        <v>5133</v>
      </c>
      <c r="B5138" s="3" t="str">
        <f>"00238110"</f>
        <v>00238110</v>
      </c>
    </row>
    <row r="5139" spans="1:2" x14ac:dyDescent="0.25">
      <c r="A5139" s="2">
        <v>5134</v>
      </c>
      <c r="B5139" s="3" t="str">
        <f>"00238113"</f>
        <v>00238113</v>
      </c>
    </row>
    <row r="5140" spans="1:2" x14ac:dyDescent="0.25">
      <c r="A5140" s="2">
        <v>5135</v>
      </c>
      <c r="B5140" s="3" t="str">
        <f>"00238117"</f>
        <v>00238117</v>
      </c>
    </row>
    <row r="5141" spans="1:2" x14ac:dyDescent="0.25">
      <c r="A5141" s="2">
        <v>5136</v>
      </c>
      <c r="B5141" s="3" t="str">
        <f>"00238185"</f>
        <v>00238185</v>
      </c>
    </row>
    <row r="5142" spans="1:2" x14ac:dyDescent="0.25">
      <c r="A5142" s="2">
        <v>5137</v>
      </c>
      <c r="B5142" s="3" t="str">
        <f>"00238265"</f>
        <v>00238265</v>
      </c>
    </row>
    <row r="5143" spans="1:2" x14ac:dyDescent="0.25">
      <c r="A5143" s="2">
        <v>5138</v>
      </c>
      <c r="B5143" s="3" t="str">
        <f>"00238284"</f>
        <v>00238284</v>
      </c>
    </row>
    <row r="5144" spans="1:2" x14ac:dyDescent="0.25">
      <c r="A5144" s="2">
        <v>5139</v>
      </c>
      <c r="B5144" s="3" t="str">
        <f>"00238340"</f>
        <v>00238340</v>
      </c>
    </row>
    <row r="5145" spans="1:2" x14ac:dyDescent="0.25">
      <c r="A5145" s="2">
        <v>5140</v>
      </c>
      <c r="B5145" s="3" t="str">
        <f>"00238361"</f>
        <v>00238361</v>
      </c>
    </row>
    <row r="5146" spans="1:2" x14ac:dyDescent="0.25">
      <c r="A5146" s="2">
        <v>5141</v>
      </c>
      <c r="B5146" s="3" t="str">
        <f>"00238364"</f>
        <v>00238364</v>
      </c>
    </row>
    <row r="5147" spans="1:2" x14ac:dyDescent="0.25">
      <c r="A5147" s="2">
        <v>5142</v>
      </c>
      <c r="B5147" s="3" t="str">
        <f>"00238443"</f>
        <v>00238443</v>
      </c>
    </row>
    <row r="5148" spans="1:2" x14ac:dyDescent="0.25">
      <c r="A5148" s="2">
        <v>5143</v>
      </c>
      <c r="B5148" s="3" t="str">
        <f>"00238452"</f>
        <v>00238452</v>
      </c>
    </row>
    <row r="5149" spans="1:2" x14ac:dyDescent="0.25">
      <c r="A5149" s="2">
        <v>5144</v>
      </c>
      <c r="B5149" s="3" t="str">
        <f>"00238461"</f>
        <v>00238461</v>
      </c>
    </row>
    <row r="5150" spans="1:2" x14ac:dyDescent="0.25">
      <c r="A5150" s="2">
        <v>5145</v>
      </c>
      <c r="B5150" s="3" t="str">
        <f>"00238470"</f>
        <v>00238470</v>
      </c>
    </row>
    <row r="5151" spans="1:2" x14ac:dyDescent="0.25">
      <c r="A5151" s="2">
        <v>5146</v>
      </c>
      <c r="B5151" s="3" t="str">
        <f>"00238515"</f>
        <v>00238515</v>
      </c>
    </row>
    <row r="5152" spans="1:2" x14ac:dyDescent="0.25">
      <c r="A5152" s="2">
        <v>5147</v>
      </c>
      <c r="B5152" s="3" t="str">
        <f>"00238517"</f>
        <v>00238517</v>
      </c>
    </row>
    <row r="5153" spans="1:2" x14ac:dyDescent="0.25">
      <c r="A5153" s="2">
        <v>5148</v>
      </c>
      <c r="B5153" s="3" t="str">
        <f>"00238538"</f>
        <v>00238538</v>
      </c>
    </row>
    <row r="5154" spans="1:2" x14ac:dyDescent="0.25">
      <c r="A5154" s="2">
        <v>5149</v>
      </c>
      <c r="B5154" s="3" t="str">
        <f>"00238586"</f>
        <v>00238586</v>
      </c>
    </row>
    <row r="5155" spans="1:2" x14ac:dyDescent="0.25">
      <c r="A5155" s="2">
        <v>5150</v>
      </c>
      <c r="B5155" s="3" t="str">
        <f>"00238623"</f>
        <v>00238623</v>
      </c>
    </row>
    <row r="5156" spans="1:2" x14ac:dyDescent="0.25">
      <c r="A5156" s="2">
        <v>5151</v>
      </c>
      <c r="B5156" s="3" t="str">
        <f>"00238772"</f>
        <v>00238772</v>
      </c>
    </row>
    <row r="5157" spans="1:2" x14ac:dyDescent="0.25">
      <c r="A5157" s="2">
        <v>5152</v>
      </c>
      <c r="B5157" s="3" t="str">
        <f>"00238838"</f>
        <v>00238838</v>
      </c>
    </row>
    <row r="5158" spans="1:2" x14ac:dyDescent="0.25">
      <c r="A5158" s="2">
        <v>5153</v>
      </c>
      <c r="B5158" s="3" t="str">
        <f>"00238841"</f>
        <v>00238841</v>
      </c>
    </row>
    <row r="5159" spans="1:2" x14ac:dyDescent="0.25">
      <c r="A5159" s="2">
        <v>5154</v>
      </c>
      <c r="B5159" s="3" t="str">
        <f>"00238873"</f>
        <v>00238873</v>
      </c>
    </row>
    <row r="5160" spans="1:2" x14ac:dyDescent="0.25">
      <c r="A5160" s="2">
        <v>5155</v>
      </c>
      <c r="B5160" s="3" t="str">
        <f>"00238887"</f>
        <v>00238887</v>
      </c>
    </row>
    <row r="5161" spans="1:2" x14ac:dyDescent="0.25">
      <c r="A5161" s="2">
        <v>5156</v>
      </c>
      <c r="B5161" s="3" t="str">
        <f>"00238943"</f>
        <v>00238943</v>
      </c>
    </row>
    <row r="5162" spans="1:2" x14ac:dyDescent="0.25">
      <c r="A5162" s="2">
        <v>5157</v>
      </c>
      <c r="B5162" s="3" t="str">
        <f>"00239056"</f>
        <v>00239056</v>
      </c>
    </row>
    <row r="5163" spans="1:2" x14ac:dyDescent="0.25">
      <c r="A5163" s="2">
        <v>5158</v>
      </c>
      <c r="B5163" s="3" t="str">
        <f>"00239110"</f>
        <v>00239110</v>
      </c>
    </row>
    <row r="5164" spans="1:2" x14ac:dyDescent="0.25">
      <c r="A5164" s="2">
        <v>5159</v>
      </c>
      <c r="B5164" s="3" t="str">
        <f>"00239241"</f>
        <v>00239241</v>
      </c>
    </row>
    <row r="5165" spans="1:2" x14ac:dyDescent="0.25">
      <c r="A5165" s="2">
        <v>5160</v>
      </c>
      <c r="B5165" s="3" t="str">
        <f>"00239280"</f>
        <v>00239280</v>
      </c>
    </row>
    <row r="5166" spans="1:2" x14ac:dyDescent="0.25">
      <c r="A5166" s="2">
        <v>5161</v>
      </c>
      <c r="B5166" s="3" t="str">
        <f>"00239289"</f>
        <v>00239289</v>
      </c>
    </row>
    <row r="5167" spans="1:2" x14ac:dyDescent="0.25">
      <c r="A5167" s="2">
        <v>5162</v>
      </c>
      <c r="B5167" s="3" t="str">
        <f>"00239292"</f>
        <v>00239292</v>
      </c>
    </row>
    <row r="5168" spans="1:2" x14ac:dyDescent="0.25">
      <c r="A5168" s="2">
        <v>5163</v>
      </c>
      <c r="B5168" s="3" t="str">
        <f>"00239315"</f>
        <v>00239315</v>
      </c>
    </row>
    <row r="5169" spans="1:2" x14ac:dyDescent="0.25">
      <c r="A5169" s="2">
        <v>5164</v>
      </c>
      <c r="B5169" s="3" t="str">
        <f>"00239343"</f>
        <v>00239343</v>
      </c>
    </row>
    <row r="5170" spans="1:2" x14ac:dyDescent="0.25">
      <c r="A5170" s="2">
        <v>5165</v>
      </c>
      <c r="B5170" s="3" t="str">
        <f>"00239373"</f>
        <v>00239373</v>
      </c>
    </row>
    <row r="5171" spans="1:2" x14ac:dyDescent="0.25">
      <c r="A5171" s="2">
        <v>5166</v>
      </c>
      <c r="B5171" s="3" t="str">
        <f>"00239443"</f>
        <v>00239443</v>
      </c>
    </row>
    <row r="5172" spans="1:2" x14ac:dyDescent="0.25">
      <c r="A5172" s="2">
        <v>5167</v>
      </c>
      <c r="B5172" s="3" t="str">
        <f>"00239460"</f>
        <v>00239460</v>
      </c>
    </row>
    <row r="5173" spans="1:2" x14ac:dyDescent="0.25">
      <c r="A5173" s="2">
        <v>5168</v>
      </c>
      <c r="B5173" s="3" t="str">
        <f>"00239465"</f>
        <v>00239465</v>
      </c>
    </row>
    <row r="5174" spans="1:2" x14ac:dyDescent="0.25">
      <c r="A5174" s="2">
        <v>5169</v>
      </c>
      <c r="B5174" s="3" t="str">
        <f>"00239593"</f>
        <v>00239593</v>
      </c>
    </row>
    <row r="5175" spans="1:2" x14ac:dyDescent="0.25">
      <c r="A5175" s="2">
        <v>5170</v>
      </c>
      <c r="B5175" s="3" t="str">
        <f>"00239615"</f>
        <v>00239615</v>
      </c>
    </row>
    <row r="5176" spans="1:2" x14ac:dyDescent="0.25">
      <c r="A5176" s="2">
        <v>5171</v>
      </c>
      <c r="B5176" s="3" t="str">
        <f>"00239781"</f>
        <v>00239781</v>
      </c>
    </row>
    <row r="5177" spans="1:2" x14ac:dyDescent="0.25">
      <c r="A5177" s="2">
        <v>5172</v>
      </c>
      <c r="B5177" s="3" t="str">
        <f>"00239783"</f>
        <v>00239783</v>
      </c>
    </row>
    <row r="5178" spans="1:2" x14ac:dyDescent="0.25">
      <c r="A5178" s="2">
        <v>5173</v>
      </c>
      <c r="B5178" s="3" t="str">
        <f>"00239793"</f>
        <v>00239793</v>
      </c>
    </row>
    <row r="5179" spans="1:2" x14ac:dyDescent="0.25">
      <c r="A5179" s="2">
        <v>5174</v>
      </c>
      <c r="B5179" s="3" t="str">
        <f>"00239872"</f>
        <v>00239872</v>
      </c>
    </row>
    <row r="5180" spans="1:2" x14ac:dyDescent="0.25">
      <c r="A5180" s="2">
        <v>5175</v>
      </c>
      <c r="B5180" s="3" t="str">
        <f>"00239927"</f>
        <v>00239927</v>
      </c>
    </row>
    <row r="5181" spans="1:2" x14ac:dyDescent="0.25">
      <c r="A5181" s="2">
        <v>5176</v>
      </c>
      <c r="B5181" s="3" t="str">
        <f>"00239973"</f>
        <v>00239973</v>
      </c>
    </row>
    <row r="5182" spans="1:2" x14ac:dyDescent="0.25">
      <c r="A5182" s="2">
        <v>5177</v>
      </c>
      <c r="B5182" s="3" t="str">
        <f>"00240052"</f>
        <v>00240052</v>
      </c>
    </row>
    <row r="5183" spans="1:2" x14ac:dyDescent="0.25">
      <c r="A5183" s="2">
        <v>5178</v>
      </c>
      <c r="B5183" s="3" t="str">
        <f>"00240199"</f>
        <v>00240199</v>
      </c>
    </row>
    <row r="5184" spans="1:2" x14ac:dyDescent="0.25">
      <c r="A5184" s="2">
        <v>5179</v>
      </c>
      <c r="B5184" s="3" t="str">
        <f>"00240256"</f>
        <v>00240256</v>
      </c>
    </row>
    <row r="5185" spans="1:2" x14ac:dyDescent="0.25">
      <c r="A5185" s="2">
        <v>5180</v>
      </c>
      <c r="B5185" s="3" t="str">
        <f>"00240298"</f>
        <v>00240298</v>
      </c>
    </row>
    <row r="5186" spans="1:2" x14ac:dyDescent="0.25">
      <c r="A5186" s="2">
        <v>5181</v>
      </c>
      <c r="B5186" s="3" t="str">
        <f>"00240340"</f>
        <v>00240340</v>
      </c>
    </row>
    <row r="5187" spans="1:2" x14ac:dyDescent="0.25">
      <c r="A5187" s="2">
        <v>5182</v>
      </c>
      <c r="B5187" s="3" t="str">
        <f>"00240531"</f>
        <v>00240531</v>
      </c>
    </row>
    <row r="5188" spans="1:2" x14ac:dyDescent="0.25">
      <c r="A5188" s="2">
        <v>5183</v>
      </c>
      <c r="B5188" s="3" t="str">
        <f>"00240532"</f>
        <v>00240532</v>
      </c>
    </row>
    <row r="5189" spans="1:2" x14ac:dyDescent="0.25">
      <c r="A5189" s="2">
        <v>5184</v>
      </c>
      <c r="B5189" s="3" t="str">
        <f>"00240774"</f>
        <v>00240774</v>
      </c>
    </row>
    <row r="5190" spans="1:2" x14ac:dyDescent="0.25">
      <c r="A5190" s="2">
        <v>5185</v>
      </c>
      <c r="B5190" s="3" t="str">
        <f>"00240840"</f>
        <v>00240840</v>
      </c>
    </row>
    <row r="5191" spans="1:2" x14ac:dyDescent="0.25">
      <c r="A5191" s="2">
        <v>5186</v>
      </c>
      <c r="B5191" s="3" t="str">
        <f>"00240863"</f>
        <v>00240863</v>
      </c>
    </row>
    <row r="5192" spans="1:2" x14ac:dyDescent="0.25">
      <c r="A5192" s="2">
        <v>5187</v>
      </c>
      <c r="B5192" s="3" t="str">
        <f>"00240926"</f>
        <v>00240926</v>
      </c>
    </row>
    <row r="5193" spans="1:2" x14ac:dyDescent="0.25">
      <c r="A5193" s="2">
        <v>5188</v>
      </c>
      <c r="B5193" s="3" t="str">
        <f>"00240982"</f>
        <v>00240982</v>
      </c>
    </row>
    <row r="5194" spans="1:2" x14ac:dyDescent="0.25">
      <c r="A5194" s="2">
        <v>5189</v>
      </c>
      <c r="B5194" s="3" t="str">
        <f>"00241084"</f>
        <v>00241084</v>
      </c>
    </row>
    <row r="5195" spans="1:2" x14ac:dyDescent="0.25">
      <c r="A5195" s="2">
        <v>5190</v>
      </c>
      <c r="B5195" s="3" t="str">
        <f>"00241161"</f>
        <v>00241161</v>
      </c>
    </row>
    <row r="5196" spans="1:2" x14ac:dyDescent="0.25">
      <c r="A5196" s="2">
        <v>5191</v>
      </c>
      <c r="B5196" s="3" t="str">
        <f>"00241300"</f>
        <v>00241300</v>
      </c>
    </row>
    <row r="5197" spans="1:2" x14ac:dyDescent="0.25">
      <c r="A5197" s="2">
        <v>5192</v>
      </c>
      <c r="B5197" s="3" t="str">
        <f>"00241354"</f>
        <v>00241354</v>
      </c>
    </row>
    <row r="5198" spans="1:2" x14ac:dyDescent="0.25">
      <c r="A5198" s="2">
        <v>5193</v>
      </c>
      <c r="B5198" s="3" t="str">
        <f>"00241363"</f>
        <v>00241363</v>
      </c>
    </row>
    <row r="5199" spans="1:2" x14ac:dyDescent="0.25">
      <c r="A5199" s="2">
        <v>5194</v>
      </c>
      <c r="B5199" s="3" t="str">
        <f>"00241389"</f>
        <v>00241389</v>
      </c>
    </row>
    <row r="5200" spans="1:2" x14ac:dyDescent="0.25">
      <c r="A5200" s="2">
        <v>5195</v>
      </c>
      <c r="B5200" s="3" t="str">
        <f>"00241464"</f>
        <v>00241464</v>
      </c>
    </row>
    <row r="5201" spans="1:2" x14ac:dyDescent="0.25">
      <c r="A5201" s="2">
        <v>5196</v>
      </c>
      <c r="B5201" s="3" t="str">
        <f>"00241497"</f>
        <v>00241497</v>
      </c>
    </row>
    <row r="5202" spans="1:2" x14ac:dyDescent="0.25">
      <c r="A5202" s="2">
        <v>5197</v>
      </c>
      <c r="B5202" s="3" t="str">
        <f>"00241545"</f>
        <v>00241545</v>
      </c>
    </row>
    <row r="5203" spans="1:2" x14ac:dyDescent="0.25">
      <c r="A5203" s="2">
        <v>5198</v>
      </c>
      <c r="B5203" s="3" t="str">
        <f>"00241551"</f>
        <v>00241551</v>
      </c>
    </row>
    <row r="5204" spans="1:2" x14ac:dyDescent="0.25">
      <c r="A5204" s="2">
        <v>5199</v>
      </c>
      <c r="B5204" s="3" t="str">
        <f>"00241695"</f>
        <v>00241695</v>
      </c>
    </row>
    <row r="5205" spans="1:2" x14ac:dyDescent="0.25">
      <c r="A5205" s="2">
        <v>5200</v>
      </c>
      <c r="B5205" s="3" t="str">
        <f>"00241723"</f>
        <v>00241723</v>
      </c>
    </row>
    <row r="5206" spans="1:2" x14ac:dyDescent="0.25">
      <c r="A5206" s="2">
        <v>5201</v>
      </c>
      <c r="B5206" s="3" t="str">
        <f>"00241817"</f>
        <v>00241817</v>
      </c>
    </row>
    <row r="5207" spans="1:2" x14ac:dyDescent="0.25">
      <c r="A5207" s="2">
        <v>5202</v>
      </c>
      <c r="B5207" s="3" t="str">
        <f>"00241832"</f>
        <v>00241832</v>
      </c>
    </row>
    <row r="5208" spans="1:2" x14ac:dyDescent="0.25">
      <c r="A5208" s="2">
        <v>5203</v>
      </c>
      <c r="B5208" s="3" t="str">
        <f>"00241852"</f>
        <v>00241852</v>
      </c>
    </row>
    <row r="5209" spans="1:2" x14ac:dyDescent="0.25">
      <c r="A5209" s="2">
        <v>5204</v>
      </c>
      <c r="B5209" s="3" t="str">
        <f>"00241876"</f>
        <v>00241876</v>
      </c>
    </row>
    <row r="5210" spans="1:2" x14ac:dyDescent="0.25">
      <c r="A5210" s="2">
        <v>5205</v>
      </c>
      <c r="B5210" s="3" t="str">
        <f>"00241995"</f>
        <v>00241995</v>
      </c>
    </row>
    <row r="5211" spans="1:2" x14ac:dyDescent="0.25">
      <c r="A5211" s="2">
        <v>5206</v>
      </c>
      <c r="B5211" s="3" t="str">
        <f>"00242004"</f>
        <v>00242004</v>
      </c>
    </row>
    <row r="5212" spans="1:2" x14ac:dyDescent="0.25">
      <c r="A5212" s="2">
        <v>5207</v>
      </c>
      <c r="B5212" s="3" t="str">
        <f>"00242010"</f>
        <v>00242010</v>
      </c>
    </row>
    <row r="5213" spans="1:2" x14ac:dyDescent="0.25">
      <c r="A5213" s="2">
        <v>5208</v>
      </c>
      <c r="B5213" s="3" t="str">
        <f>"00242016"</f>
        <v>00242016</v>
      </c>
    </row>
    <row r="5214" spans="1:2" x14ac:dyDescent="0.25">
      <c r="A5214" s="2">
        <v>5209</v>
      </c>
      <c r="B5214" s="3" t="str">
        <f>"00242171"</f>
        <v>00242171</v>
      </c>
    </row>
    <row r="5215" spans="1:2" x14ac:dyDescent="0.25">
      <c r="A5215" s="2">
        <v>5210</v>
      </c>
      <c r="B5215" s="3" t="str">
        <f>"00242261"</f>
        <v>00242261</v>
      </c>
    </row>
    <row r="5216" spans="1:2" x14ac:dyDescent="0.25">
      <c r="A5216" s="2">
        <v>5211</v>
      </c>
      <c r="B5216" s="3" t="str">
        <f>"00242293"</f>
        <v>00242293</v>
      </c>
    </row>
    <row r="5217" spans="1:2" x14ac:dyDescent="0.25">
      <c r="A5217" s="2">
        <v>5212</v>
      </c>
      <c r="B5217" s="3" t="str">
        <f>"00242344"</f>
        <v>00242344</v>
      </c>
    </row>
    <row r="5218" spans="1:2" x14ac:dyDescent="0.25">
      <c r="A5218" s="2">
        <v>5213</v>
      </c>
      <c r="B5218" s="3" t="str">
        <f>"00242442"</f>
        <v>00242442</v>
      </c>
    </row>
    <row r="5219" spans="1:2" x14ac:dyDescent="0.25">
      <c r="A5219" s="2">
        <v>5214</v>
      </c>
      <c r="B5219" s="3" t="str">
        <f>"00242452"</f>
        <v>00242452</v>
      </c>
    </row>
    <row r="5220" spans="1:2" x14ac:dyDescent="0.25">
      <c r="A5220" s="2">
        <v>5215</v>
      </c>
      <c r="B5220" s="3" t="str">
        <f>"00242480"</f>
        <v>00242480</v>
      </c>
    </row>
    <row r="5221" spans="1:2" x14ac:dyDescent="0.25">
      <c r="A5221" s="2">
        <v>5216</v>
      </c>
      <c r="B5221" s="3" t="str">
        <f>"00242523"</f>
        <v>00242523</v>
      </c>
    </row>
    <row r="5222" spans="1:2" x14ac:dyDescent="0.25">
      <c r="A5222" s="2">
        <v>5217</v>
      </c>
      <c r="B5222" s="3" t="str">
        <f>"00242822"</f>
        <v>00242822</v>
      </c>
    </row>
    <row r="5223" spans="1:2" x14ac:dyDescent="0.25">
      <c r="A5223" s="2">
        <v>5218</v>
      </c>
      <c r="B5223" s="3" t="str">
        <f>"00242863"</f>
        <v>00242863</v>
      </c>
    </row>
    <row r="5224" spans="1:2" x14ac:dyDescent="0.25">
      <c r="A5224" s="2">
        <v>5219</v>
      </c>
      <c r="B5224" s="3" t="str">
        <f>"00242960"</f>
        <v>00242960</v>
      </c>
    </row>
    <row r="5225" spans="1:2" x14ac:dyDescent="0.25">
      <c r="A5225" s="2">
        <v>5220</v>
      </c>
      <c r="B5225" s="3" t="str">
        <f>"00243099"</f>
        <v>00243099</v>
      </c>
    </row>
    <row r="5226" spans="1:2" x14ac:dyDescent="0.25">
      <c r="A5226" s="2">
        <v>5221</v>
      </c>
      <c r="B5226" s="3" t="str">
        <f>"00243135"</f>
        <v>00243135</v>
      </c>
    </row>
    <row r="5227" spans="1:2" x14ac:dyDescent="0.25">
      <c r="A5227" s="2">
        <v>5222</v>
      </c>
      <c r="B5227" s="3" t="str">
        <f>"00243220"</f>
        <v>00243220</v>
      </c>
    </row>
    <row r="5228" spans="1:2" x14ac:dyDescent="0.25">
      <c r="A5228" s="2">
        <v>5223</v>
      </c>
      <c r="B5228" s="3" t="str">
        <f>"00243277"</f>
        <v>00243277</v>
      </c>
    </row>
    <row r="5229" spans="1:2" x14ac:dyDescent="0.25">
      <c r="A5229" s="2">
        <v>5224</v>
      </c>
      <c r="B5229" s="3" t="str">
        <f>"00243366"</f>
        <v>00243366</v>
      </c>
    </row>
    <row r="5230" spans="1:2" x14ac:dyDescent="0.25">
      <c r="A5230" s="2">
        <v>5225</v>
      </c>
      <c r="B5230" s="3" t="str">
        <f>"00243489"</f>
        <v>00243489</v>
      </c>
    </row>
    <row r="5231" spans="1:2" x14ac:dyDescent="0.25">
      <c r="A5231" s="2">
        <v>5226</v>
      </c>
      <c r="B5231" s="3" t="str">
        <f>"00243546"</f>
        <v>00243546</v>
      </c>
    </row>
    <row r="5232" spans="1:2" x14ac:dyDescent="0.25">
      <c r="A5232" s="2">
        <v>5227</v>
      </c>
      <c r="B5232" s="3" t="str">
        <f>"00243646"</f>
        <v>00243646</v>
      </c>
    </row>
    <row r="5233" spans="1:2" x14ac:dyDescent="0.25">
      <c r="A5233" s="2">
        <v>5228</v>
      </c>
      <c r="B5233" s="3" t="str">
        <f>"00243794"</f>
        <v>00243794</v>
      </c>
    </row>
    <row r="5234" spans="1:2" x14ac:dyDescent="0.25">
      <c r="A5234" s="2">
        <v>5229</v>
      </c>
      <c r="B5234" s="3" t="str">
        <f>"00243921"</f>
        <v>00243921</v>
      </c>
    </row>
    <row r="5235" spans="1:2" x14ac:dyDescent="0.25">
      <c r="A5235" s="2">
        <v>5230</v>
      </c>
      <c r="B5235" s="3" t="str">
        <f>"00243967"</f>
        <v>00243967</v>
      </c>
    </row>
    <row r="5236" spans="1:2" x14ac:dyDescent="0.25">
      <c r="A5236" s="2">
        <v>5231</v>
      </c>
      <c r="B5236" s="3" t="str">
        <f>"00243971"</f>
        <v>00243971</v>
      </c>
    </row>
    <row r="5237" spans="1:2" x14ac:dyDescent="0.25">
      <c r="A5237" s="2">
        <v>5232</v>
      </c>
      <c r="B5237" s="3" t="str">
        <f>"00244002"</f>
        <v>00244002</v>
      </c>
    </row>
    <row r="5238" spans="1:2" x14ac:dyDescent="0.25">
      <c r="A5238" s="2">
        <v>5233</v>
      </c>
      <c r="B5238" s="3" t="str">
        <f>"00244011"</f>
        <v>00244011</v>
      </c>
    </row>
    <row r="5239" spans="1:2" x14ac:dyDescent="0.25">
      <c r="A5239" s="2">
        <v>5234</v>
      </c>
      <c r="B5239" s="3" t="str">
        <f>"00244047"</f>
        <v>00244047</v>
      </c>
    </row>
    <row r="5240" spans="1:2" x14ac:dyDescent="0.25">
      <c r="A5240" s="2">
        <v>5235</v>
      </c>
      <c r="B5240" s="3" t="str">
        <f>"00244173"</f>
        <v>00244173</v>
      </c>
    </row>
    <row r="5241" spans="1:2" x14ac:dyDescent="0.25">
      <c r="A5241" s="2">
        <v>5236</v>
      </c>
      <c r="B5241" s="3" t="str">
        <f>"00244174"</f>
        <v>00244174</v>
      </c>
    </row>
    <row r="5242" spans="1:2" x14ac:dyDescent="0.25">
      <c r="A5242" s="2">
        <v>5237</v>
      </c>
      <c r="B5242" s="3" t="str">
        <f>"00244220"</f>
        <v>00244220</v>
      </c>
    </row>
    <row r="5243" spans="1:2" x14ac:dyDescent="0.25">
      <c r="A5243" s="2">
        <v>5238</v>
      </c>
      <c r="B5243" s="3" t="str">
        <f>"00244289"</f>
        <v>00244289</v>
      </c>
    </row>
    <row r="5244" spans="1:2" x14ac:dyDescent="0.25">
      <c r="A5244" s="2">
        <v>5239</v>
      </c>
      <c r="B5244" s="3" t="str">
        <f>"00244295"</f>
        <v>00244295</v>
      </c>
    </row>
    <row r="5245" spans="1:2" x14ac:dyDescent="0.25">
      <c r="A5245" s="2">
        <v>5240</v>
      </c>
      <c r="B5245" s="3" t="str">
        <f>"00244373"</f>
        <v>00244373</v>
      </c>
    </row>
    <row r="5246" spans="1:2" x14ac:dyDescent="0.25">
      <c r="A5246" s="2">
        <v>5241</v>
      </c>
      <c r="B5246" s="3" t="str">
        <f>"00244402"</f>
        <v>00244402</v>
      </c>
    </row>
    <row r="5247" spans="1:2" x14ac:dyDescent="0.25">
      <c r="A5247" s="2">
        <v>5242</v>
      </c>
      <c r="B5247" s="3" t="str">
        <f>"00244414"</f>
        <v>00244414</v>
      </c>
    </row>
    <row r="5248" spans="1:2" x14ac:dyDescent="0.25">
      <c r="A5248" s="2">
        <v>5243</v>
      </c>
      <c r="B5248" s="3" t="str">
        <f>"00244474"</f>
        <v>00244474</v>
      </c>
    </row>
    <row r="5249" spans="1:2" x14ac:dyDescent="0.25">
      <c r="A5249" s="2">
        <v>5244</v>
      </c>
      <c r="B5249" s="3" t="str">
        <f>"00244520"</f>
        <v>00244520</v>
      </c>
    </row>
    <row r="5250" spans="1:2" x14ac:dyDescent="0.25">
      <c r="A5250" s="2">
        <v>5245</v>
      </c>
      <c r="B5250" s="3" t="str">
        <f>"00244552"</f>
        <v>00244552</v>
      </c>
    </row>
    <row r="5251" spans="1:2" x14ac:dyDescent="0.25">
      <c r="A5251" s="2">
        <v>5246</v>
      </c>
      <c r="B5251" s="3" t="str">
        <f>"00244571"</f>
        <v>00244571</v>
      </c>
    </row>
    <row r="5252" spans="1:2" x14ac:dyDescent="0.25">
      <c r="A5252" s="2">
        <v>5247</v>
      </c>
      <c r="B5252" s="3" t="str">
        <f>"00244574"</f>
        <v>00244574</v>
      </c>
    </row>
    <row r="5253" spans="1:2" x14ac:dyDescent="0.25">
      <c r="A5253" s="2">
        <v>5248</v>
      </c>
      <c r="B5253" s="3" t="str">
        <f>"00244623"</f>
        <v>00244623</v>
      </c>
    </row>
    <row r="5254" spans="1:2" x14ac:dyDescent="0.25">
      <c r="A5254" s="2">
        <v>5249</v>
      </c>
      <c r="B5254" s="3" t="str">
        <f>"00244647"</f>
        <v>00244647</v>
      </c>
    </row>
    <row r="5255" spans="1:2" x14ac:dyDescent="0.25">
      <c r="A5255" s="2">
        <v>5250</v>
      </c>
      <c r="B5255" s="3" t="str">
        <f>"00244663"</f>
        <v>00244663</v>
      </c>
    </row>
    <row r="5256" spans="1:2" x14ac:dyDescent="0.25">
      <c r="A5256" s="2">
        <v>5251</v>
      </c>
      <c r="B5256" s="3" t="str">
        <f>"00244720"</f>
        <v>00244720</v>
      </c>
    </row>
    <row r="5257" spans="1:2" x14ac:dyDescent="0.25">
      <c r="A5257" s="2">
        <v>5252</v>
      </c>
      <c r="B5257" s="3" t="str">
        <f>"00244722"</f>
        <v>00244722</v>
      </c>
    </row>
    <row r="5258" spans="1:2" x14ac:dyDescent="0.25">
      <c r="A5258" s="2">
        <v>5253</v>
      </c>
      <c r="B5258" s="3" t="str">
        <f>"00244764"</f>
        <v>00244764</v>
      </c>
    </row>
    <row r="5259" spans="1:2" x14ac:dyDescent="0.25">
      <c r="A5259" s="2">
        <v>5254</v>
      </c>
      <c r="B5259" s="3" t="str">
        <f>"00244807"</f>
        <v>00244807</v>
      </c>
    </row>
    <row r="5260" spans="1:2" x14ac:dyDescent="0.25">
      <c r="A5260" s="2">
        <v>5255</v>
      </c>
      <c r="B5260" s="3" t="str">
        <f>"00244828"</f>
        <v>00244828</v>
      </c>
    </row>
    <row r="5261" spans="1:2" x14ac:dyDescent="0.25">
      <c r="A5261" s="2">
        <v>5256</v>
      </c>
      <c r="B5261" s="3" t="str">
        <f>"00244868"</f>
        <v>00244868</v>
      </c>
    </row>
    <row r="5262" spans="1:2" x14ac:dyDescent="0.25">
      <c r="A5262" s="2">
        <v>5257</v>
      </c>
      <c r="B5262" s="3" t="str">
        <f>"00244878"</f>
        <v>00244878</v>
      </c>
    </row>
    <row r="5263" spans="1:2" x14ac:dyDescent="0.25">
      <c r="A5263" s="2">
        <v>5258</v>
      </c>
      <c r="B5263" s="3" t="str">
        <f>"00244897"</f>
        <v>00244897</v>
      </c>
    </row>
    <row r="5264" spans="1:2" x14ac:dyDescent="0.25">
      <c r="A5264" s="2">
        <v>5259</v>
      </c>
      <c r="B5264" s="3" t="str">
        <f>"00245000"</f>
        <v>00245000</v>
      </c>
    </row>
    <row r="5265" spans="1:2" x14ac:dyDescent="0.25">
      <c r="A5265" s="2">
        <v>5260</v>
      </c>
      <c r="B5265" s="3" t="str">
        <f>"00245033"</f>
        <v>00245033</v>
      </c>
    </row>
    <row r="5266" spans="1:2" x14ac:dyDescent="0.25">
      <c r="A5266" s="2">
        <v>5261</v>
      </c>
      <c r="B5266" s="3" t="str">
        <f>"00245078"</f>
        <v>00245078</v>
      </c>
    </row>
    <row r="5267" spans="1:2" x14ac:dyDescent="0.25">
      <c r="A5267" s="2">
        <v>5262</v>
      </c>
      <c r="B5267" s="3" t="str">
        <f>"00245126"</f>
        <v>00245126</v>
      </c>
    </row>
    <row r="5268" spans="1:2" x14ac:dyDescent="0.25">
      <c r="A5268" s="2">
        <v>5263</v>
      </c>
      <c r="B5268" s="3" t="str">
        <f>"00245156"</f>
        <v>00245156</v>
      </c>
    </row>
    <row r="5269" spans="1:2" x14ac:dyDescent="0.25">
      <c r="A5269" s="2">
        <v>5264</v>
      </c>
      <c r="B5269" s="3" t="str">
        <f>"00245183"</f>
        <v>00245183</v>
      </c>
    </row>
    <row r="5270" spans="1:2" x14ac:dyDescent="0.25">
      <c r="A5270" s="2">
        <v>5265</v>
      </c>
      <c r="B5270" s="3" t="str">
        <f>"00245258"</f>
        <v>00245258</v>
      </c>
    </row>
    <row r="5271" spans="1:2" x14ac:dyDescent="0.25">
      <c r="A5271" s="2">
        <v>5266</v>
      </c>
      <c r="B5271" s="3" t="str">
        <f>"00245344"</f>
        <v>00245344</v>
      </c>
    </row>
    <row r="5272" spans="1:2" x14ac:dyDescent="0.25">
      <c r="A5272" s="2">
        <v>5267</v>
      </c>
      <c r="B5272" s="3" t="str">
        <f>"00245380"</f>
        <v>00245380</v>
      </c>
    </row>
    <row r="5273" spans="1:2" x14ac:dyDescent="0.25">
      <c r="A5273" s="2">
        <v>5268</v>
      </c>
      <c r="B5273" s="3" t="str">
        <f>"00245446"</f>
        <v>00245446</v>
      </c>
    </row>
    <row r="5274" spans="1:2" x14ac:dyDescent="0.25">
      <c r="A5274" s="2">
        <v>5269</v>
      </c>
      <c r="B5274" s="3" t="str">
        <f>"00245559"</f>
        <v>00245559</v>
      </c>
    </row>
    <row r="5275" spans="1:2" x14ac:dyDescent="0.25">
      <c r="A5275" s="2">
        <v>5270</v>
      </c>
      <c r="B5275" s="3" t="str">
        <f>"00245621"</f>
        <v>00245621</v>
      </c>
    </row>
    <row r="5276" spans="1:2" x14ac:dyDescent="0.25">
      <c r="A5276" s="2">
        <v>5271</v>
      </c>
      <c r="B5276" s="3" t="str">
        <f>"00245759"</f>
        <v>00245759</v>
      </c>
    </row>
    <row r="5277" spans="1:2" x14ac:dyDescent="0.25">
      <c r="A5277" s="2">
        <v>5272</v>
      </c>
      <c r="B5277" s="3" t="str">
        <f>"00245781"</f>
        <v>00245781</v>
      </c>
    </row>
    <row r="5278" spans="1:2" x14ac:dyDescent="0.25">
      <c r="A5278" s="2">
        <v>5273</v>
      </c>
      <c r="B5278" s="3" t="str">
        <f>"00245784"</f>
        <v>00245784</v>
      </c>
    </row>
    <row r="5279" spans="1:2" x14ac:dyDescent="0.25">
      <c r="A5279" s="2">
        <v>5274</v>
      </c>
      <c r="B5279" s="3" t="str">
        <f>"00245790"</f>
        <v>00245790</v>
      </c>
    </row>
    <row r="5280" spans="1:2" x14ac:dyDescent="0.25">
      <c r="A5280" s="2">
        <v>5275</v>
      </c>
      <c r="B5280" s="3" t="str">
        <f>"00245794"</f>
        <v>00245794</v>
      </c>
    </row>
    <row r="5281" spans="1:2" x14ac:dyDescent="0.25">
      <c r="A5281" s="2">
        <v>5276</v>
      </c>
      <c r="B5281" s="3" t="str">
        <f>"00245881"</f>
        <v>00245881</v>
      </c>
    </row>
    <row r="5282" spans="1:2" x14ac:dyDescent="0.25">
      <c r="A5282" s="2">
        <v>5277</v>
      </c>
      <c r="B5282" s="3" t="str">
        <f>"00245896"</f>
        <v>00245896</v>
      </c>
    </row>
    <row r="5283" spans="1:2" x14ac:dyDescent="0.25">
      <c r="A5283" s="2">
        <v>5278</v>
      </c>
      <c r="B5283" s="3" t="str">
        <f>"00245897"</f>
        <v>00245897</v>
      </c>
    </row>
    <row r="5284" spans="1:2" x14ac:dyDescent="0.25">
      <c r="A5284" s="2">
        <v>5279</v>
      </c>
      <c r="B5284" s="3" t="str">
        <f>"00245917"</f>
        <v>00245917</v>
      </c>
    </row>
    <row r="5285" spans="1:2" x14ac:dyDescent="0.25">
      <c r="A5285" s="2">
        <v>5280</v>
      </c>
      <c r="B5285" s="3" t="str">
        <f>"00245942"</f>
        <v>00245942</v>
      </c>
    </row>
    <row r="5286" spans="1:2" x14ac:dyDescent="0.25">
      <c r="A5286" s="2">
        <v>5281</v>
      </c>
      <c r="B5286" s="3" t="str">
        <f>"00245982"</f>
        <v>00245982</v>
      </c>
    </row>
    <row r="5287" spans="1:2" x14ac:dyDescent="0.25">
      <c r="A5287" s="2">
        <v>5282</v>
      </c>
      <c r="B5287" s="3" t="str">
        <f>"00245987"</f>
        <v>00245987</v>
      </c>
    </row>
    <row r="5288" spans="1:2" x14ac:dyDescent="0.25">
      <c r="A5288" s="2">
        <v>5283</v>
      </c>
      <c r="B5288" s="3" t="str">
        <f>"00246013"</f>
        <v>00246013</v>
      </c>
    </row>
    <row r="5289" spans="1:2" x14ac:dyDescent="0.25">
      <c r="A5289" s="2">
        <v>5284</v>
      </c>
      <c r="B5289" s="3" t="str">
        <f>"00246014"</f>
        <v>00246014</v>
      </c>
    </row>
    <row r="5290" spans="1:2" x14ac:dyDescent="0.25">
      <c r="A5290" s="2">
        <v>5285</v>
      </c>
      <c r="B5290" s="3" t="str">
        <f>"00246047"</f>
        <v>00246047</v>
      </c>
    </row>
    <row r="5291" spans="1:2" x14ac:dyDescent="0.25">
      <c r="A5291" s="2">
        <v>5286</v>
      </c>
      <c r="B5291" s="3" t="str">
        <f>"00246058"</f>
        <v>00246058</v>
      </c>
    </row>
    <row r="5292" spans="1:2" x14ac:dyDescent="0.25">
      <c r="A5292" s="2">
        <v>5287</v>
      </c>
      <c r="B5292" s="3" t="str">
        <f>"00246124"</f>
        <v>00246124</v>
      </c>
    </row>
    <row r="5293" spans="1:2" x14ac:dyDescent="0.25">
      <c r="A5293" s="2">
        <v>5288</v>
      </c>
      <c r="B5293" s="3" t="str">
        <f>"00246182"</f>
        <v>00246182</v>
      </c>
    </row>
    <row r="5294" spans="1:2" x14ac:dyDescent="0.25">
      <c r="A5294" s="2">
        <v>5289</v>
      </c>
      <c r="B5294" s="3" t="str">
        <f>"00246227"</f>
        <v>00246227</v>
      </c>
    </row>
    <row r="5295" spans="1:2" x14ac:dyDescent="0.25">
      <c r="A5295" s="2">
        <v>5290</v>
      </c>
      <c r="B5295" s="3" t="str">
        <f>"00246272"</f>
        <v>00246272</v>
      </c>
    </row>
    <row r="5296" spans="1:2" x14ac:dyDescent="0.25">
      <c r="A5296" s="2">
        <v>5291</v>
      </c>
      <c r="B5296" s="3" t="str">
        <f>"00246325"</f>
        <v>00246325</v>
      </c>
    </row>
    <row r="5297" spans="1:2" x14ac:dyDescent="0.25">
      <c r="A5297" s="2">
        <v>5292</v>
      </c>
      <c r="B5297" s="3" t="str">
        <f>"00246341"</f>
        <v>00246341</v>
      </c>
    </row>
    <row r="5298" spans="1:2" x14ac:dyDescent="0.25">
      <c r="A5298" s="2">
        <v>5293</v>
      </c>
      <c r="B5298" s="3" t="str">
        <f>"00246349"</f>
        <v>00246349</v>
      </c>
    </row>
    <row r="5299" spans="1:2" x14ac:dyDescent="0.25">
      <c r="A5299" s="2">
        <v>5294</v>
      </c>
      <c r="B5299" s="3" t="str">
        <f>"00246406"</f>
        <v>00246406</v>
      </c>
    </row>
    <row r="5300" spans="1:2" x14ac:dyDescent="0.25">
      <c r="A5300" s="2">
        <v>5295</v>
      </c>
      <c r="B5300" s="3" t="str">
        <f>"00246439"</f>
        <v>00246439</v>
      </c>
    </row>
    <row r="5301" spans="1:2" x14ac:dyDescent="0.25">
      <c r="A5301" s="2">
        <v>5296</v>
      </c>
      <c r="B5301" s="3" t="str">
        <f>"00246479"</f>
        <v>00246479</v>
      </c>
    </row>
    <row r="5302" spans="1:2" x14ac:dyDescent="0.25">
      <c r="A5302" s="2">
        <v>5297</v>
      </c>
      <c r="B5302" s="3" t="str">
        <f>"00246551"</f>
        <v>00246551</v>
      </c>
    </row>
    <row r="5303" spans="1:2" x14ac:dyDescent="0.25">
      <c r="A5303" s="2">
        <v>5298</v>
      </c>
      <c r="B5303" s="3" t="str">
        <f>"00246567"</f>
        <v>00246567</v>
      </c>
    </row>
    <row r="5304" spans="1:2" x14ac:dyDescent="0.25">
      <c r="A5304" s="2">
        <v>5299</v>
      </c>
      <c r="B5304" s="3" t="str">
        <f>"00246585"</f>
        <v>00246585</v>
      </c>
    </row>
    <row r="5305" spans="1:2" x14ac:dyDescent="0.25">
      <c r="A5305" s="2">
        <v>5300</v>
      </c>
      <c r="B5305" s="3" t="str">
        <f>"00246596"</f>
        <v>00246596</v>
      </c>
    </row>
    <row r="5306" spans="1:2" x14ac:dyDescent="0.25">
      <c r="A5306" s="2">
        <v>5301</v>
      </c>
      <c r="B5306" s="3" t="str">
        <f>"00246613"</f>
        <v>00246613</v>
      </c>
    </row>
    <row r="5307" spans="1:2" x14ac:dyDescent="0.25">
      <c r="A5307" s="2">
        <v>5302</v>
      </c>
      <c r="B5307" s="3" t="str">
        <f>"00246630"</f>
        <v>00246630</v>
      </c>
    </row>
    <row r="5308" spans="1:2" x14ac:dyDescent="0.25">
      <c r="A5308" s="2">
        <v>5303</v>
      </c>
      <c r="B5308" s="3" t="str">
        <f>"00246642"</f>
        <v>00246642</v>
      </c>
    </row>
    <row r="5309" spans="1:2" x14ac:dyDescent="0.25">
      <c r="A5309" s="2">
        <v>5304</v>
      </c>
      <c r="B5309" s="3" t="str">
        <f>"00246652"</f>
        <v>00246652</v>
      </c>
    </row>
    <row r="5310" spans="1:2" x14ac:dyDescent="0.25">
      <c r="A5310" s="2">
        <v>5305</v>
      </c>
      <c r="B5310" s="3" t="str">
        <f>"00246722"</f>
        <v>00246722</v>
      </c>
    </row>
    <row r="5311" spans="1:2" x14ac:dyDescent="0.25">
      <c r="A5311" s="2">
        <v>5306</v>
      </c>
      <c r="B5311" s="3" t="str">
        <f>"00246748"</f>
        <v>00246748</v>
      </c>
    </row>
    <row r="5312" spans="1:2" x14ac:dyDescent="0.25">
      <c r="A5312" s="2">
        <v>5307</v>
      </c>
      <c r="B5312" s="3" t="str">
        <f>"00246815"</f>
        <v>00246815</v>
      </c>
    </row>
    <row r="5313" spans="1:2" x14ac:dyDescent="0.25">
      <c r="A5313" s="2">
        <v>5308</v>
      </c>
      <c r="B5313" s="3" t="str">
        <f>"00246817"</f>
        <v>00246817</v>
      </c>
    </row>
    <row r="5314" spans="1:2" x14ac:dyDescent="0.25">
      <c r="A5314" s="2">
        <v>5309</v>
      </c>
      <c r="B5314" s="3" t="str">
        <f>"00246865"</f>
        <v>00246865</v>
      </c>
    </row>
    <row r="5315" spans="1:2" x14ac:dyDescent="0.25">
      <c r="A5315" s="2">
        <v>5310</v>
      </c>
      <c r="B5315" s="3" t="str">
        <f>"00246946"</f>
        <v>00246946</v>
      </c>
    </row>
    <row r="5316" spans="1:2" x14ac:dyDescent="0.25">
      <c r="A5316" s="2">
        <v>5311</v>
      </c>
      <c r="B5316" s="3" t="str">
        <f>"00247045"</f>
        <v>00247045</v>
      </c>
    </row>
    <row r="5317" spans="1:2" x14ac:dyDescent="0.25">
      <c r="A5317" s="2">
        <v>5312</v>
      </c>
      <c r="B5317" s="3" t="str">
        <f>"00247053"</f>
        <v>00247053</v>
      </c>
    </row>
    <row r="5318" spans="1:2" x14ac:dyDescent="0.25">
      <c r="A5318" s="2">
        <v>5313</v>
      </c>
      <c r="B5318" s="3" t="str">
        <f>"00247055"</f>
        <v>00247055</v>
      </c>
    </row>
    <row r="5319" spans="1:2" x14ac:dyDescent="0.25">
      <c r="A5319" s="2">
        <v>5314</v>
      </c>
      <c r="B5319" s="3" t="str">
        <f>"00247125"</f>
        <v>00247125</v>
      </c>
    </row>
    <row r="5320" spans="1:2" x14ac:dyDescent="0.25">
      <c r="A5320" s="2">
        <v>5315</v>
      </c>
      <c r="B5320" s="3" t="str">
        <f>"00247129"</f>
        <v>00247129</v>
      </c>
    </row>
    <row r="5321" spans="1:2" x14ac:dyDescent="0.25">
      <c r="A5321" s="2">
        <v>5316</v>
      </c>
      <c r="B5321" s="3" t="str">
        <f>"00247152"</f>
        <v>00247152</v>
      </c>
    </row>
    <row r="5322" spans="1:2" x14ac:dyDescent="0.25">
      <c r="A5322" s="2">
        <v>5317</v>
      </c>
      <c r="B5322" s="3" t="str">
        <f>"00247174"</f>
        <v>00247174</v>
      </c>
    </row>
    <row r="5323" spans="1:2" x14ac:dyDescent="0.25">
      <c r="A5323" s="2">
        <v>5318</v>
      </c>
      <c r="B5323" s="3" t="str">
        <f>"00247180"</f>
        <v>00247180</v>
      </c>
    </row>
    <row r="5324" spans="1:2" x14ac:dyDescent="0.25">
      <c r="A5324" s="2">
        <v>5319</v>
      </c>
      <c r="B5324" s="3" t="str">
        <f>"00247186"</f>
        <v>00247186</v>
      </c>
    </row>
    <row r="5325" spans="1:2" x14ac:dyDescent="0.25">
      <c r="A5325" s="2">
        <v>5320</v>
      </c>
      <c r="B5325" s="3" t="str">
        <f>"00247277"</f>
        <v>00247277</v>
      </c>
    </row>
    <row r="5326" spans="1:2" x14ac:dyDescent="0.25">
      <c r="A5326" s="2">
        <v>5321</v>
      </c>
      <c r="B5326" s="3" t="str">
        <f>"00247302"</f>
        <v>00247302</v>
      </c>
    </row>
    <row r="5327" spans="1:2" x14ac:dyDescent="0.25">
      <c r="A5327" s="2">
        <v>5322</v>
      </c>
      <c r="B5327" s="3" t="str">
        <f>"00247342"</f>
        <v>00247342</v>
      </c>
    </row>
    <row r="5328" spans="1:2" x14ac:dyDescent="0.25">
      <c r="A5328" s="2">
        <v>5323</v>
      </c>
      <c r="B5328" s="3" t="str">
        <f>"00247394"</f>
        <v>00247394</v>
      </c>
    </row>
    <row r="5329" spans="1:2" x14ac:dyDescent="0.25">
      <c r="A5329" s="2">
        <v>5324</v>
      </c>
      <c r="B5329" s="3" t="str">
        <f>"00247420"</f>
        <v>00247420</v>
      </c>
    </row>
    <row r="5330" spans="1:2" x14ac:dyDescent="0.25">
      <c r="A5330" s="2">
        <v>5325</v>
      </c>
      <c r="B5330" s="3" t="str">
        <f>"00247505"</f>
        <v>00247505</v>
      </c>
    </row>
    <row r="5331" spans="1:2" x14ac:dyDescent="0.25">
      <c r="A5331" s="2">
        <v>5326</v>
      </c>
      <c r="B5331" s="3" t="str">
        <f>"00247535"</f>
        <v>00247535</v>
      </c>
    </row>
    <row r="5332" spans="1:2" x14ac:dyDescent="0.25">
      <c r="A5332" s="2">
        <v>5327</v>
      </c>
      <c r="B5332" s="3" t="str">
        <f>"00247712"</f>
        <v>00247712</v>
      </c>
    </row>
    <row r="5333" spans="1:2" x14ac:dyDescent="0.25">
      <c r="A5333" s="2">
        <v>5328</v>
      </c>
      <c r="B5333" s="3" t="str">
        <f>"00247728"</f>
        <v>00247728</v>
      </c>
    </row>
    <row r="5334" spans="1:2" x14ac:dyDescent="0.25">
      <c r="A5334" s="2">
        <v>5329</v>
      </c>
      <c r="B5334" s="3" t="str">
        <f>"00247897"</f>
        <v>00247897</v>
      </c>
    </row>
    <row r="5335" spans="1:2" x14ac:dyDescent="0.25">
      <c r="A5335" s="2">
        <v>5330</v>
      </c>
      <c r="B5335" s="3" t="str">
        <f>"00247909"</f>
        <v>00247909</v>
      </c>
    </row>
    <row r="5336" spans="1:2" x14ac:dyDescent="0.25">
      <c r="A5336" s="2">
        <v>5331</v>
      </c>
      <c r="B5336" s="3" t="str">
        <f>"00247911"</f>
        <v>00247911</v>
      </c>
    </row>
    <row r="5337" spans="1:2" x14ac:dyDescent="0.25">
      <c r="A5337" s="2">
        <v>5332</v>
      </c>
      <c r="B5337" s="3" t="str">
        <f>"00247920"</f>
        <v>00247920</v>
      </c>
    </row>
    <row r="5338" spans="1:2" x14ac:dyDescent="0.25">
      <c r="A5338" s="2">
        <v>5333</v>
      </c>
      <c r="B5338" s="3" t="str">
        <f>"00247932"</f>
        <v>00247932</v>
      </c>
    </row>
    <row r="5339" spans="1:2" x14ac:dyDescent="0.25">
      <c r="A5339" s="2">
        <v>5334</v>
      </c>
      <c r="B5339" s="3" t="str">
        <f>"00248009"</f>
        <v>00248009</v>
      </c>
    </row>
    <row r="5340" spans="1:2" x14ac:dyDescent="0.25">
      <c r="A5340" s="2">
        <v>5335</v>
      </c>
      <c r="B5340" s="3" t="str">
        <f>"00248024"</f>
        <v>00248024</v>
      </c>
    </row>
    <row r="5341" spans="1:2" x14ac:dyDescent="0.25">
      <c r="A5341" s="2">
        <v>5336</v>
      </c>
      <c r="B5341" s="3" t="str">
        <f>"00248067"</f>
        <v>00248067</v>
      </c>
    </row>
    <row r="5342" spans="1:2" x14ac:dyDescent="0.25">
      <c r="A5342" s="2">
        <v>5337</v>
      </c>
      <c r="B5342" s="3" t="str">
        <f>"00248132"</f>
        <v>00248132</v>
      </c>
    </row>
    <row r="5343" spans="1:2" x14ac:dyDescent="0.25">
      <c r="A5343" s="2">
        <v>5338</v>
      </c>
      <c r="B5343" s="3" t="str">
        <f>"00248195"</f>
        <v>00248195</v>
      </c>
    </row>
    <row r="5344" spans="1:2" x14ac:dyDescent="0.25">
      <c r="A5344" s="2">
        <v>5339</v>
      </c>
      <c r="B5344" s="3" t="str">
        <f>"00248203"</f>
        <v>00248203</v>
      </c>
    </row>
    <row r="5345" spans="1:2" x14ac:dyDescent="0.25">
      <c r="A5345" s="2">
        <v>5340</v>
      </c>
      <c r="B5345" s="3" t="str">
        <f>"00248235"</f>
        <v>00248235</v>
      </c>
    </row>
    <row r="5346" spans="1:2" x14ac:dyDescent="0.25">
      <c r="A5346" s="2">
        <v>5341</v>
      </c>
      <c r="B5346" s="3" t="str">
        <f>"00248264"</f>
        <v>00248264</v>
      </c>
    </row>
    <row r="5347" spans="1:2" x14ac:dyDescent="0.25">
      <c r="A5347" s="2">
        <v>5342</v>
      </c>
      <c r="B5347" s="3" t="str">
        <f>"00248266"</f>
        <v>00248266</v>
      </c>
    </row>
    <row r="5348" spans="1:2" x14ac:dyDescent="0.25">
      <c r="A5348" s="2">
        <v>5343</v>
      </c>
      <c r="B5348" s="3" t="str">
        <f>"00248358"</f>
        <v>00248358</v>
      </c>
    </row>
    <row r="5349" spans="1:2" x14ac:dyDescent="0.25">
      <c r="A5349" s="2">
        <v>5344</v>
      </c>
      <c r="B5349" s="3" t="str">
        <f>"00248408"</f>
        <v>00248408</v>
      </c>
    </row>
    <row r="5350" spans="1:2" x14ac:dyDescent="0.25">
      <c r="A5350" s="2">
        <v>5345</v>
      </c>
      <c r="B5350" s="3" t="str">
        <f>"00248426"</f>
        <v>00248426</v>
      </c>
    </row>
    <row r="5351" spans="1:2" x14ac:dyDescent="0.25">
      <c r="A5351" s="2">
        <v>5346</v>
      </c>
      <c r="B5351" s="3" t="str">
        <f>"00248461"</f>
        <v>00248461</v>
      </c>
    </row>
    <row r="5352" spans="1:2" x14ac:dyDescent="0.25">
      <c r="A5352" s="2">
        <v>5347</v>
      </c>
      <c r="B5352" s="3" t="str">
        <f>"00248462"</f>
        <v>00248462</v>
      </c>
    </row>
    <row r="5353" spans="1:2" x14ac:dyDescent="0.25">
      <c r="A5353" s="2">
        <v>5348</v>
      </c>
      <c r="B5353" s="3" t="str">
        <f>"00248506"</f>
        <v>00248506</v>
      </c>
    </row>
    <row r="5354" spans="1:2" x14ac:dyDescent="0.25">
      <c r="A5354" s="2">
        <v>5349</v>
      </c>
      <c r="B5354" s="3" t="str">
        <f>"00248558"</f>
        <v>00248558</v>
      </c>
    </row>
    <row r="5355" spans="1:2" x14ac:dyDescent="0.25">
      <c r="A5355" s="2">
        <v>5350</v>
      </c>
      <c r="B5355" s="3" t="str">
        <f>"00248565"</f>
        <v>00248565</v>
      </c>
    </row>
    <row r="5356" spans="1:2" x14ac:dyDescent="0.25">
      <c r="A5356" s="2">
        <v>5351</v>
      </c>
      <c r="B5356" s="3" t="str">
        <f>"00248567"</f>
        <v>00248567</v>
      </c>
    </row>
    <row r="5357" spans="1:2" x14ac:dyDescent="0.25">
      <c r="A5357" s="2">
        <v>5352</v>
      </c>
      <c r="B5357" s="3" t="str">
        <f>"00248623"</f>
        <v>00248623</v>
      </c>
    </row>
    <row r="5358" spans="1:2" x14ac:dyDescent="0.25">
      <c r="A5358" s="2">
        <v>5353</v>
      </c>
      <c r="B5358" s="3" t="str">
        <f>"00248657"</f>
        <v>00248657</v>
      </c>
    </row>
    <row r="5359" spans="1:2" x14ac:dyDescent="0.25">
      <c r="A5359" s="2">
        <v>5354</v>
      </c>
      <c r="B5359" s="3" t="str">
        <f>"00248688"</f>
        <v>00248688</v>
      </c>
    </row>
    <row r="5360" spans="1:2" x14ac:dyDescent="0.25">
      <c r="A5360" s="2">
        <v>5355</v>
      </c>
      <c r="B5360" s="3" t="str">
        <f>"00248691"</f>
        <v>00248691</v>
      </c>
    </row>
    <row r="5361" spans="1:2" x14ac:dyDescent="0.25">
      <c r="A5361" s="2">
        <v>5356</v>
      </c>
      <c r="B5361" s="3" t="str">
        <f>"00248795"</f>
        <v>00248795</v>
      </c>
    </row>
    <row r="5362" spans="1:2" x14ac:dyDescent="0.25">
      <c r="A5362" s="2">
        <v>5357</v>
      </c>
      <c r="B5362" s="3" t="str">
        <f>"00248805"</f>
        <v>00248805</v>
      </c>
    </row>
    <row r="5363" spans="1:2" x14ac:dyDescent="0.25">
      <c r="A5363" s="2">
        <v>5358</v>
      </c>
      <c r="B5363" s="3" t="str">
        <f>"00248807"</f>
        <v>00248807</v>
      </c>
    </row>
    <row r="5364" spans="1:2" x14ac:dyDescent="0.25">
      <c r="A5364" s="2">
        <v>5359</v>
      </c>
      <c r="B5364" s="3" t="str">
        <f>"00248811"</f>
        <v>00248811</v>
      </c>
    </row>
    <row r="5365" spans="1:2" x14ac:dyDescent="0.25">
      <c r="A5365" s="2">
        <v>5360</v>
      </c>
      <c r="B5365" s="3" t="str">
        <f>"00248843"</f>
        <v>00248843</v>
      </c>
    </row>
    <row r="5366" spans="1:2" x14ac:dyDescent="0.25">
      <c r="A5366" s="2">
        <v>5361</v>
      </c>
      <c r="B5366" s="3" t="str">
        <f>"00248857"</f>
        <v>00248857</v>
      </c>
    </row>
    <row r="5367" spans="1:2" x14ac:dyDescent="0.25">
      <c r="A5367" s="2">
        <v>5362</v>
      </c>
      <c r="B5367" s="3" t="str">
        <f>"00248870"</f>
        <v>00248870</v>
      </c>
    </row>
    <row r="5368" spans="1:2" x14ac:dyDescent="0.25">
      <c r="A5368" s="2">
        <v>5363</v>
      </c>
      <c r="B5368" s="3" t="str">
        <f>"00248871"</f>
        <v>00248871</v>
      </c>
    </row>
    <row r="5369" spans="1:2" x14ac:dyDescent="0.25">
      <c r="A5369" s="2">
        <v>5364</v>
      </c>
      <c r="B5369" s="3" t="str">
        <f>"00248876"</f>
        <v>00248876</v>
      </c>
    </row>
    <row r="5370" spans="1:2" x14ac:dyDescent="0.25">
      <c r="A5370" s="2">
        <v>5365</v>
      </c>
      <c r="B5370" s="3" t="str">
        <f>"00248987"</f>
        <v>00248987</v>
      </c>
    </row>
    <row r="5371" spans="1:2" x14ac:dyDescent="0.25">
      <c r="A5371" s="2">
        <v>5366</v>
      </c>
      <c r="B5371" s="3" t="str">
        <f>"00248997"</f>
        <v>00248997</v>
      </c>
    </row>
    <row r="5372" spans="1:2" x14ac:dyDescent="0.25">
      <c r="A5372" s="2">
        <v>5367</v>
      </c>
      <c r="B5372" s="3" t="str">
        <f>"00249011"</f>
        <v>00249011</v>
      </c>
    </row>
    <row r="5373" spans="1:2" x14ac:dyDescent="0.25">
      <c r="A5373" s="2">
        <v>5368</v>
      </c>
      <c r="B5373" s="3" t="str">
        <f>"00249021"</f>
        <v>00249021</v>
      </c>
    </row>
    <row r="5374" spans="1:2" x14ac:dyDescent="0.25">
      <c r="A5374" s="2">
        <v>5369</v>
      </c>
      <c r="B5374" s="3" t="str">
        <f>"00249056"</f>
        <v>00249056</v>
      </c>
    </row>
    <row r="5375" spans="1:2" x14ac:dyDescent="0.25">
      <c r="A5375" s="2">
        <v>5370</v>
      </c>
      <c r="B5375" s="3" t="str">
        <f>"00249105"</f>
        <v>00249105</v>
      </c>
    </row>
    <row r="5376" spans="1:2" x14ac:dyDescent="0.25">
      <c r="A5376" s="2">
        <v>5371</v>
      </c>
      <c r="B5376" s="3" t="str">
        <f>"00249154"</f>
        <v>00249154</v>
      </c>
    </row>
    <row r="5377" spans="1:2" x14ac:dyDescent="0.25">
      <c r="A5377" s="2">
        <v>5372</v>
      </c>
      <c r="B5377" s="3" t="str">
        <f>"00249159"</f>
        <v>00249159</v>
      </c>
    </row>
    <row r="5378" spans="1:2" x14ac:dyDescent="0.25">
      <c r="A5378" s="2">
        <v>5373</v>
      </c>
      <c r="B5378" s="3" t="str">
        <f>"00249169"</f>
        <v>00249169</v>
      </c>
    </row>
    <row r="5379" spans="1:2" x14ac:dyDescent="0.25">
      <c r="A5379" s="2">
        <v>5374</v>
      </c>
      <c r="B5379" s="3" t="str">
        <f>"00249248"</f>
        <v>00249248</v>
      </c>
    </row>
    <row r="5380" spans="1:2" x14ac:dyDescent="0.25">
      <c r="A5380" s="2">
        <v>5375</v>
      </c>
      <c r="B5380" s="3" t="str">
        <f>"00249259"</f>
        <v>00249259</v>
      </c>
    </row>
    <row r="5381" spans="1:2" x14ac:dyDescent="0.25">
      <c r="A5381" s="2">
        <v>5376</v>
      </c>
      <c r="B5381" s="3" t="str">
        <f>"00249304"</f>
        <v>00249304</v>
      </c>
    </row>
    <row r="5382" spans="1:2" x14ac:dyDescent="0.25">
      <c r="A5382" s="2">
        <v>5377</v>
      </c>
      <c r="B5382" s="3" t="str">
        <f>"00249333"</f>
        <v>00249333</v>
      </c>
    </row>
    <row r="5383" spans="1:2" x14ac:dyDescent="0.25">
      <c r="A5383" s="2">
        <v>5378</v>
      </c>
      <c r="B5383" s="3" t="str">
        <f>"00249340"</f>
        <v>00249340</v>
      </c>
    </row>
    <row r="5384" spans="1:2" x14ac:dyDescent="0.25">
      <c r="A5384" s="2">
        <v>5379</v>
      </c>
      <c r="B5384" s="3" t="str">
        <f>"00249347"</f>
        <v>00249347</v>
      </c>
    </row>
    <row r="5385" spans="1:2" x14ac:dyDescent="0.25">
      <c r="A5385" s="2">
        <v>5380</v>
      </c>
      <c r="B5385" s="3" t="str">
        <f>"00249414"</f>
        <v>00249414</v>
      </c>
    </row>
    <row r="5386" spans="1:2" x14ac:dyDescent="0.25">
      <c r="A5386" s="2">
        <v>5381</v>
      </c>
      <c r="B5386" s="3" t="str">
        <f>"00249456"</f>
        <v>00249456</v>
      </c>
    </row>
    <row r="5387" spans="1:2" x14ac:dyDescent="0.25">
      <c r="A5387" s="2">
        <v>5382</v>
      </c>
      <c r="B5387" s="3" t="str">
        <f>"00249513"</f>
        <v>00249513</v>
      </c>
    </row>
    <row r="5388" spans="1:2" x14ac:dyDescent="0.25">
      <c r="A5388" s="2">
        <v>5383</v>
      </c>
      <c r="B5388" s="3" t="str">
        <f>"00249533"</f>
        <v>00249533</v>
      </c>
    </row>
    <row r="5389" spans="1:2" x14ac:dyDescent="0.25">
      <c r="A5389" s="2">
        <v>5384</v>
      </c>
      <c r="B5389" s="3" t="str">
        <f>"00249553"</f>
        <v>00249553</v>
      </c>
    </row>
    <row r="5390" spans="1:2" x14ac:dyDescent="0.25">
      <c r="A5390" s="2">
        <v>5385</v>
      </c>
      <c r="B5390" s="3" t="str">
        <f>"00249584"</f>
        <v>00249584</v>
      </c>
    </row>
    <row r="5391" spans="1:2" x14ac:dyDescent="0.25">
      <c r="A5391" s="2">
        <v>5386</v>
      </c>
      <c r="B5391" s="3" t="str">
        <f>"00249611"</f>
        <v>00249611</v>
      </c>
    </row>
    <row r="5392" spans="1:2" x14ac:dyDescent="0.25">
      <c r="A5392" s="2">
        <v>5387</v>
      </c>
      <c r="B5392" s="3" t="str">
        <f>"00249612"</f>
        <v>00249612</v>
      </c>
    </row>
    <row r="5393" spans="1:2" x14ac:dyDescent="0.25">
      <c r="A5393" s="2">
        <v>5388</v>
      </c>
      <c r="B5393" s="3" t="str">
        <f>"00249624"</f>
        <v>00249624</v>
      </c>
    </row>
    <row r="5394" spans="1:2" x14ac:dyDescent="0.25">
      <c r="A5394" s="2">
        <v>5389</v>
      </c>
      <c r="B5394" s="3" t="str">
        <f>"00249675"</f>
        <v>00249675</v>
      </c>
    </row>
    <row r="5395" spans="1:2" x14ac:dyDescent="0.25">
      <c r="A5395" s="2">
        <v>5390</v>
      </c>
      <c r="B5395" s="3" t="str">
        <f>"00249694"</f>
        <v>00249694</v>
      </c>
    </row>
    <row r="5396" spans="1:2" x14ac:dyDescent="0.25">
      <c r="A5396" s="2">
        <v>5391</v>
      </c>
      <c r="B5396" s="3" t="str">
        <f>"00249716"</f>
        <v>00249716</v>
      </c>
    </row>
    <row r="5397" spans="1:2" x14ac:dyDescent="0.25">
      <c r="A5397" s="2">
        <v>5392</v>
      </c>
      <c r="B5397" s="3" t="str">
        <f>"00249739"</f>
        <v>00249739</v>
      </c>
    </row>
    <row r="5398" spans="1:2" x14ac:dyDescent="0.25">
      <c r="A5398" s="2">
        <v>5393</v>
      </c>
      <c r="B5398" s="3" t="str">
        <f>"00249766"</f>
        <v>00249766</v>
      </c>
    </row>
    <row r="5399" spans="1:2" x14ac:dyDescent="0.25">
      <c r="A5399" s="2">
        <v>5394</v>
      </c>
      <c r="B5399" s="3" t="str">
        <f>"00249784"</f>
        <v>00249784</v>
      </c>
    </row>
    <row r="5400" spans="1:2" x14ac:dyDescent="0.25">
      <c r="A5400" s="2">
        <v>5395</v>
      </c>
      <c r="B5400" s="3" t="str">
        <f>"00249800"</f>
        <v>00249800</v>
      </c>
    </row>
    <row r="5401" spans="1:2" x14ac:dyDescent="0.25">
      <c r="A5401" s="2">
        <v>5396</v>
      </c>
      <c r="B5401" s="3" t="str">
        <f>"00249838"</f>
        <v>00249838</v>
      </c>
    </row>
    <row r="5402" spans="1:2" x14ac:dyDescent="0.25">
      <c r="A5402" s="2">
        <v>5397</v>
      </c>
      <c r="B5402" s="3" t="str">
        <f>"00250032"</f>
        <v>00250032</v>
      </c>
    </row>
    <row r="5403" spans="1:2" x14ac:dyDescent="0.25">
      <c r="A5403" s="2">
        <v>5398</v>
      </c>
      <c r="B5403" s="3" t="str">
        <f>"00250165"</f>
        <v>00250165</v>
      </c>
    </row>
    <row r="5404" spans="1:2" x14ac:dyDescent="0.25">
      <c r="A5404" s="2">
        <v>5399</v>
      </c>
      <c r="B5404" s="3" t="str">
        <f>"00250216"</f>
        <v>00250216</v>
      </c>
    </row>
    <row r="5405" spans="1:2" x14ac:dyDescent="0.25">
      <c r="A5405" s="2">
        <v>5400</v>
      </c>
      <c r="B5405" s="3" t="str">
        <f>"00250245"</f>
        <v>00250245</v>
      </c>
    </row>
    <row r="5406" spans="1:2" x14ac:dyDescent="0.25">
      <c r="A5406" s="2">
        <v>5401</v>
      </c>
      <c r="B5406" s="3" t="str">
        <f>"00250273"</f>
        <v>00250273</v>
      </c>
    </row>
    <row r="5407" spans="1:2" x14ac:dyDescent="0.25">
      <c r="A5407" s="2">
        <v>5402</v>
      </c>
      <c r="B5407" s="3" t="str">
        <f>"00250307"</f>
        <v>00250307</v>
      </c>
    </row>
    <row r="5408" spans="1:2" x14ac:dyDescent="0.25">
      <c r="A5408" s="2">
        <v>5403</v>
      </c>
      <c r="B5408" s="3" t="str">
        <f>"00250312"</f>
        <v>00250312</v>
      </c>
    </row>
    <row r="5409" spans="1:2" x14ac:dyDescent="0.25">
      <c r="A5409" s="2">
        <v>5404</v>
      </c>
      <c r="B5409" s="3" t="str">
        <f>"00250348"</f>
        <v>00250348</v>
      </c>
    </row>
    <row r="5410" spans="1:2" x14ac:dyDescent="0.25">
      <c r="A5410" s="2">
        <v>5405</v>
      </c>
      <c r="B5410" s="3" t="str">
        <f>"00250350"</f>
        <v>00250350</v>
      </c>
    </row>
    <row r="5411" spans="1:2" x14ac:dyDescent="0.25">
      <c r="A5411" s="2">
        <v>5406</v>
      </c>
      <c r="B5411" s="3" t="str">
        <f>"00250359"</f>
        <v>00250359</v>
      </c>
    </row>
    <row r="5412" spans="1:2" x14ac:dyDescent="0.25">
      <c r="A5412" s="2">
        <v>5407</v>
      </c>
      <c r="B5412" s="3" t="str">
        <f>"00250430"</f>
        <v>00250430</v>
      </c>
    </row>
    <row r="5413" spans="1:2" x14ac:dyDescent="0.25">
      <c r="A5413" s="2">
        <v>5408</v>
      </c>
      <c r="B5413" s="3" t="str">
        <f>"00250448"</f>
        <v>00250448</v>
      </c>
    </row>
    <row r="5414" spans="1:2" x14ac:dyDescent="0.25">
      <c r="A5414" s="2">
        <v>5409</v>
      </c>
      <c r="B5414" s="3" t="str">
        <f>"00250477"</f>
        <v>00250477</v>
      </c>
    </row>
    <row r="5415" spans="1:2" x14ac:dyDescent="0.25">
      <c r="A5415" s="2">
        <v>5410</v>
      </c>
      <c r="B5415" s="3" t="str">
        <f>"00250479"</f>
        <v>00250479</v>
      </c>
    </row>
    <row r="5416" spans="1:2" x14ac:dyDescent="0.25">
      <c r="A5416" s="2">
        <v>5411</v>
      </c>
      <c r="B5416" s="3" t="str">
        <f>"00250503"</f>
        <v>00250503</v>
      </c>
    </row>
    <row r="5417" spans="1:2" x14ac:dyDescent="0.25">
      <c r="A5417" s="2">
        <v>5412</v>
      </c>
      <c r="B5417" s="3" t="str">
        <f>"00250554"</f>
        <v>00250554</v>
      </c>
    </row>
    <row r="5418" spans="1:2" x14ac:dyDescent="0.25">
      <c r="A5418" s="2">
        <v>5413</v>
      </c>
      <c r="B5418" s="3" t="str">
        <f>"00250614"</f>
        <v>00250614</v>
      </c>
    </row>
    <row r="5419" spans="1:2" x14ac:dyDescent="0.25">
      <c r="A5419" s="2">
        <v>5414</v>
      </c>
      <c r="B5419" s="3" t="str">
        <f>"00250621"</f>
        <v>00250621</v>
      </c>
    </row>
    <row r="5420" spans="1:2" x14ac:dyDescent="0.25">
      <c r="A5420" s="2">
        <v>5415</v>
      </c>
      <c r="B5420" s="3" t="str">
        <f>"00250628"</f>
        <v>00250628</v>
      </c>
    </row>
    <row r="5421" spans="1:2" x14ac:dyDescent="0.25">
      <c r="A5421" s="2">
        <v>5416</v>
      </c>
      <c r="B5421" s="3" t="str">
        <f>"00250636"</f>
        <v>00250636</v>
      </c>
    </row>
    <row r="5422" spans="1:2" x14ac:dyDescent="0.25">
      <c r="A5422" s="2">
        <v>5417</v>
      </c>
      <c r="B5422" s="3" t="str">
        <f>"00250673"</f>
        <v>00250673</v>
      </c>
    </row>
    <row r="5423" spans="1:2" x14ac:dyDescent="0.25">
      <c r="A5423" s="2">
        <v>5418</v>
      </c>
      <c r="B5423" s="3" t="str">
        <f>"00250699"</f>
        <v>00250699</v>
      </c>
    </row>
    <row r="5424" spans="1:2" x14ac:dyDescent="0.25">
      <c r="A5424" s="2">
        <v>5419</v>
      </c>
      <c r="B5424" s="3" t="str">
        <f>"00250704"</f>
        <v>00250704</v>
      </c>
    </row>
    <row r="5425" spans="1:2" x14ac:dyDescent="0.25">
      <c r="A5425" s="2">
        <v>5420</v>
      </c>
      <c r="B5425" s="3" t="str">
        <f>"00250728"</f>
        <v>00250728</v>
      </c>
    </row>
    <row r="5426" spans="1:2" x14ac:dyDescent="0.25">
      <c r="A5426" s="2">
        <v>5421</v>
      </c>
      <c r="B5426" s="3" t="str">
        <f>"00250755"</f>
        <v>00250755</v>
      </c>
    </row>
    <row r="5427" spans="1:2" x14ac:dyDescent="0.25">
      <c r="A5427" s="2">
        <v>5422</v>
      </c>
      <c r="B5427" s="3" t="str">
        <f>"00250757"</f>
        <v>00250757</v>
      </c>
    </row>
    <row r="5428" spans="1:2" x14ac:dyDescent="0.25">
      <c r="A5428" s="2">
        <v>5423</v>
      </c>
      <c r="B5428" s="3" t="str">
        <f>"00250796"</f>
        <v>00250796</v>
      </c>
    </row>
    <row r="5429" spans="1:2" x14ac:dyDescent="0.25">
      <c r="A5429" s="2">
        <v>5424</v>
      </c>
      <c r="B5429" s="3" t="str">
        <f>"00250826"</f>
        <v>00250826</v>
      </c>
    </row>
    <row r="5430" spans="1:2" x14ac:dyDescent="0.25">
      <c r="A5430" s="2">
        <v>5425</v>
      </c>
      <c r="B5430" s="3" t="str">
        <f>"00250873"</f>
        <v>00250873</v>
      </c>
    </row>
    <row r="5431" spans="1:2" x14ac:dyDescent="0.25">
      <c r="A5431" s="2">
        <v>5426</v>
      </c>
      <c r="B5431" s="3" t="str">
        <f>"00250957"</f>
        <v>00250957</v>
      </c>
    </row>
    <row r="5432" spans="1:2" x14ac:dyDescent="0.25">
      <c r="A5432" s="2">
        <v>5427</v>
      </c>
      <c r="B5432" s="3" t="str">
        <f>"00250967"</f>
        <v>00250967</v>
      </c>
    </row>
    <row r="5433" spans="1:2" x14ac:dyDescent="0.25">
      <c r="A5433" s="2">
        <v>5428</v>
      </c>
      <c r="B5433" s="3" t="str">
        <f>"00250990"</f>
        <v>00250990</v>
      </c>
    </row>
    <row r="5434" spans="1:2" x14ac:dyDescent="0.25">
      <c r="A5434" s="2">
        <v>5429</v>
      </c>
      <c r="B5434" s="3" t="str">
        <f>"00250999"</f>
        <v>00250999</v>
      </c>
    </row>
    <row r="5435" spans="1:2" x14ac:dyDescent="0.25">
      <c r="A5435" s="2">
        <v>5430</v>
      </c>
      <c r="B5435" s="3" t="str">
        <f>"00251023"</f>
        <v>00251023</v>
      </c>
    </row>
    <row r="5436" spans="1:2" x14ac:dyDescent="0.25">
      <c r="A5436" s="2">
        <v>5431</v>
      </c>
      <c r="B5436" s="3" t="str">
        <f>"00251046"</f>
        <v>00251046</v>
      </c>
    </row>
    <row r="5437" spans="1:2" x14ac:dyDescent="0.25">
      <c r="A5437" s="2">
        <v>5432</v>
      </c>
      <c r="B5437" s="3" t="str">
        <f>"00251078"</f>
        <v>00251078</v>
      </c>
    </row>
    <row r="5438" spans="1:2" x14ac:dyDescent="0.25">
      <c r="A5438" s="2">
        <v>5433</v>
      </c>
      <c r="B5438" s="3" t="str">
        <f>"00251081"</f>
        <v>00251081</v>
      </c>
    </row>
    <row r="5439" spans="1:2" x14ac:dyDescent="0.25">
      <c r="A5439" s="2">
        <v>5434</v>
      </c>
      <c r="B5439" s="3" t="str">
        <f>"00251094"</f>
        <v>00251094</v>
      </c>
    </row>
    <row r="5440" spans="1:2" x14ac:dyDescent="0.25">
      <c r="A5440" s="2">
        <v>5435</v>
      </c>
      <c r="B5440" s="3" t="str">
        <f>"00251127"</f>
        <v>00251127</v>
      </c>
    </row>
    <row r="5441" spans="1:2" x14ac:dyDescent="0.25">
      <c r="A5441" s="2">
        <v>5436</v>
      </c>
      <c r="B5441" s="3" t="str">
        <f>"00251152"</f>
        <v>00251152</v>
      </c>
    </row>
    <row r="5442" spans="1:2" x14ac:dyDescent="0.25">
      <c r="A5442" s="2">
        <v>5437</v>
      </c>
      <c r="B5442" s="3" t="str">
        <f>"00251187"</f>
        <v>00251187</v>
      </c>
    </row>
    <row r="5443" spans="1:2" x14ac:dyDescent="0.25">
      <c r="A5443" s="2">
        <v>5438</v>
      </c>
      <c r="B5443" s="3" t="str">
        <f>"00251213"</f>
        <v>00251213</v>
      </c>
    </row>
    <row r="5444" spans="1:2" x14ac:dyDescent="0.25">
      <c r="A5444" s="2">
        <v>5439</v>
      </c>
      <c r="B5444" s="3" t="str">
        <f>"00251234"</f>
        <v>00251234</v>
      </c>
    </row>
    <row r="5445" spans="1:2" x14ac:dyDescent="0.25">
      <c r="A5445" s="2">
        <v>5440</v>
      </c>
      <c r="B5445" s="3" t="str">
        <f>"00251250"</f>
        <v>00251250</v>
      </c>
    </row>
    <row r="5446" spans="1:2" x14ac:dyDescent="0.25">
      <c r="A5446" s="2">
        <v>5441</v>
      </c>
      <c r="B5446" s="3" t="str">
        <f>"00251303"</f>
        <v>00251303</v>
      </c>
    </row>
    <row r="5447" spans="1:2" x14ac:dyDescent="0.25">
      <c r="A5447" s="2">
        <v>5442</v>
      </c>
      <c r="B5447" s="3" t="str">
        <f>"00251374"</f>
        <v>00251374</v>
      </c>
    </row>
    <row r="5448" spans="1:2" x14ac:dyDescent="0.25">
      <c r="A5448" s="2">
        <v>5443</v>
      </c>
      <c r="B5448" s="3" t="str">
        <f>"00251410"</f>
        <v>00251410</v>
      </c>
    </row>
    <row r="5449" spans="1:2" x14ac:dyDescent="0.25">
      <c r="A5449" s="2">
        <v>5444</v>
      </c>
      <c r="B5449" s="3" t="str">
        <f>"00251417"</f>
        <v>00251417</v>
      </c>
    </row>
    <row r="5450" spans="1:2" x14ac:dyDescent="0.25">
      <c r="A5450" s="2">
        <v>5445</v>
      </c>
      <c r="B5450" s="3" t="str">
        <f>"00251460"</f>
        <v>00251460</v>
      </c>
    </row>
    <row r="5451" spans="1:2" x14ac:dyDescent="0.25">
      <c r="A5451" s="2">
        <v>5446</v>
      </c>
      <c r="B5451" s="3" t="str">
        <f>"00251482"</f>
        <v>00251482</v>
      </c>
    </row>
    <row r="5452" spans="1:2" x14ac:dyDescent="0.25">
      <c r="A5452" s="2">
        <v>5447</v>
      </c>
      <c r="B5452" s="3" t="str">
        <f>"00251499"</f>
        <v>00251499</v>
      </c>
    </row>
    <row r="5453" spans="1:2" x14ac:dyDescent="0.25">
      <c r="A5453" s="2">
        <v>5448</v>
      </c>
      <c r="B5453" s="3" t="str">
        <f>"00251509"</f>
        <v>00251509</v>
      </c>
    </row>
    <row r="5454" spans="1:2" x14ac:dyDescent="0.25">
      <c r="A5454" s="2">
        <v>5449</v>
      </c>
      <c r="B5454" s="3" t="str">
        <f>"00251521"</f>
        <v>00251521</v>
      </c>
    </row>
    <row r="5455" spans="1:2" x14ac:dyDescent="0.25">
      <c r="A5455" s="2">
        <v>5450</v>
      </c>
      <c r="B5455" s="3" t="str">
        <f>"00251559"</f>
        <v>00251559</v>
      </c>
    </row>
    <row r="5456" spans="1:2" x14ac:dyDescent="0.25">
      <c r="A5456" s="2">
        <v>5451</v>
      </c>
      <c r="B5456" s="3" t="str">
        <f>"00251642"</f>
        <v>00251642</v>
      </c>
    </row>
    <row r="5457" spans="1:2" x14ac:dyDescent="0.25">
      <c r="A5457" s="2">
        <v>5452</v>
      </c>
      <c r="B5457" s="3" t="str">
        <f>"00251660"</f>
        <v>00251660</v>
      </c>
    </row>
    <row r="5458" spans="1:2" x14ac:dyDescent="0.25">
      <c r="A5458" s="2">
        <v>5453</v>
      </c>
      <c r="B5458" s="3" t="str">
        <f>"00251784"</f>
        <v>00251784</v>
      </c>
    </row>
    <row r="5459" spans="1:2" x14ac:dyDescent="0.25">
      <c r="A5459" s="2">
        <v>5454</v>
      </c>
      <c r="B5459" s="3" t="str">
        <f>"00251787"</f>
        <v>00251787</v>
      </c>
    </row>
    <row r="5460" spans="1:2" x14ac:dyDescent="0.25">
      <c r="A5460" s="2">
        <v>5455</v>
      </c>
      <c r="B5460" s="3" t="str">
        <f>"00251809"</f>
        <v>00251809</v>
      </c>
    </row>
    <row r="5461" spans="1:2" x14ac:dyDescent="0.25">
      <c r="A5461" s="2">
        <v>5456</v>
      </c>
      <c r="B5461" s="3" t="str">
        <f>"00251818"</f>
        <v>00251818</v>
      </c>
    </row>
    <row r="5462" spans="1:2" x14ac:dyDescent="0.25">
      <c r="A5462" s="2">
        <v>5457</v>
      </c>
      <c r="B5462" s="3" t="str">
        <f>"00251848"</f>
        <v>00251848</v>
      </c>
    </row>
    <row r="5463" spans="1:2" x14ac:dyDescent="0.25">
      <c r="A5463" s="2">
        <v>5458</v>
      </c>
      <c r="B5463" s="3" t="str">
        <f>"00251880"</f>
        <v>00251880</v>
      </c>
    </row>
    <row r="5464" spans="1:2" x14ac:dyDescent="0.25">
      <c r="A5464" s="2">
        <v>5459</v>
      </c>
      <c r="B5464" s="3" t="str">
        <f>"00251913"</f>
        <v>00251913</v>
      </c>
    </row>
    <row r="5465" spans="1:2" x14ac:dyDescent="0.25">
      <c r="A5465" s="2">
        <v>5460</v>
      </c>
      <c r="B5465" s="3" t="str">
        <f>"00251950"</f>
        <v>00251950</v>
      </c>
    </row>
    <row r="5466" spans="1:2" x14ac:dyDescent="0.25">
      <c r="A5466" s="2">
        <v>5461</v>
      </c>
      <c r="B5466" s="3" t="str">
        <f>"00251986"</f>
        <v>00251986</v>
      </c>
    </row>
    <row r="5467" spans="1:2" x14ac:dyDescent="0.25">
      <c r="A5467" s="2">
        <v>5462</v>
      </c>
      <c r="B5467" s="3" t="str">
        <f>"00252025"</f>
        <v>00252025</v>
      </c>
    </row>
    <row r="5468" spans="1:2" x14ac:dyDescent="0.25">
      <c r="A5468" s="2">
        <v>5463</v>
      </c>
      <c r="B5468" s="3" t="str">
        <f>"00252153"</f>
        <v>00252153</v>
      </c>
    </row>
    <row r="5469" spans="1:2" x14ac:dyDescent="0.25">
      <c r="A5469" s="2">
        <v>5464</v>
      </c>
      <c r="B5469" s="3" t="str">
        <f>"00252178"</f>
        <v>00252178</v>
      </c>
    </row>
    <row r="5470" spans="1:2" x14ac:dyDescent="0.25">
      <c r="A5470" s="2">
        <v>5465</v>
      </c>
      <c r="B5470" s="3" t="str">
        <f>"00252191"</f>
        <v>00252191</v>
      </c>
    </row>
    <row r="5471" spans="1:2" x14ac:dyDescent="0.25">
      <c r="A5471" s="2">
        <v>5466</v>
      </c>
      <c r="B5471" s="3" t="str">
        <f>"00252268"</f>
        <v>00252268</v>
      </c>
    </row>
    <row r="5472" spans="1:2" x14ac:dyDescent="0.25">
      <c r="A5472" s="2">
        <v>5467</v>
      </c>
      <c r="B5472" s="3" t="str">
        <f>"00252293"</f>
        <v>00252293</v>
      </c>
    </row>
    <row r="5473" spans="1:2" x14ac:dyDescent="0.25">
      <c r="A5473" s="2">
        <v>5468</v>
      </c>
      <c r="B5473" s="3" t="str">
        <f>"00252312"</f>
        <v>00252312</v>
      </c>
    </row>
    <row r="5474" spans="1:2" x14ac:dyDescent="0.25">
      <c r="A5474" s="2">
        <v>5469</v>
      </c>
      <c r="B5474" s="3" t="str">
        <f>"00252333"</f>
        <v>00252333</v>
      </c>
    </row>
    <row r="5475" spans="1:2" x14ac:dyDescent="0.25">
      <c r="A5475" s="2">
        <v>5470</v>
      </c>
      <c r="B5475" s="3" t="str">
        <f>"00252337"</f>
        <v>00252337</v>
      </c>
    </row>
    <row r="5476" spans="1:2" x14ac:dyDescent="0.25">
      <c r="A5476" s="2">
        <v>5471</v>
      </c>
      <c r="B5476" s="3" t="str">
        <f>"00252348"</f>
        <v>00252348</v>
      </c>
    </row>
    <row r="5477" spans="1:2" x14ac:dyDescent="0.25">
      <c r="A5477" s="2">
        <v>5472</v>
      </c>
      <c r="B5477" s="3" t="str">
        <f>"00252448"</f>
        <v>00252448</v>
      </c>
    </row>
    <row r="5478" spans="1:2" x14ac:dyDescent="0.25">
      <c r="A5478" s="2">
        <v>5473</v>
      </c>
      <c r="B5478" s="3" t="str">
        <f>"00252472"</f>
        <v>00252472</v>
      </c>
    </row>
    <row r="5479" spans="1:2" x14ac:dyDescent="0.25">
      <c r="A5479" s="2">
        <v>5474</v>
      </c>
      <c r="B5479" s="3" t="str">
        <f>"00252497"</f>
        <v>00252497</v>
      </c>
    </row>
    <row r="5480" spans="1:2" x14ac:dyDescent="0.25">
      <c r="A5480" s="2">
        <v>5475</v>
      </c>
      <c r="B5480" s="3" t="str">
        <f>"00252498"</f>
        <v>00252498</v>
      </c>
    </row>
    <row r="5481" spans="1:2" x14ac:dyDescent="0.25">
      <c r="A5481" s="2">
        <v>5476</v>
      </c>
      <c r="B5481" s="3" t="str">
        <f>"00252605"</f>
        <v>00252605</v>
      </c>
    </row>
    <row r="5482" spans="1:2" x14ac:dyDescent="0.25">
      <c r="A5482" s="2">
        <v>5477</v>
      </c>
      <c r="B5482" s="3" t="str">
        <f>"00252624"</f>
        <v>00252624</v>
      </c>
    </row>
    <row r="5483" spans="1:2" x14ac:dyDescent="0.25">
      <c r="A5483" s="2">
        <v>5478</v>
      </c>
      <c r="B5483" s="3" t="str">
        <f>"00252659"</f>
        <v>00252659</v>
      </c>
    </row>
    <row r="5484" spans="1:2" x14ac:dyDescent="0.25">
      <c r="A5484" s="2">
        <v>5479</v>
      </c>
      <c r="B5484" s="3" t="str">
        <f>"00252688"</f>
        <v>00252688</v>
      </c>
    </row>
    <row r="5485" spans="1:2" x14ac:dyDescent="0.25">
      <c r="A5485" s="2">
        <v>5480</v>
      </c>
      <c r="B5485" s="3" t="str">
        <f>"00252742"</f>
        <v>00252742</v>
      </c>
    </row>
    <row r="5486" spans="1:2" x14ac:dyDescent="0.25">
      <c r="A5486" s="2">
        <v>5481</v>
      </c>
      <c r="B5486" s="3" t="str">
        <f>"00252842"</f>
        <v>00252842</v>
      </c>
    </row>
    <row r="5487" spans="1:2" x14ac:dyDescent="0.25">
      <c r="A5487" s="2">
        <v>5482</v>
      </c>
      <c r="B5487" s="3" t="str">
        <f>"00252853"</f>
        <v>00252853</v>
      </c>
    </row>
    <row r="5488" spans="1:2" x14ac:dyDescent="0.25">
      <c r="A5488" s="2">
        <v>5483</v>
      </c>
      <c r="B5488" s="3" t="str">
        <f>"00252914"</f>
        <v>00252914</v>
      </c>
    </row>
    <row r="5489" spans="1:2" x14ac:dyDescent="0.25">
      <c r="A5489" s="2">
        <v>5484</v>
      </c>
      <c r="B5489" s="3" t="str">
        <f>"00252919"</f>
        <v>00252919</v>
      </c>
    </row>
    <row r="5490" spans="1:2" x14ac:dyDescent="0.25">
      <c r="A5490" s="2">
        <v>5485</v>
      </c>
      <c r="B5490" s="3" t="str">
        <f>"00252927"</f>
        <v>00252927</v>
      </c>
    </row>
    <row r="5491" spans="1:2" x14ac:dyDescent="0.25">
      <c r="A5491" s="2">
        <v>5486</v>
      </c>
      <c r="B5491" s="3" t="str">
        <f>"00252932"</f>
        <v>00252932</v>
      </c>
    </row>
    <row r="5492" spans="1:2" x14ac:dyDescent="0.25">
      <c r="A5492" s="2">
        <v>5487</v>
      </c>
      <c r="B5492" s="3" t="str">
        <f>"00252942"</f>
        <v>00252942</v>
      </c>
    </row>
    <row r="5493" spans="1:2" x14ac:dyDescent="0.25">
      <c r="A5493" s="2">
        <v>5488</v>
      </c>
      <c r="B5493" s="3" t="str">
        <f>"00252987"</f>
        <v>00252987</v>
      </c>
    </row>
    <row r="5494" spans="1:2" x14ac:dyDescent="0.25">
      <c r="A5494" s="2">
        <v>5489</v>
      </c>
      <c r="B5494" s="3" t="str">
        <f>"00252993"</f>
        <v>00252993</v>
      </c>
    </row>
    <row r="5495" spans="1:2" x14ac:dyDescent="0.25">
      <c r="A5495" s="2">
        <v>5490</v>
      </c>
      <c r="B5495" s="3" t="str">
        <f>"00253005"</f>
        <v>00253005</v>
      </c>
    </row>
    <row r="5496" spans="1:2" x14ac:dyDescent="0.25">
      <c r="A5496" s="2">
        <v>5491</v>
      </c>
      <c r="B5496" s="3" t="str">
        <f>"00253080"</f>
        <v>00253080</v>
      </c>
    </row>
    <row r="5497" spans="1:2" x14ac:dyDescent="0.25">
      <c r="A5497" s="2">
        <v>5492</v>
      </c>
      <c r="B5497" s="3" t="str">
        <f>"00253089"</f>
        <v>00253089</v>
      </c>
    </row>
    <row r="5498" spans="1:2" x14ac:dyDescent="0.25">
      <c r="A5498" s="2">
        <v>5493</v>
      </c>
      <c r="B5498" s="3" t="str">
        <f>"00253102"</f>
        <v>00253102</v>
      </c>
    </row>
    <row r="5499" spans="1:2" x14ac:dyDescent="0.25">
      <c r="A5499" s="2">
        <v>5494</v>
      </c>
      <c r="B5499" s="3" t="str">
        <f>"00253168"</f>
        <v>00253168</v>
      </c>
    </row>
    <row r="5500" spans="1:2" x14ac:dyDescent="0.25">
      <c r="A5500" s="2">
        <v>5495</v>
      </c>
      <c r="B5500" s="3" t="str">
        <f>"00253169"</f>
        <v>00253169</v>
      </c>
    </row>
    <row r="5501" spans="1:2" x14ac:dyDescent="0.25">
      <c r="A5501" s="2">
        <v>5496</v>
      </c>
      <c r="B5501" s="3" t="str">
        <f>"00253203"</f>
        <v>00253203</v>
      </c>
    </row>
    <row r="5502" spans="1:2" x14ac:dyDescent="0.25">
      <c r="A5502" s="2">
        <v>5497</v>
      </c>
      <c r="B5502" s="3" t="str">
        <f>"00253221"</f>
        <v>00253221</v>
      </c>
    </row>
    <row r="5503" spans="1:2" x14ac:dyDescent="0.25">
      <c r="A5503" s="2">
        <v>5498</v>
      </c>
      <c r="B5503" s="3" t="str">
        <f>"00253222"</f>
        <v>00253222</v>
      </c>
    </row>
    <row r="5504" spans="1:2" x14ac:dyDescent="0.25">
      <c r="A5504" s="2">
        <v>5499</v>
      </c>
      <c r="B5504" s="3" t="str">
        <f>"00253254"</f>
        <v>00253254</v>
      </c>
    </row>
    <row r="5505" spans="1:2" x14ac:dyDescent="0.25">
      <c r="A5505" s="2">
        <v>5500</v>
      </c>
      <c r="B5505" s="3" t="str">
        <f>"00253274"</f>
        <v>00253274</v>
      </c>
    </row>
    <row r="5506" spans="1:2" x14ac:dyDescent="0.25">
      <c r="A5506" s="2">
        <v>5501</v>
      </c>
      <c r="B5506" s="3" t="str">
        <f>"00253283"</f>
        <v>00253283</v>
      </c>
    </row>
    <row r="5507" spans="1:2" x14ac:dyDescent="0.25">
      <c r="A5507" s="2">
        <v>5502</v>
      </c>
      <c r="B5507" s="3" t="str">
        <f>"00253295"</f>
        <v>00253295</v>
      </c>
    </row>
    <row r="5508" spans="1:2" x14ac:dyDescent="0.25">
      <c r="A5508" s="2">
        <v>5503</v>
      </c>
      <c r="B5508" s="3" t="str">
        <f>"00253311"</f>
        <v>00253311</v>
      </c>
    </row>
    <row r="5509" spans="1:2" x14ac:dyDescent="0.25">
      <c r="A5509" s="2">
        <v>5504</v>
      </c>
      <c r="B5509" s="3" t="str">
        <f>"00253331"</f>
        <v>00253331</v>
      </c>
    </row>
    <row r="5510" spans="1:2" x14ac:dyDescent="0.25">
      <c r="A5510" s="2">
        <v>5505</v>
      </c>
      <c r="B5510" s="3" t="str">
        <f>"00253336"</f>
        <v>00253336</v>
      </c>
    </row>
    <row r="5511" spans="1:2" x14ac:dyDescent="0.25">
      <c r="A5511" s="2">
        <v>5506</v>
      </c>
      <c r="B5511" s="3" t="str">
        <f>"00253344"</f>
        <v>00253344</v>
      </c>
    </row>
    <row r="5512" spans="1:2" x14ac:dyDescent="0.25">
      <c r="A5512" s="2">
        <v>5507</v>
      </c>
      <c r="B5512" s="3" t="str">
        <f>"00253351"</f>
        <v>00253351</v>
      </c>
    </row>
    <row r="5513" spans="1:2" x14ac:dyDescent="0.25">
      <c r="A5513" s="2">
        <v>5508</v>
      </c>
      <c r="B5513" s="3" t="str">
        <f>"00253388"</f>
        <v>00253388</v>
      </c>
    </row>
    <row r="5514" spans="1:2" x14ac:dyDescent="0.25">
      <c r="A5514" s="2">
        <v>5509</v>
      </c>
      <c r="B5514" s="3" t="str">
        <f>"00253439"</f>
        <v>00253439</v>
      </c>
    </row>
    <row r="5515" spans="1:2" x14ac:dyDescent="0.25">
      <c r="A5515" s="2">
        <v>5510</v>
      </c>
      <c r="B5515" s="3" t="str">
        <f>"00253471"</f>
        <v>00253471</v>
      </c>
    </row>
    <row r="5516" spans="1:2" x14ac:dyDescent="0.25">
      <c r="A5516" s="2">
        <v>5511</v>
      </c>
      <c r="B5516" s="3" t="str">
        <f>"00253502"</f>
        <v>00253502</v>
      </c>
    </row>
    <row r="5517" spans="1:2" x14ac:dyDescent="0.25">
      <c r="A5517" s="2">
        <v>5512</v>
      </c>
      <c r="B5517" s="3" t="str">
        <f>"00253515"</f>
        <v>00253515</v>
      </c>
    </row>
    <row r="5518" spans="1:2" x14ac:dyDescent="0.25">
      <c r="A5518" s="2">
        <v>5513</v>
      </c>
      <c r="B5518" s="3" t="str">
        <f>"00253522"</f>
        <v>00253522</v>
      </c>
    </row>
    <row r="5519" spans="1:2" x14ac:dyDescent="0.25">
      <c r="A5519" s="2">
        <v>5514</v>
      </c>
      <c r="B5519" s="3" t="str">
        <f>"00253524"</f>
        <v>00253524</v>
      </c>
    </row>
    <row r="5520" spans="1:2" x14ac:dyDescent="0.25">
      <c r="A5520" s="2">
        <v>5515</v>
      </c>
      <c r="B5520" s="3" t="str">
        <f>"00253566"</f>
        <v>00253566</v>
      </c>
    </row>
    <row r="5521" spans="1:2" x14ac:dyDescent="0.25">
      <c r="A5521" s="2">
        <v>5516</v>
      </c>
      <c r="B5521" s="3" t="str">
        <f>"00253572"</f>
        <v>00253572</v>
      </c>
    </row>
    <row r="5522" spans="1:2" x14ac:dyDescent="0.25">
      <c r="A5522" s="2">
        <v>5517</v>
      </c>
      <c r="B5522" s="3" t="str">
        <f>"00253616"</f>
        <v>00253616</v>
      </c>
    </row>
    <row r="5523" spans="1:2" x14ac:dyDescent="0.25">
      <c r="A5523" s="2">
        <v>5518</v>
      </c>
      <c r="B5523" s="3" t="str">
        <f>"00253646"</f>
        <v>00253646</v>
      </c>
    </row>
    <row r="5524" spans="1:2" x14ac:dyDescent="0.25">
      <c r="A5524" s="2">
        <v>5519</v>
      </c>
      <c r="B5524" s="3" t="str">
        <f>"00253664"</f>
        <v>00253664</v>
      </c>
    </row>
    <row r="5525" spans="1:2" x14ac:dyDescent="0.25">
      <c r="A5525" s="2">
        <v>5520</v>
      </c>
      <c r="B5525" s="3" t="str">
        <f>"00253693"</f>
        <v>00253693</v>
      </c>
    </row>
    <row r="5526" spans="1:2" x14ac:dyDescent="0.25">
      <c r="A5526" s="2">
        <v>5521</v>
      </c>
      <c r="B5526" s="3" t="str">
        <f>"00253695"</f>
        <v>00253695</v>
      </c>
    </row>
    <row r="5527" spans="1:2" x14ac:dyDescent="0.25">
      <c r="A5527" s="2">
        <v>5522</v>
      </c>
      <c r="B5527" s="3" t="str">
        <f>"00253702"</f>
        <v>00253702</v>
      </c>
    </row>
    <row r="5528" spans="1:2" x14ac:dyDescent="0.25">
      <c r="A5528" s="2">
        <v>5523</v>
      </c>
      <c r="B5528" s="3" t="str">
        <f>"00253743"</f>
        <v>00253743</v>
      </c>
    </row>
    <row r="5529" spans="1:2" x14ac:dyDescent="0.25">
      <c r="A5529" s="2">
        <v>5524</v>
      </c>
      <c r="B5529" s="3" t="str">
        <f>"00253762"</f>
        <v>00253762</v>
      </c>
    </row>
    <row r="5530" spans="1:2" x14ac:dyDescent="0.25">
      <c r="A5530" s="2">
        <v>5525</v>
      </c>
      <c r="B5530" s="3" t="str">
        <f>"00253815"</f>
        <v>00253815</v>
      </c>
    </row>
    <row r="5531" spans="1:2" x14ac:dyDescent="0.25">
      <c r="A5531" s="2">
        <v>5526</v>
      </c>
      <c r="B5531" s="3" t="str">
        <f>"00253827"</f>
        <v>00253827</v>
      </c>
    </row>
    <row r="5532" spans="1:2" x14ac:dyDescent="0.25">
      <c r="A5532" s="2">
        <v>5527</v>
      </c>
      <c r="B5532" s="3" t="str">
        <f>"00253833"</f>
        <v>00253833</v>
      </c>
    </row>
    <row r="5533" spans="1:2" x14ac:dyDescent="0.25">
      <c r="A5533" s="2">
        <v>5528</v>
      </c>
      <c r="B5533" s="3" t="str">
        <f>"00253917"</f>
        <v>00253917</v>
      </c>
    </row>
    <row r="5534" spans="1:2" x14ac:dyDescent="0.25">
      <c r="A5534" s="2">
        <v>5529</v>
      </c>
      <c r="B5534" s="3" t="str">
        <f>"00253943"</f>
        <v>00253943</v>
      </c>
    </row>
    <row r="5535" spans="1:2" x14ac:dyDescent="0.25">
      <c r="A5535" s="2">
        <v>5530</v>
      </c>
      <c r="B5535" s="3" t="str">
        <f>"00253962"</f>
        <v>00253962</v>
      </c>
    </row>
    <row r="5536" spans="1:2" x14ac:dyDescent="0.25">
      <c r="A5536" s="2">
        <v>5531</v>
      </c>
      <c r="B5536" s="3" t="str">
        <f>"00253993"</f>
        <v>00253993</v>
      </c>
    </row>
    <row r="5537" spans="1:2" x14ac:dyDescent="0.25">
      <c r="A5537" s="2">
        <v>5532</v>
      </c>
      <c r="B5537" s="3" t="str">
        <f>"00254009"</f>
        <v>00254009</v>
      </c>
    </row>
    <row r="5538" spans="1:2" x14ac:dyDescent="0.25">
      <c r="A5538" s="2">
        <v>5533</v>
      </c>
      <c r="B5538" s="3" t="str">
        <f>"00254023"</f>
        <v>00254023</v>
      </c>
    </row>
    <row r="5539" spans="1:2" x14ac:dyDescent="0.25">
      <c r="A5539" s="2">
        <v>5534</v>
      </c>
      <c r="B5539" s="3" t="str">
        <f>"00254029"</f>
        <v>00254029</v>
      </c>
    </row>
    <row r="5540" spans="1:2" x14ac:dyDescent="0.25">
      <c r="A5540" s="2">
        <v>5535</v>
      </c>
      <c r="B5540" s="3" t="str">
        <f>"00254040"</f>
        <v>00254040</v>
      </c>
    </row>
    <row r="5541" spans="1:2" x14ac:dyDescent="0.25">
      <c r="A5541" s="2">
        <v>5536</v>
      </c>
      <c r="B5541" s="3" t="str">
        <f>"00254061"</f>
        <v>00254061</v>
      </c>
    </row>
    <row r="5542" spans="1:2" x14ac:dyDescent="0.25">
      <c r="A5542" s="2">
        <v>5537</v>
      </c>
      <c r="B5542" s="3" t="str">
        <f>"00254228"</f>
        <v>00254228</v>
      </c>
    </row>
    <row r="5543" spans="1:2" x14ac:dyDescent="0.25">
      <c r="A5543" s="2">
        <v>5538</v>
      </c>
      <c r="B5543" s="3" t="str">
        <f>"00254264"</f>
        <v>00254264</v>
      </c>
    </row>
    <row r="5544" spans="1:2" x14ac:dyDescent="0.25">
      <c r="A5544" s="2">
        <v>5539</v>
      </c>
      <c r="B5544" s="3" t="str">
        <f>"00254270"</f>
        <v>00254270</v>
      </c>
    </row>
    <row r="5545" spans="1:2" x14ac:dyDescent="0.25">
      <c r="A5545" s="2">
        <v>5540</v>
      </c>
      <c r="B5545" s="3" t="str">
        <f>"00254281"</f>
        <v>00254281</v>
      </c>
    </row>
    <row r="5546" spans="1:2" x14ac:dyDescent="0.25">
      <c r="A5546" s="2">
        <v>5541</v>
      </c>
      <c r="B5546" s="3" t="str">
        <f>"00254308"</f>
        <v>00254308</v>
      </c>
    </row>
    <row r="5547" spans="1:2" x14ac:dyDescent="0.25">
      <c r="A5547" s="2">
        <v>5542</v>
      </c>
      <c r="B5547" s="3" t="str">
        <f>"00254313"</f>
        <v>00254313</v>
      </c>
    </row>
    <row r="5548" spans="1:2" x14ac:dyDescent="0.25">
      <c r="A5548" s="2">
        <v>5543</v>
      </c>
      <c r="B5548" s="3" t="str">
        <f>"00254376"</f>
        <v>00254376</v>
      </c>
    </row>
    <row r="5549" spans="1:2" x14ac:dyDescent="0.25">
      <c r="A5549" s="2">
        <v>5544</v>
      </c>
      <c r="B5549" s="3" t="str">
        <f>"00254418"</f>
        <v>00254418</v>
      </c>
    </row>
    <row r="5550" spans="1:2" x14ac:dyDescent="0.25">
      <c r="A5550" s="2">
        <v>5545</v>
      </c>
      <c r="B5550" s="3" t="str">
        <f>"00254466"</f>
        <v>00254466</v>
      </c>
    </row>
    <row r="5551" spans="1:2" x14ac:dyDescent="0.25">
      <c r="A5551" s="2">
        <v>5546</v>
      </c>
      <c r="B5551" s="3" t="str">
        <f>"00254492"</f>
        <v>00254492</v>
      </c>
    </row>
    <row r="5552" spans="1:2" x14ac:dyDescent="0.25">
      <c r="A5552" s="2">
        <v>5547</v>
      </c>
      <c r="B5552" s="3" t="str">
        <f>"00254515"</f>
        <v>00254515</v>
      </c>
    </row>
    <row r="5553" spans="1:2" x14ac:dyDescent="0.25">
      <c r="A5553" s="2">
        <v>5548</v>
      </c>
      <c r="B5553" s="3" t="str">
        <f>"00254516"</f>
        <v>00254516</v>
      </c>
    </row>
    <row r="5554" spans="1:2" x14ac:dyDescent="0.25">
      <c r="A5554" s="2">
        <v>5549</v>
      </c>
      <c r="B5554" s="3" t="str">
        <f>"00254523"</f>
        <v>00254523</v>
      </c>
    </row>
    <row r="5555" spans="1:2" x14ac:dyDescent="0.25">
      <c r="A5555" s="2">
        <v>5550</v>
      </c>
      <c r="B5555" s="3" t="str">
        <f>"00254605"</f>
        <v>00254605</v>
      </c>
    </row>
    <row r="5556" spans="1:2" x14ac:dyDescent="0.25">
      <c r="A5556" s="2">
        <v>5551</v>
      </c>
      <c r="B5556" s="3" t="str">
        <f>"00254649"</f>
        <v>00254649</v>
      </c>
    </row>
    <row r="5557" spans="1:2" x14ac:dyDescent="0.25">
      <c r="A5557" s="2">
        <v>5552</v>
      </c>
      <c r="B5557" s="3" t="str">
        <f>"00254681"</f>
        <v>00254681</v>
      </c>
    </row>
    <row r="5558" spans="1:2" x14ac:dyDescent="0.25">
      <c r="A5558" s="2">
        <v>5553</v>
      </c>
      <c r="B5558" s="3" t="str">
        <f>"00254692"</f>
        <v>00254692</v>
      </c>
    </row>
    <row r="5559" spans="1:2" x14ac:dyDescent="0.25">
      <c r="A5559" s="2">
        <v>5554</v>
      </c>
      <c r="B5559" s="3" t="str">
        <f>"00254726"</f>
        <v>00254726</v>
      </c>
    </row>
    <row r="5560" spans="1:2" x14ac:dyDescent="0.25">
      <c r="A5560" s="2">
        <v>5555</v>
      </c>
      <c r="B5560" s="3" t="str">
        <f>"00254747"</f>
        <v>00254747</v>
      </c>
    </row>
    <row r="5561" spans="1:2" x14ac:dyDescent="0.25">
      <c r="A5561" s="2">
        <v>5556</v>
      </c>
      <c r="B5561" s="3" t="str">
        <f>"00254837"</f>
        <v>00254837</v>
      </c>
    </row>
    <row r="5562" spans="1:2" x14ac:dyDescent="0.25">
      <c r="A5562" s="2">
        <v>5557</v>
      </c>
      <c r="B5562" s="3" t="str">
        <f>"00254862"</f>
        <v>00254862</v>
      </c>
    </row>
    <row r="5563" spans="1:2" x14ac:dyDescent="0.25">
      <c r="A5563" s="2">
        <v>5558</v>
      </c>
      <c r="B5563" s="3" t="str">
        <f>"00254873"</f>
        <v>00254873</v>
      </c>
    </row>
    <row r="5564" spans="1:2" x14ac:dyDescent="0.25">
      <c r="A5564" s="2">
        <v>5559</v>
      </c>
      <c r="B5564" s="3" t="str">
        <f>"00254879"</f>
        <v>00254879</v>
      </c>
    </row>
    <row r="5565" spans="1:2" x14ac:dyDescent="0.25">
      <c r="A5565" s="2">
        <v>5560</v>
      </c>
      <c r="B5565" s="3" t="str">
        <f>"00254910"</f>
        <v>00254910</v>
      </c>
    </row>
    <row r="5566" spans="1:2" x14ac:dyDescent="0.25">
      <c r="A5566" s="2">
        <v>5561</v>
      </c>
      <c r="B5566" s="3" t="str">
        <f>"00254939"</f>
        <v>00254939</v>
      </c>
    </row>
    <row r="5567" spans="1:2" x14ac:dyDescent="0.25">
      <c r="A5567" s="2">
        <v>5562</v>
      </c>
      <c r="B5567" s="3" t="str">
        <f>"00255049"</f>
        <v>00255049</v>
      </c>
    </row>
    <row r="5568" spans="1:2" x14ac:dyDescent="0.25">
      <c r="A5568" s="2">
        <v>5563</v>
      </c>
      <c r="B5568" s="3" t="str">
        <f>"00255056"</f>
        <v>00255056</v>
      </c>
    </row>
    <row r="5569" spans="1:2" x14ac:dyDescent="0.25">
      <c r="A5569" s="2">
        <v>5564</v>
      </c>
      <c r="B5569" s="3" t="str">
        <f>"00255073"</f>
        <v>00255073</v>
      </c>
    </row>
    <row r="5570" spans="1:2" x14ac:dyDescent="0.25">
      <c r="A5570" s="2">
        <v>5565</v>
      </c>
      <c r="B5570" s="3" t="str">
        <f>"00255089"</f>
        <v>00255089</v>
      </c>
    </row>
    <row r="5571" spans="1:2" x14ac:dyDescent="0.25">
      <c r="A5571" s="2">
        <v>5566</v>
      </c>
      <c r="B5571" s="3" t="str">
        <f>"00255151"</f>
        <v>00255151</v>
      </c>
    </row>
    <row r="5572" spans="1:2" x14ac:dyDescent="0.25">
      <c r="A5572" s="2">
        <v>5567</v>
      </c>
      <c r="B5572" s="3" t="str">
        <f>"00255156"</f>
        <v>00255156</v>
      </c>
    </row>
    <row r="5573" spans="1:2" x14ac:dyDescent="0.25">
      <c r="A5573" s="2">
        <v>5568</v>
      </c>
      <c r="B5573" s="3" t="str">
        <f>"00255157"</f>
        <v>00255157</v>
      </c>
    </row>
    <row r="5574" spans="1:2" x14ac:dyDescent="0.25">
      <c r="A5574" s="2">
        <v>5569</v>
      </c>
      <c r="B5574" s="3" t="str">
        <f>"00255182"</f>
        <v>00255182</v>
      </c>
    </row>
    <row r="5575" spans="1:2" x14ac:dyDescent="0.25">
      <c r="A5575" s="2">
        <v>5570</v>
      </c>
      <c r="B5575" s="3" t="str">
        <f>"00255185"</f>
        <v>00255185</v>
      </c>
    </row>
    <row r="5576" spans="1:2" x14ac:dyDescent="0.25">
      <c r="A5576" s="2">
        <v>5571</v>
      </c>
      <c r="B5576" s="3" t="str">
        <f>"00255188"</f>
        <v>00255188</v>
      </c>
    </row>
    <row r="5577" spans="1:2" x14ac:dyDescent="0.25">
      <c r="A5577" s="2">
        <v>5572</v>
      </c>
      <c r="B5577" s="3" t="str">
        <f>"00255196"</f>
        <v>00255196</v>
      </c>
    </row>
    <row r="5578" spans="1:2" x14ac:dyDescent="0.25">
      <c r="A5578" s="2">
        <v>5573</v>
      </c>
      <c r="B5578" s="3" t="str">
        <f>"00255216"</f>
        <v>00255216</v>
      </c>
    </row>
    <row r="5579" spans="1:2" x14ac:dyDescent="0.25">
      <c r="A5579" s="2">
        <v>5574</v>
      </c>
      <c r="B5579" s="3" t="str">
        <f>"00255244"</f>
        <v>00255244</v>
      </c>
    </row>
    <row r="5580" spans="1:2" x14ac:dyDescent="0.25">
      <c r="A5580" s="2">
        <v>5575</v>
      </c>
      <c r="B5580" s="3" t="str">
        <f>"00255258"</f>
        <v>00255258</v>
      </c>
    </row>
    <row r="5581" spans="1:2" x14ac:dyDescent="0.25">
      <c r="A5581" s="2">
        <v>5576</v>
      </c>
      <c r="B5581" s="3" t="str">
        <f>"00255318"</f>
        <v>00255318</v>
      </c>
    </row>
    <row r="5582" spans="1:2" x14ac:dyDescent="0.25">
      <c r="A5582" s="2">
        <v>5577</v>
      </c>
      <c r="B5582" s="3" t="str">
        <f>"00255361"</f>
        <v>00255361</v>
      </c>
    </row>
    <row r="5583" spans="1:2" x14ac:dyDescent="0.25">
      <c r="A5583" s="2">
        <v>5578</v>
      </c>
      <c r="B5583" s="3" t="str">
        <f>"00255379"</f>
        <v>00255379</v>
      </c>
    </row>
    <row r="5584" spans="1:2" x14ac:dyDescent="0.25">
      <c r="A5584" s="2">
        <v>5579</v>
      </c>
      <c r="B5584" s="3" t="str">
        <f>"00255384"</f>
        <v>00255384</v>
      </c>
    </row>
    <row r="5585" spans="1:2" x14ac:dyDescent="0.25">
      <c r="A5585" s="2">
        <v>5580</v>
      </c>
      <c r="B5585" s="3" t="str">
        <f>"00255409"</f>
        <v>00255409</v>
      </c>
    </row>
    <row r="5586" spans="1:2" x14ac:dyDescent="0.25">
      <c r="A5586" s="2">
        <v>5581</v>
      </c>
      <c r="B5586" s="3" t="str">
        <f>"00255450"</f>
        <v>00255450</v>
      </c>
    </row>
    <row r="5587" spans="1:2" x14ac:dyDescent="0.25">
      <c r="A5587" s="2">
        <v>5582</v>
      </c>
      <c r="B5587" s="3" t="str">
        <f>"00255455"</f>
        <v>00255455</v>
      </c>
    </row>
    <row r="5588" spans="1:2" x14ac:dyDescent="0.25">
      <c r="A5588" s="2">
        <v>5583</v>
      </c>
      <c r="B5588" s="3" t="str">
        <f>"00255462"</f>
        <v>00255462</v>
      </c>
    </row>
    <row r="5589" spans="1:2" x14ac:dyDescent="0.25">
      <c r="A5589" s="2">
        <v>5584</v>
      </c>
      <c r="B5589" s="3" t="str">
        <f>"00255464"</f>
        <v>00255464</v>
      </c>
    </row>
    <row r="5590" spans="1:2" x14ac:dyDescent="0.25">
      <c r="A5590" s="2">
        <v>5585</v>
      </c>
      <c r="B5590" s="3" t="str">
        <f>"00255473"</f>
        <v>00255473</v>
      </c>
    </row>
    <row r="5591" spans="1:2" x14ac:dyDescent="0.25">
      <c r="A5591" s="2">
        <v>5586</v>
      </c>
      <c r="B5591" s="3" t="str">
        <f>"00255496"</f>
        <v>00255496</v>
      </c>
    </row>
    <row r="5592" spans="1:2" x14ac:dyDescent="0.25">
      <c r="A5592" s="2">
        <v>5587</v>
      </c>
      <c r="B5592" s="3" t="str">
        <f>"00255511"</f>
        <v>00255511</v>
      </c>
    </row>
    <row r="5593" spans="1:2" x14ac:dyDescent="0.25">
      <c r="A5593" s="2">
        <v>5588</v>
      </c>
      <c r="B5593" s="3" t="str">
        <f>"00255582"</f>
        <v>00255582</v>
      </c>
    </row>
    <row r="5594" spans="1:2" x14ac:dyDescent="0.25">
      <c r="A5594" s="2">
        <v>5589</v>
      </c>
      <c r="B5594" s="3" t="str">
        <f>"00255630"</f>
        <v>00255630</v>
      </c>
    </row>
    <row r="5595" spans="1:2" x14ac:dyDescent="0.25">
      <c r="A5595" s="2">
        <v>5590</v>
      </c>
      <c r="B5595" s="3" t="str">
        <f>"00255692"</f>
        <v>00255692</v>
      </c>
    </row>
    <row r="5596" spans="1:2" x14ac:dyDescent="0.25">
      <c r="A5596" s="2">
        <v>5591</v>
      </c>
      <c r="B5596" s="3" t="str">
        <f>"00255785"</f>
        <v>00255785</v>
      </c>
    </row>
    <row r="5597" spans="1:2" x14ac:dyDescent="0.25">
      <c r="A5597" s="2">
        <v>5592</v>
      </c>
      <c r="B5597" s="3" t="str">
        <f>"00255819"</f>
        <v>00255819</v>
      </c>
    </row>
    <row r="5598" spans="1:2" x14ac:dyDescent="0.25">
      <c r="A5598" s="2">
        <v>5593</v>
      </c>
      <c r="B5598" s="3" t="str">
        <f>"00255858"</f>
        <v>00255858</v>
      </c>
    </row>
    <row r="5599" spans="1:2" x14ac:dyDescent="0.25">
      <c r="A5599" s="2">
        <v>5594</v>
      </c>
      <c r="B5599" s="3" t="str">
        <f>"00255894"</f>
        <v>00255894</v>
      </c>
    </row>
    <row r="5600" spans="1:2" x14ac:dyDescent="0.25">
      <c r="A5600" s="2">
        <v>5595</v>
      </c>
      <c r="B5600" s="3" t="str">
        <f>"00255911"</f>
        <v>00255911</v>
      </c>
    </row>
    <row r="5601" spans="1:2" x14ac:dyDescent="0.25">
      <c r="A5601" s="2">
        <v>5596</v>
      </c>
      <c r="B5601" s="3" t="str">
        <f>"00255929"</f>
        <v>00255929</v>
      </c>
    </row>
    <row r="5602" spans="1:2" x14ac:dyDescent="0.25">
      <c r="A5602" s="2">
        <v>5597</v>
      </c>
      <c r="B5602" s="3" t="str">
        <f>"00255944"</f>
        <v>00255944</v>
      </c>
    </row>
    <row r="5603" spans="1:2" x14ac:dyDescent="0.25">
      <c r="A5603" s="2">
        <v>5598</v>
      </c>
      <c r="B5603" s="3" t="str">
        <f>"00255994"</f>
        <v>00255994</v>
      </c>
    </row>
    <row r="5604" spans="1:2" x14ac:dyDescent="0.25">
      <c r="A5604" s="2">
        <v>5599</v>
      </c>
      <c r="B5604" s="3" t="str">
        <f>"00256026"</f>
        <v>00256026</v>
      </c>
    </row>
    <row r="5605" spans="1:2" x14ac:dyDescent="0.25">
      <c r="A5605" s="2">
        <v>5600</v>
      </c>
      <c r="B5605" s="3" t="str">
        <f>"00256061"</f>
        <v>00256061</v>
      </c>
    </row>
    <row r="5606" spans="1:2" x14ac:dyDescent="0.25">
      <c r="A5606" s="2">
        <v>5601</v>
      </c>
      <c r="B5606" s="3" t="str">
        <f>"00256066"</f>
        <v>00256066</v>
      </c>
    </row>
    <row r="5607" spans="1:2" x14ac:dyDescent="0.25">
      <c r="A5607" s="2">
        <v>5602</v>
      </c>
      <c r="B5607" s="3" t="str">
        <f>"00256101"</f>
        <v>00256101</v>
      </c>
    </row>
    <row r="5608" spans="1:2" x14ac:dyDescent="0.25">
      <c r="A5608" s="2">
        <v>5603</v>
      </c>
      <c r="B5608" s="3" t="str">
        <f>"00256113"</f>
        <v>00256113</v>
      </c>
    </row>
    <row r="5609" spans="1:2" x14ac:dyDescent="0.25">
      <c r="A5609" s="2">
        <v>5604</v>
      </c>
      <c r="B5609" s="3" t="str">
        <f>"00256137"</f>
        <v>00256137</v>
      </c>
    </row>
    <row r="5610" spans="1:2" x14ac:dyDescent="0.25">
      <c r="A5610" s="2">
        <v>5605</v>
      </c>
      <c r="B5610" s="3" t="str">
        <f>"00256139"</f>
        <v>00256139</v>
      </c>
    </row>
    <row r="5611" spans="1:2" x14ac:dyDescent="0.25">
      <c r="A5611" s="2">
        <v>5606</v>
      </c>
      <c r="B5611" s="3" t="str">
        <f>"00256142"</f>
        <v>00256142</v>
      </c>
    </row>
    <row r="5612" spans="1:2" x14ac:dyDescent="0.25">
      <c r="A5612" s="2">
        <v>5607</v>
      </c>
      <c r="B5612" s="3" t="str">
        <f>"00256174"</f>
        <v>00256174</v>
      </c>
    </row>
    <row r="5613" spans="1:2" x14ac:dyDescent="0.25">
      <c r="A5613" s="2">
        <v>5608</v>
      </c>
      <c r="B5613" s="3" t="str">
        <f>"00256199"</f>
        <v>00256199</v>
      </c>
    </row>
    <row r="5614" spans="1:2" x14ac:dyDescent="0.25">
      <c r="A5614" s="2">
        <v>5609</v>
      </c>
      <c r="B5614" s="3" t="str">
        <f>"00256202"</f>
        <v>00256202</v>
      </c>
    </row>
    <row r="5615" spans="1:2" x14ac:dyDescent="0.25">
      <c r="A5615" s="2">
        <v>5610</v>
      </c>
      <c r="B5615" s="3" t="str">
        <f>"00256212"</f>
        <v>00256212</v>
      </c>
    </row>
    <row r="5616" spans="1:2" x14ac:dyDescent="0.25">
      <c r="A5616" s="2">
        <v>5611</v>
      </c>
      <c r="B5616" s="3" t="str">
        <f>"00256265"</f>
        <v>00256265</v>
      </c>
    </row>
    <row r="5617" spans="1:2" x14ac:dyDescent="0.25">
      <c r="A5617" s="2">
        <v>5612</v>
      </c>
      <c r="B5617" s="3" t="str">
        <f>"00256269"</f>
        <v>00256269</v>
      </c>
    </row>
    <row r="5618" spans="1:2" x14ac:dyDescent="0.25">
      <c r="A5618" s="2">
        <v>5613</v>
      </c>
      <c r="B5618" s="3" t="str">
        <f>"00256280"</f>
        <v>00256280</v>
      </c>
    </row>
    <row r="5619" spans="1:2" x14ac:dyDescent="0.25">
      <c r="A5619" s="2">
        <v>5614</v>
      </c>
      <c r="B5619" s="3" t="str">
        <f>"00256297"</f>
        <v>00256297</v>
      </c>
    </row>
    <row r="5620" spans="1:2" x14ac:dyDescent="0.25">
      <c r="A5620" s="2">
        <v>5615</v>
      </c>
      <c r="B5620" s="3" t="str">
        <f>"00256307"</f>
        <v>00256307</v>
      </c>
    </row>
    <row r="5621" spans="1:2" x14ac:dyDescent="0.25">
      <c r="A5621" s="2">
        <v>5616</v>
      </c>
      <c r="B5621" s="3" t="str">
        <f>"00256329"</f>
        <v>00256329</v>
      </c>
    </row>
    <row r="5622" spans="1:2" x14ac:dyDescent="0.25">
      <c r="A5622" s="2">
        <v>5617</v>
      </c>
      <c r="B5622" s="3" t="str">
        <f>"00256371"</f>
        <v>00256371</v>
      </c>
    </row>
    <row r="5623" spans="1:2" x14ac:dyDescent="0.25">
      <c r="A5623" s="2">
        <v>5618</v>
      </c>
      <c r="B5623" s="3" t="str">
        <f>"00256410"</f>
        <v>00256410</v>
      </c>
    </row>
    <row r="5624" spans="1:2" x14ac:dyDescent="0.25">
      <c r="A5624" s="2">
        <v>5619</v>
      </c>
      <c r="B5624" s="3" t="str">
        <f>"00256415"</f>
        <v>00256415</v>
      </c>
    </row>
    <row r="5625" spans="1:2" x14ac:dyDescent="0.25">
      <c r="A5625" s="2">
        <v>5620</v>
      </c>
      <c r="B5625" s="3" t="str">
        <f>"00256487"</f>
        <v>00256487</v>
      </c>
    </row>
    <row r="5626" spans="1:2" x14ac:dyDescent="0.25">
      <c r="A5626" s="2">
        <v>5621</v>
      </c>
      <c r="B5626" s="3" t="str">
        <f>"00256488"</f>
        <v>00256488</v>
      </c>
    </row>
    <row r="5627" spans="1:2" x14ac:dyDescent="0.25">
      <c r="A5627" s="2">
        <v>5622</v>
      </c>
      <c r="B5627" s="3" t="str">
        <f>"00256548"</f>
        <v>00256548</v>
      </c>
    </row>
    <row r="5628" spans="1:2" x14ac:dyDescent="0.25">
      <c r="A5628" s="2">
        <v>5623</v>
      </c>
      <c r="B5628" s="3" t="str">
        <f>"00256619"</f>
        <v>00256619</v>
      </c>
    </row>
    <row r="5629" spans="1:2" x14ac:dyDescent="0.25">
      <c r="A5629" s="2">
        <v>5624</v>
      </c>
      <c r="B5629" s="3" t="str">
        <f>"00256685"</f>
        <v>00256685</v>
      </c>
    </row>
    <row r="5630" spans="1:2" x14ac:dyDescent="0.25">
      <c r="A5630" s="2">
        <v>5625</v>
      </c>
      <c r="B5630" s="3" t="str">
        <f>"00256719"</f>
        <v>00256719</v>
      </c>
    </row>
    <row r="5631" spans="1:2" x14ac:dyDescent="0.25">
      <c r="A5631" s="2">
        <v>5626</v>
      </c>
      <c r="B5631" s="3" t="str">
        <f>"00256737"</f>
        <v>00256737</v>
      </c>
    </row>
    <row r="5632" spans="1:2" x14ac:dyDescent="0.25">
      <c r="A5632" s="2">
        <v>5627</v>
      </c>
      <c r="B5632" s="3" t="str">
        <f>"00256746"</f>
        <v>00256746</v>
      </c>
    </row>
    <row r="5633" spans="1:2" x14ac:dyDescent="0.25">
      <c r="A5633" s="2">
        <v>5628</v>
      </c>
      <c r="B5633" s="3" t="str">
        <f>"00256773"</f>
        <v>00256773</v>
      </c>
    </row>
    <row r="5634" spans="1:2" x14ac:dyDescent="0.25">
      <c r="A5634" s="2">
        <v>5629</v>
      </c>
      <c r="B5634" s="3" t="str">
        <f>"00256876"</f>
        <v>00256876</v>
      </c>
    </row>
    <row r="5635" spans="1:2" x14ac:dyDescent="0.25">
      <c r="A5635" s="2">
        <v>5630</v>
      </c>
      <c r="B5635" s="3" t="str">
        <f>"00256946"</f>
        <v>00256946</v>
      </c>
    </row>
    <row r="5636" spans="1:2" x14ac:dyDescent="0.25">
      <c r="A5636" s="2">
        <v>5631</v>
      </c>
      <c r="B5636" s="3" t="str">
        <f>"00256984"</f>
        <v>00256984</v>
      </c>
    </row>
    <row r="5637" spans="1:2" x14ac:dyDescent="0.25">
      <c r="A5637" s="2">
        <v>5632</v>
      </c>
      <c r="B5637" s="3" t="str">
        <f>"00257038"</f>
        <v>00257038</v>
      </c>
    </row>
    <row r="5638" spans="1:2" x14ac:dyDescent="0.25">
      <c r="A5638" s="2">
        <v>5633</v>
      </c>
      <c r="B5638" s="3" t="str">
        <f>"00257044"</f>
        <v>00257044</v>
      </c>
    </row>
    <row r="5639" spans="1:2" x14ac:dyDescent="0.25">
      <c r="A5639" s="2">
        <v>5634</v>
      </c>
      <c r="B5639" s="3" t="str">
        <f>"00257055"</f>
        <v>00257055</v>
      </c>
    </row>
    <row r="5640" spans="1:2" x14ac:dyDescent="0.25">
      <c r="A5640" s="2">
        <v>5635</v>
      </c>
      <c r="B5640" s="3" t="str">
        <f>"00257067"</f>
        <v>00257067</v>
      </c>
    </row>
    <row r="5641" spans="1:2" x14ac:dyDescent="0.25">
      <c r="A5641" s="2">
        <v>5636</v>
      </c>
      <c r="B5641" s="3" t="str">
        <f>"00257071"</f>
        <v>00257071</v>
      </c>
    </row>
    <row r="5642" spans="1:2" x14ac:dyDescent="0.25">
      <c r="A5642" s="2">
        <v>5637</v>
      </c>
      <c r="B5642" s="3" t="str">
        <f>"00257181"</f>
        <v>00257181</v>
      </c>
    </row>
    <row r="5643" spans="1:2" x14ac:dyDescent="0.25">
      <c r="A5643" s="2">
        <v>5638</v>
      </c>
      <c r="B5643" s="3" t="str">
        <f>"00257210"</f>
        <v>00257210</v>
      </c>
    </row>
    <row r="5644" spans="1:2" x14ac:dyDescent="0.25">
      <c r="A5644" s="2">
        <v>5639</v>
      </c>
      <c r="B5644" s="3" t="str">
        <f>"00257215"</f>
        <v>00257215</v>
      </c>
    </row>
    <row r="5645" spans="1:2" x14ac:dyDescent="0.25">
      <c r="A5645" s="2">
        <v>5640</v>
      </c>
      <c r="B5645" s="3" t="str">
        <f>"00257222"</f>
        <v>00257222</v>
      </c>
    </row>
    <row r="5646" spans="1:2" x14ac:dyDescent="0.25">
      <c r="A5646" s="2">
        <v>5641</v>
      </c>
      <c r="B5646" s="3" t="str">
        <f>"00257231"</f>
        <v>00257231</v>
      </c>
    </row>
    <row r="5647" spans="1:2" x14ac:dyDescent="0.25">
      <c r="A5647" s="2">
        <v>5642</v>
      </c>
      <c r="B5647" s="3" t="str">
        <f>"00257241"</f>
        <v>00257241</v>
      </c>
    </row>
    <row r="5648" spans="1:2" x14ac:dyDescent="0.25">
      <c r="A5648" s="2">
        <v>5643</v>
      </c>
      <c r="B5648" s="3" t="str">
        <f>"00257284"</f>
        <v>00257284</v>
      </c>
    </row>
    <row r="5649" spans="1:2" x14ac:dyDescent="0.25">
      <c r="A5649" s="2">
        <v>5644</v>
      </c>
      <c r="B5649" s="3" t="str">
        <f>"00257288"</f>
        <v>00257288</v>
      </c>
    </row>
    <row r="5650" spans="1:2" x14ac:dyDescent="0.25">
      <c r="A5650" s="2">
        <v>5645</v>
      </c>
      <c r="B5650" s="3" t="str">
        <f>"00257315"</f>
        <v>00257315</v>
      </c>
    </row>
    <row r="5651" spans="1:2" x14ac:dyDescent="0.25">
      <c r="A5651" s="2">
        <v>5646</v>
      </c>
      <c r="B5651" s="3" t="str">
        <f>"00257340"</f>
        <v>00257340</v>
      </c>
    </row>
    <row r="5652" spans="1:2" x14ac:dyDescent="0.25">
      <c r="A5652" s="2">
        <v>5647</v>
      </c>
      <c r="B5652" s="3" t="str">
        <f>"00257346"</f>
        <v>00257346</v>
      </c>
    </row>
    <row r="5653" spans="1:2" x14ac:dyDescent="0.25">
      <c r="A5653" s="2">
        <v>5648</v>
      </c>
      <c r="B5653" s="3" t="str">
        <f>"00257353"</f>
        <v>00257353</v>
      </c>
    </row>
    <row r="5654" spans="1:2" x14ac:dyDescent="0.25">
      <c r="A5654" s="2">
        <v>5649</v>
      </c>
      <c r="B5654" s="3" t="str">
        <f>"00257379"</f>
        <v>00257379</v>
      </c>
    </row>
    <row r="5655" spans="1:2" x14ac:dyDescent="0.25">
      <c r="A5655" s="2">
        <v>5650</v>
      </c>
      <c r="B5655" s="3" t="str">
        <f>"00257382"</f>
        <v>00257382</v>
      </c>
    </row>
    <row r="5656" spans="1:2" x14ac:dyDescent="0.25">
      <c r="A5656" s="2">
        <v>5651</v>
      </c>
      <c r="B5656" s="3" t="str">
        <f>"00257391"</f>
        <v>00257391</v>
      </c>
    </row>
    <row r="5657" spans="1:2" x14ac:dyDescent="0.25">
      <c r="A5657" s="2">
        <v>5652</v>
      </c>
      <c r="B5657" s="3" t="str">
        <f>"00257441"</f>
        <v>00257441</v>
      </c>
    </row>
    <row r="5658" spans="1:2" x14ac:dyDescent="0.25">
      <c r="A5658" s="2">
        <v>5653</v>
      </c>
      <c r="B5658" s="3" t="str">
        <f>"00257567"</f>
        <v>00257567</v>
      </c>
    </row>
    <row r="5659" spans="1:2" x14ac:dyDescent="0.25">
      <c r="A5659" s="2">
        <v>5654</v>
      </c>
      <c r="B5659" s="3" t="str">
        <f>"00257743"</f>
        <v>00257743</v>
      </c>
    </row>
    <row r="5660" spans="1:2" x14ac:dyDescent="0.25">
      <c r="A5660" s="2">
        <v>5655</v>
      </c>
      <c r="B5660" s="3" t="str">
        <f>"00257759"</f>
        <v>00257759</v>
      </c>
    </row>
    <row r="5661" spans="1:2" x14ac:dyDescent="0.25">
      <c r="A5661" s="2">
        <v>5656</v>
      </c>
      <c r="B5661" s="3" t="str">
        <f>"00257769"</f>
        <v>00257769</v>
      </c>
    </row>
    <row r="5662" spans="1:2" x14ac:dyDescent="0.25">
      <c r="A5662" s="2">
        <v>5657</v>
      </c>
      <c r="B5662" s="3" t="str">
        <f>"00257780"</f>
        <v>00257780</v>
      </c>
    </row>
    <row r="5663" spans="1:2" x14ac:dyDescent="0.25">
      <c r="A5663" s="2">
        <v>5658</v>
      </c>
      <c r="B5663" s="3" t="str">
        <f>"00257787"</f>
        <v>00257787</v>
      </c>
    </row>
    <row r="5664" spans="1:2" x14ac:dyDescent="0.25">
      <c r="A5664" s="2">
        <v>5659</v>
      </c>
      <c r="B5664" s="3" t="str">
        <f>"00257844"</f>
        <v>00257844</v>
      </c>
    </row>
    <row r="5665" spans="1:2" x14ac:dyDescent="0.25">
      <c r="A5665" s="2">
        <v>5660</v>
      </c>
      <c r="B5665" s="3" t="str">
        <f>"00257851"</f>
        <v>00257851</v>
      </c>
    </row>
    <row r="5666" spans="1:2" x14ac:dyDescent="0.25">
      <c r="A5666" s="2">
        <v>5661</v>
      </c>
      <c r="B5666" s="3" t="str">
        <f>"00257867"</f>
        <v>00257867</v>
      </c>
    </row>
    <row r="5667" spans="1:2" x14ac:dyDescent="0.25">
      <c r="A5667" s="2">
        <v>5662</v>
      </c>
      <c r="B5667" s="3" t="str">
        <f>"00257906"</f>
        <v>00257906</v>
      </c>
    </row>
    <row r="5668" spans="1:2" x14ac:dyDescent="0.25">
      <c r="A5668" s="2">
        <v>5663</v>
      </c>
      <c r="B5668" s="3" t="str">
        <f>"00257930"</f>
        <v>00257930</v>
      </c>
    </row>
    <row r="5669" spans="1:2" x14ac:dyDescent="0.25">
      <c r="A5669" s="2">
        <v>5664</v>
      </c>
      <c r="B5669" s="3" t="str">
        <f>"00257935"</f>
        <v>00257935</v>
      </c>
    </row>
    <row r="5670" spans="1:2" x14ac:dyDescent="0.25">
      <c r="A5670" s="2">
        <v>5665</v>
      </c>
      <c r="B5670" s="3" t="str">
        <f>"00258000"</f>
        <v>00258000</v>
      </c>
    </row>
    <row r="5671" spans="1:2" x14ac:dyDescent="0.25">
      <c r="A5671" s="2">
        <v>5666</v>
      </c>
      <c r="B5671" s="3" t="str">
        <f>"00258036"</f>
        <v>00258036</v>
      </c>
    </row>
    <row r="5672" spans="1:2" x14ac:dyDescent="0.25">
      <c r="A5672" s="2">
        <v>5667</v>
      </c>
      <c r="B5672" s="3" t="str">
        <f>"00258038"</f>
        <v>00258038</v>
      </c>
    </row>
    <row r="5673" spans="1:2" x14ac:dyDescent="0.25">
      <c r="A5673" s="2">
        <v>5668</v>
      </c>
      <c r="B5673" s="3" t="str">
        <f>"00258057"</f>
        <v>00258057</v>
      </c>
    </row>
    <row r="5674" spans="1:2" x14ac:dyDescent="0.25">
      <c r="A5674" s="2">
        <v>5669</v>
      </c>
      <c r="B5674" s="3" t="str">
        <f>"00258066"</f>
        <v>00258066</v>
      </c>
    </row>
    <row r="5675" spans="1:2" x14ac:dyDescent="0.25">
      <c r="A5675" s="2">
        <v>5670</v>
      </c>
      <c r="B5675" s="3" t="str">
        <f>"00258075"</f>
        <v>00258075</v>
      </c>
    </row>
    <row r="5676" spans="1:2" x14ac:dyDescent="0.25">
      <c r="A5676" s="2">
        <v>5671</v>
      </c>
      <c r="B5676" s="3" t="str">
        <f>"00258084"</f>
        <v>00258084</v>
      </c>
    </row>
    <row r="5677" spans="1:2" x14ac:dyDescent="0.25">
      <c r="A5677" s="2">
        <v>5672</v>
      </c>
      <c r="B5677" s="3" t="str">
        <f>"00258117"</f>
        <v>00258117</v>
      </c>
    </row>
    <row r="5678" spans="1:2" x14ac:dyDescent="0.25">
      <c r="A5678" s="2">
        <v>5673</v>
      </c>
      <c r="B5678" s="3" t="str">
        <f>"00258262"</f>
        <v>00258262</v>
      </c>
    </row>
    <row r="5679" spans="1:2" x14ac:dyDescent="0.25">
      <c r="A5679" s="2">
        <v>5674</v>
      </c>
      <c r="B5679" s="3" t="str">
        <f>"00258272"</f>
        <v>00258272</v>
      </c>
    </row>
    <row r="5680" spans="1:2" x14ac:dyDescent="0.25">
      <c r="A5680" s="2">
        <v>5675</v>
      </c>
      <c r="B5680" s="3" t="str">
        <f>"00258282"</f>
        <v>00258282</v>
      </c>
    </row>
    <row r="5681" spans="1:2" x14ac:dyDescent="0.25">
      <c r="A5681" s="2">
        <v>5676</v>
      </c>
      <c r="B5681" s="3" t="str">
        <f>"00258342"</f>
        <v>00258342</v>
      </c>
    </row>
    <row r="5682" spans="1:2" x14ac:dyDescent="0.25">
      <c r="A5682" s="2">
        <v>5677</v>
      </c>
      <c r="B5682" s="3" t="str">
        <f>"00258357"</f>
        <v>00258357</v>
      </c>
    </row>
    <row r="5683" spans="1:2" x14ac:dyDescent="0.25">
      <c r="A5683" s="2">
        <v>5678</v>
      </c>
      <c r="B5683" s="3" t="str">
        <f>"00258371"</f>
        <v>00258371</v>
      </c>
    </row>
    <row r="5684" spans="1:2" x14ac:dyDescent="0.25">
      <c r="A5684" s="2">
        <v>5679</v>
      </c>
      <c r="B5684" s="3" t="str">
        <f>"00258374"</f>
        <v>00258374</v>
      </c>
    </row>
    <row r="5685" spans="1:2" x14ac:dyDescent="0.25">
      <c r="A5685" s="2">
        <v>5680</v>
      </c>
      <c r="B5685" s="3" t="str">
        <f>"00258442"</f>
        <v>00258442</v>
      </c>
    </row>
    <row r="5686" spans="1:2" x14ac:dyDescent="0.25">
      <c r="A5686" s="2">
        <v>5681</v>
      </c>
      <c r="B5686" s="3" t="str">
        <f>"00258445"</f>
        <v>00258445</v>
      </c>
    </row>
    <row r="5687" spans="1:2" x14ac:dyDescent="0.25">
      <c r="A5687" s="2">
        <v>5682</v>
      </c>
      <c r="B5687" s="3" t="str">
        <f>"00258453"</f>
        <v>00258453</v>
      </c>
    </row>
    <row r="5688" spans="1:2" x14ac:dyDescent="0.25">
      <c r="A5688" s="2">
        <v>5683</v>
      </c>
      <c r="B5688" s="3" t="str">
        <f>"00258467"</f>
        <v>00258467</v>
      </c>
    </row>
    <row r="5689" spans="1:2" x14ac:dyDescent="0.25">
      <c r="A5689" s="2">
        <v>5684</v>
      </c>
      <c r="B5689" s="3" t="str">
        <f>"00258533"</f>
        <v>00258533</v>
      </c>
    </row>
    <row r="5690" spans="1:2" x14ac:dyDescent="0.25">
      <c r="A5690" s="2">
        <v>5685</v>
      </c>
      <c r="B5690" s="3" t="str">
        <f>"00258547"</f>
        <v>00258547</v>
      </c>
    </row>
    <row r="5691" spans="1:2" x14ac:dyDescent="0.25">
      <c r="A5691" s="2">
        <v>5686</v>
      </c>
      <c r="B5691" s="3" t="str">
        <f>"00258611"</f>
        <v>00258611</v>
      </c>
    </row>
    <row r="5692" spans="1:2" x14ac:dyDescent="0.25">
      <c r="A5692" s="2">
        <v>5687</v>
      </c>
      <c r="B5692" s="3" t="str">
        <f>"00258645"</f>
        <v>00258645</v>
      </c>
    </row>
    <row r="5693" spans="1:2" x14ac:dyDescent="0.25">
      <c r="A5693" s="2">
        <v>5688</v>
      </c>
      <c r="B5693" s="3" t="str">
        <f>"00258683"</f>
        <v>00258683</v>
      </c>
    </row>
    <row r="5694" spans="1:2" x14ac:dyDescent="0.25">
      <c r="A5694" s="2">
        <v>5689</v>
      </c>
      <c r="B5694" s="3" t="str">
        <f>"00258715"</f>
        <v>00258715</v>
      </c>
    </row>
    <row r="5695" spans="1:2" x14ac:dyDescent="0.25">
      <c r="A5695" s="2">
        <v>5690</v>
      </c>
      <c r="B5695" s="3" t="str">
        <f>"00258777"</f>
        <v>00258777</v>
      </c>
    </row>
    <row r="5696" spans="1:2" x14ac:dyDescent="0.25">
      <c r="A5696" s="2">
        <v>5691</v>
      </c>
      <c r="B5696" s="3" t="str">
        <f>"00258795"</f>
        <v>00258795</v>
      </c>
    </row>
    <row r="5697" spans="1:2" x14ac:dyDescent="0.25">
      <c r="A5697" s="2">
        <v>5692</v>
      </c>
      <c r="B5697" s="3" t="str">
        <f>"00258825"</f>
        <v>00258825</v>
      </c>
    </row>
    <row r="5698" spans="1:2" x14ac:dyDescent="0.25">
      <c r="A5698" s="2">
        <v>5693</v>
      </c>
      <c r="B5698" s="3" t="str">
        <f>"00258856"</f>
        <v>00258856</v>
      </c>
    </row>
    <row r="5699" spans="1:2" x14ac:dyDescent="0.25">
      <c r="A5699" s="2">
        <v>5694</v>
      </c>
      <c r="B5699" s="3" t="str">
        <f>"00258862"</f>
        <v>00258862</v>
      </c>
    </row>
    <row r="5700" spans="1:2" x14ac:dyDescent="0.25">
      <c r="A5700" s="2">
        <v>5695</v>
      </c>
      <c r="B5700" s="3" t="str">
        <f>"00258927"</f>
        <v>00258927</v>
      </c>
    </row>
    <row r="5701" spans="1:2" x14ac:dyDescent="0.25">
      <c r="A5701" s="2">
        <v>5696</v>
      </c>
      <c r="B5701" s="3" t="str">
        <f>"00259103"</f>
        <v>00259103</v>
      </c>
    </row>
    <row r="5702" spans="1:2" x14ac:dyDescent="0.25">
      <c r="A5702" s="2">
        <v>5697</v>
      </c>
      <c r="B5702" s="3" t="str">
        <f>"00259181"</f>
        <v>00259181</v>
      </c>
    </row>
    <row r="5703" spans="1:2" x14ac:dyDescent="0.25">
      <c r="A5703" s="2">
        <v>5698</v>
      </c>
      <c r="B5703" s="3" t="str">
        <f>"00259184"</f>
        <v>00259184</v>
      </c>
    </row>
    <row r="5704" spans="1:2" x14ac:dyDescent="0.25">
      <c r="A5704" s="2">
        <v>5699</v>
      </c>
      <c r="B5704" s="3" t="str">
        <f>"00259216"</f>
        <v>00259216</v>
      </c>
    </row>
    <row r="5705" spans="1:2" x14ac:dyDescent="0.25">
      <c r="A5705" s="2">
        <v>5700</v>
      </c>
      <c r="B5705" s="3" t="str">
        <f>"00259220"</f>
        <v>00259220</v>
      </c>
    </row>
    <row r="5706" spans="1:2" x14ac:dyDescent="0.25">
      <c r="A5706" s="2">
        <v>5701</v>
      </c>
      <c r="B5706" s="3" t="str">
        <f>"00259261"</f>
        <v>00259261</v>
      </c>
    </row>
    <row r="5707" spans="1:2" x14ac:dyDescent="0.25">
      <c r="A5707" s="2">
        <v>5702</v>
      </c>
      <c r="B5707" s="3" t="str">
        <f>"00259303"</f>
        <v>00259303</v>
      </c>
    </row>
    <row r="5708" spans="1:2" x14ac:dyDescent="0.25">
      <c r="A5708" s="2">
        <v>5703</v>
      </c>
      <c r="B5708" s="3" t="str">
        <f>"00259326"</f>
        <v>00259326</v>
      </c>
    </row>
    <row r="5709" spans="1:2" x14ac:dyDescent="0.25">
      <c r="A5709" s="2">
        <v>5704</v>
      </c>
      <c r="B5709" s="3" t="str">
        <f>"00259417"</f>
        <v>00259417</v>
      </c>
    </row>
    <row r="5710" spans="1:2" x14ac:dyDescent="0.25">
      <c r="A5710" s="2">
        <v>5705</v>
      </c>
      <c r="B5710" s="3" t="str">
        <f>"00259424"</f>
        <v>00259424</v>
      </c>
    </row>
    <row r="5711" spans="1:2" x14ac:dyDescent="0.25">
      <c r="A5711" s="2">
        <v>5706</v>
      </c>
      <c r="B5711" s="3" t="str">
        <f>"00259441"</f>
        <v>00259441</v>
      </c>
    </row>
    <row r="5712" spans="1:2" x14ac:dyDescent="0.25">
      <c r="A5712" s="2">
        <v>5707</v>
      </c>
      <c r="B5712" s="3" t="str">
        <f>"00259471"</f>
        <v>00259471</v>
      </c>
    </row>
    <row r="5713" spans="1:2" x14ac:dyDescent="0.25">
      <c r="A5713" s="2">
        <v>5708</v>
      </c>
      <c r="B5713" s="3" t="str">
        <f>"00259492"</f>
        <v>00259492</v>
      </c>
    </row>
    <row r="5714" spans="1:2" x14ac:dyDescent="0.25">
      <c r="A5714" s="2">
        <v>5709</v>
      </c>
      <c r="B5714" s="3" t="str">
        <f>"00259516"</f>
        <v>00259516</v>
      </c>
    </row>
    <row r="5715" spans="1:2" x14ac:dyDescent="0.25">
      <c r="A5715" s="2">
        <v>5710</v>
      </c>
      <c r="B5715" s="3" t="str">
        <f>"00259570"</f>
        <v>00259570</v>
      </c>
    </row>
    <row r="5716" spans="1:2" x14ac:dyDescent="0.25">
      <c r="A5716" s="2">
        <v>5711</v>
      </c>
      <c r="B5716" s="3" t="str">
        <f>"00259586"</f>
        <v>00259586</v>
      </c>
    </row>
    <row r="5717" spans="1:2" x14ac:dyDescent="0.25">
      <c r="A5717" s="2">
        <v>5712</v>
      </c>
      <c r="B5717" s="3" t="str">
        <f>"00259621"</f>
        <v>00259621</v>
      </c>
    </row>
    <row r="5718" spans="1:2" x14ac:dyDescent="0.25">
      <c r="A5718" s="2">
        <v>5713</v>
      </c>
      <c r="B5718" s="3" t="str">
        <f>"00259654"</f>
        <v>00259654</v>
      </c>
    </row>
    <row r="5719" spans="1:2" x14ac:dyDescent="0.25">
      <c r="A5719" s="2">
        <v>5714</v>
      </c>
      <c r="B5719" s="3" t="str">
        <f>"00259745"</f>
        <v>00259745</v>
      </c>
    </row>
    <row r="5720" spans="1:2" x14ac:dyDescent="0.25">
      <c r="A5720" s="2">
        <v>5715</v>
      </c>
      <c r="B5720" s="3" t="str">
        <f>"00259789"</f>
        <v>00259789</v>
      </c>
    </row>
    <row r="5721" spans="1:2" x14ac:dyDescent="0.25">
      <c r="A5721" s="2">
        <v>5716</v>
      </c>
      <c r="B5721" s="3" t="str">
        <f>"00259849"</f>
        <v>00259849</v>
      </c>
    </row>
    <row r="5722" spans="1:2" x14ac:dyDescent="0.25">
      <c r="A5722" s="2">
        <v>5717</v>
      </c>
      <c r="B5722" s="3" t="str">
        <f>"00259853"</f>
        <v>00259853</v>
      </c>
    </row>
    <row r="5723" spans="1:2" x14ac:dyDescent="0.25">
      <c r="A5723" s="2">
        <v>5718</v>
      </c>
      <c r="B5723" s="3" t="str">
        <f>"00259927"</f>
        <v>00259927</v>
      </c>
    </row>
    <row r="5724" spans="1:2" x14ac:dyDescent="0.25">
      <c r="A5724" s="2">
        <v>5719</v>
      </c>
      <c r="B5724" s="3" t="str">
        <f>"00259945"</f>
        <v>00259945</v>
      </c>
    </row>
    <row r="5725" spans="1:2" x14ac:dyDescent="0.25">
      <c r="A5725" s="2">
        <v>5720</v>
      </c>
      <c r="B5725" s="3" t="str">
        <f>"00259953"</f>
        <v>00259953</v>
      </c>
    </row>
    <row r="5726" spans="1:2" x14ac:dyDescent="0.25">
      <c r="A5726" s="2">
        <v>5721</v>
      </c>
      <c r="B5726" s="3" t="str">
        <f>"00259964"</f>
        <v>00259964</v>
      </c>
    </row>
    <row r="5727" spans="1:2" x14ac:dyDescent="0.25">
      <c r="A5727" s="2">
        <v>5722</v>
      </c>
      <c r="B5727" s="3" t="str">
        <f>"00259976"</f>
        <v>00259976</v>
      </c>
    </row>
    <row r="5728" spans="1:2" x14ac:dyDescent="0.25">
      <c r="A5728" s="2">
        <v>5723</v>
      </c>
      <c r="B5728" s="3" t="str">
        <f>"00260036"</f>
        <v>00260036</v>
      </c>
    </row>
    <row r="5729" spans="1:2" x14ac:dyDescent="0.25">
      <c r="A5729" s="2">
        <v>5724</v>
      </c>
      <c r="B5729" s="3" t="str">
        <f>"00260103"</f>
        <v>00260103</v>
      </c>
    </row>
    <row r="5730" spans="1:2" x14ac:dyDescent="0.25">
      <c r="A5730" s="2">
        <v>5725</v>
      </c>
      <c r="B5730" s="3" t="str">
        <f>"00260119"</f>
        <v>00260119</v>
      </c>
    </row>
    <row r="5731" spans="1:2" x14ac:dyDescent="0.25">
      <c r="A5731" s="2">
        <v>5726</v>
      </c>
      <c r="B5731" s="3" t="str">
        <f>"00260125"</f>
        <v>00260125</v>
      </c>
    </row>
    <row r="5732" spans="1:2" x14ac:dyDescent="0.25">
      <c r="A5732" s="2">
        <v>5727</v>
      </c>
      <c r="B5732" s="3" t="str">
        <f>"00260156"</f>
        <v>00260156</v>
      </c>
    </row>
    <row r="5733" spans="1:2" x14ac:dyDescent="0.25">
      <c r="A5733" s="2">
        <v>5728</v>
      </c>
      <c r="B5733" s="3" t="str">
        <f>"00260188"</f>
        <v>00260188</v>
      </c>
    </row>
    <row r="5734" spans="1:2" x14ac:dyDescent="0.25">
      <c r="A5734" s="2">
        <v>5729</v>
      </c>
      <c r="B5734" s="3" t="str">
        <f>"00260253"</f>
        <v>00260253</v>
      </c>
    </row>
    <row r="5735" spans="1:2" x14ac:dyDescent="0.25">
      <c r="A5735" s="2">
        <v>5730</v>
      </c>
      <c r="B5735" s="3" t="str">
        <f>"00260283"</f>
        <v>00260283</v>
      </c>
    </row>
    <row r="5736" spans="1:2" x14ac:dyDescent="0.25">
      <c r="A5736" s="2">
        <v>5731</v>
      </c>
      <c r="B5736" s="3" t="str">
        <f>"00260341"</f>
        <v>00260341</v>
      </c>
    </row>
    <row r="5737" spans="1:2" x14ac:dyDescent="0.25">
      <c r="A5737" s="2">
        <v>5732</v>
      </c>
      <c r="B5737" s="3" t="str">
        <f>"00260351"</f>
        <v>00260351</v>
      </c>
    </row>
    <row r="5738" spans="1:2" x14ac:dyDescent="0.25">
      <c r="A5738" s="2">
        <v>5733</v>
      </c>
      <c r="B5738" s="3" t="str">
        <f>"00260354"</f>
        <v>00260354</v>
      </c>
    </row>
    <row r="5739" spans="1:2" x14ac:dyDescent="0.25">
      <c r="A5739" s="2">
        <v>5734</v>
      </c>
      <c r="B5739" s="3" t="str">
        <f>"00260362"</f>
        <v>00260362</v>
      </c>
    </row>
    <row r="5740" spans="1:2" x14ac:dyDescent="0.25">
      <c r="A5740" s="2">
        <v>5735</v>
      </c>
      <c r="B5740" s="3" t="str">
        <f>"00260366"</f>
        <v>00260366</v>
      </c>
    </row>
    <row r="5741" spans="1:2" x14ac:dyDescent="0.25">
      <c r="A5741" s="2">
        <v>5736</v>
      </c>
      <c r="B5741" s="3" t="str">
        <f>"00260376"</f>
        <v>00260376</v>
      </c>
    </row>
    <row r="5742" spans="1:2" x14ac:dyDescent="0.25">
      <c r="A5742" s="2">
        <v>5737</v>
      </c>
      <c r="B5742" s="3" t="str">
        <f>"00260389"</f>
        <v>00260389</v>
      </c>
    </row>
    <row r="5743" spans="1:2" x14ac:dyDescent="0.25">
      <c r="A5743" s="2">
        <v>5738</v>
      </c>
      <c r="B5743" s="3" t="str">
        <f>"00260390"</f>
        <v>00260390</v>
      </c>
    </row>
    <row r="5744" spans="1:2" x14ac:dyDescent="0.25">
      <c r="A5744" s="2">
        <v>5739</v>
      </c>
      <c r="B5744" s="3" t="str">
        <f>"00260418"</f>
        <v>00260418</v>
      </c>
    </row>
    <row r="5745" spans="1:2" x14ac:dyDescent="0.25">
      <c r="A5745" s="2">
        <v>5740</v>
      </c>
      <c r="B5745" s="3" t="str">
        <f>"00260426"</f>
        <v>00260426</v>
      </c>
    </row>
    <row r="5746" spans="1:2" x14ac:dyDescent="0.25">
      <c r="A5746" s="2">
        <v>5741</v>
      </c>
      <c r="B5746" s="3" t="str">
        <f>"00260458"</f>
        <v>00260458</v>
      </c>
    </row>
    <row r="5747" spans="1:2" x14ac:dyDescent="0.25">
      <c r="A5747" s="2">
        <v>5742</v>
      </c>
      <c r="B5747" s="3" t="str">
        <f>"00260481"</f>
        <v>00260481</v>
      </c>
    </row>
    <row r="5748" spans="1:2" x14ac:dyDescent="0.25">
      <c r="A5748" s="2">
        <v>5743</v>
      </c>
      <c r="B5748" s="3" t="str">
        <f>"00260518"</f>
        <v>00260518</v>
      </c>
    </row>
    <row r="5749" spans="1:2" x14ac:dyDescent="0.25">
      <c r="A5749" s="2">
        <v>5744</v>
      </c>
      <c r="B5749" s="3" t="str">
        <f>"00260528"</f>
        <v>00260528</v>
      </c>
    </row>
    <row r="5750" spans="1:2" x14ac:dyDescent="0.25">
      <c r="A5750" s="2">
        <v>5745</v>
      </c>
      <c r="B5750" s="3" t="str">
        <f>"00260536"</f>
        <v>00260536</v>
      </c>
    </row>
    <row r="5751" spans="1:2" x14ac:dyDescent="0.25">
      <c r="A5751" s="2">
        <v>5746</v>
      </c>
      <c r="B5751" s="3" t="str">
        <f>"00260585"</f>
        <v>00260585</v>
      </c>
    </row>
    <row r="5752" spans="1:2" x14ac:dyDescent="0.25">
      <c r="A5752" s="2">
        <v>5747</v>
      </c>
      <c r="B5752" s="3" t="str">
        <f>"00260607"</f>
        <v>00260607</v>
      </c>
    </row>
    <row r="5753" spans="1:2" x14ac:dyDescent="0.25">
      <c r="A5753" s="2">
        <v>5748</v>
      </c>
      <c r="B5753" s="3" t="str">
        <f>"00260708"</f>
        <v>00260708</v>
      </c>
    </row>
    <row r="5754" spans="1:2" x14ac:dyDescent="0.25">
      <c r="A5754" s="2">
        <v>5749</v>
      </c>
      <c r="B5754" s="3" t="str">
        <f>"00260712"</f>
        <v>00260712</v>
      </c>
    </row>
    <row r="5755" spans="1:2" x14ac:dyDescent="0.25">
      <c r="A5755" s="2">
        <v>5750</v>
      </c>
      <c r="B5755" s="3" t="str">
        <f>"00260713"</f>
        <v>00260713</v>
      </c>
    </row>
    <row r="5756" spans="1:2" x14ac:dyDescent="0.25">
      <c r="A5756" s="2">
        <v>5751</v>
      </c>
      <c r="B5756" s="3" t="str">
        <f>"00260714"</f>
        <v>00260714</v>
      </c>
    </row>
    <row r="5757" spans="1:2" x14ac:dyDescent="0.25">
      <c r="A5757" s="2">
        <v>5752</v>
      </c>
      <c r="B5757" s="3" t="str">
        <f>"00260727"</f>
        <v>00260727</v>
      </c>
    </row>
    <row r="5758" spans="1:2" x14ac:dyDescent="0.25">
      <c r="A5758" s="2">
        <v>5753</v>
      </c>
      <c r="B5758" s="3" t="str">
        <f>"00260781"</f>
        <v>00260781</v>
      </c>
    </row>
    <row r="5759" spans="1:2" x14ac:dyDescent="0.25">
      <c r="A5759" s="2">
        <v>5754</v>
      </c>
      <c r="B5759" s="3" t="str">
        <f>"00260814"</f>
        <v>00260814</v>
      </c>
    </row>
    <row r="5760" spans="1:2" x14ac:dyDescent="0.25">
      <c r="A5760" s="2">
        <v>5755</v>
      </c>
      <c r="B5760" s="3" t="str">
        <f>"00260842"</f>
        <v>00260842</v>
      </c>
    </row>
    <row r="5761" spans="1:2" x14ac:dyDescent="0.25">
      <c r="A5761" s="2">
        <v>5756</v>
      </c>
      <c r="B5761" s="3" t="str">
        <f>"00260853"</f>
        <v>00260853</v>
      </c>
    </row>
    <row r="5762" spans="1:2" x14ac:dyDescent="0.25">
      <c r="A5762" s="2">
        <v>5757</v>
      </c>
      <c r="B5762" s="3" t="str">
        <f>"00260866"</f>
        <v>00260866</v>
      </c>
    </row>
    <row r="5763" spans="1:2" x14ac:dyDescent="0.25">
      <c r="A5763" s="2">
        <v>5758</v>
      </c>
      <c r="B5763" s="3" t="str">
        <f>"00260891"</f>
        <v>00260891</v>
      </c>
    </row>
    <row r="5764" spans="1:2" x14ac:dyDescent="0.25">
      <c r="A5764" s="2">
        <v>5759</v>
      </c>
      <c r="B5764" s="3" t="str">
        <f>"00260925"</f>
        <v>00260925</v>
      </c>
    </row>
    <row r="5765" spans="1:2" x14ac:dyDescent="0.25">
      <c r="A5765" s="2">
        <v>5760</v>
      </c>
      <c r="B5765" s="3" t="str">
        <f>"00260939"</f>
        <v>00260939</v>
      </c>
    </row>
    <row r="5766" spans="1:2" x14ac:dyDescent="0.25">
      <c r="A5766" s="2">
        <v>5761</v>
      </c>
      <c r="B5766" s="3" t="str">
        <f>"00260982"</f>
        <v>00260982</v>
      </c>
    </row>
    <row r="5767" spans="1:2" x14ac:dyDescent="0.25">
      <c r="A5767" s="2">
        <v>5762</v>
      </c>
      <c r="B5767" s="3" t="str">
        <f>"00261006"</f>
        <v>00261006</v>
      </c>
    </row>
    <row r="5768" spans="1:2" x14ac:dyDescent="0.25">
      <c r="A5768" s="2">
        <v>5763</v>
      </c>
      <c r="B5768" s="3" t="str">
        <f>"00261013"</f>
        <v>00261013</v>
      </c>
    </row>
    <row r="5769" spans="1:2" x14ac:dyDescent="0.25">
      <c r="A5769" s="2">
        <v>5764</v>
      </c>
      <c r="B5769" s="3" t="str">
        <f>"00261049"</f>
        <v>00261049</v>
      </c>
    </row>
    <row r="5770" spans="1:2" x14ac:dyDescent="0.25">
      <c r="A5770" s="2">
        <v>5765</v>
      </c>
      <c r="B5770" s="3" t="str">
        <f>"00261083"</f>
        <v>00261083</v>
      </c>
    </row>
    <row r="5771" spans="1:2" x14ac:dyDescent="0.25">
      <c r="A5771" s="2">
        <v>5766</v>
      </c>
      <c r="B5771" s="3" t="str">
        <f>"00261097"</f>
        <v>00261097</v>
      </c>
    </row>
    <row r="5772" spans="1:2" x14ac:dyDescent="0.25">
      <c r="A5772" s="2">
        <v>5767</v>
      </c>
      <c r="B5772" s="3" t="str">
        <f>"00261100"</f>
        <v>00261100</v>
      </c>
    </row>
    <row r="5773" spans="1:2" x14ac:dyDescent="0.25">
      <c r="A5773" s="2">
        <v>5768</v>
      </c>
      <c r="B5773" s="3" t="str">
        <f>"00261117"</f>
        <v>00261117</v>
      </c>
    </row>
    <row r="5774" spans="1:2" x14ac:dyDescent="0.25">
      <c r="A5774" s="2">
        <v>5769</v>
      </c>
      <c r="B5774" s="3" t="str">
        <f>"00261126"</f>
        <v>00261126</v>
      </c>
    </row>
    <row r="5775" spans="1:2" x14ac:dyDescent="0.25">
      <c r="A5775" s="2">
        <v>5770</v>
      </c>
      <c r="B5775" s="3" t="str">
        <f>"00261193"</f>
        <v>00261193</v>
      </c>
    </row>
    <row r="5776" spans="1:2" x14ac:dyDescent="0.25">
      <c r="A5776" s="2">
        <v>5771</v>
      </c>
      <c r="B5776" s="3" t="str">
        <f>"00261202"</f>
        <v>00261202</v>
      </c>
    </row>
    <row r="5777" spans="1:2" x14ac:dyDescent="0.25">
      <c r="A5777" s="2">
        <v>5772</v>
      </c>
      <c r="B5777" s="3" t="str">
        <f>"00261223"</f>
        <v>00261223</v>
      </c>
    </row>
    <row r="5778" spans="1:2" x14ac:dyDescent="0.25">
      <c r="A5778" s="2">
        <v>5773</v>
      </c>
      <c r="B5778" s="3" t="str">
        <f>"00261228"</f>
        <v>00261228</v>
      </c>
    </row>
    <row r="5779" spans="1:2" x14ac:dyDescent="0.25">
      <c r="A5779" s="2">
        <v>5774</v>
      </c>
      <c r="B5779" s="3" t="str">
        <f>"00261248"</f>
        <v>00261248</v>
      </c>
    </row>
    <row r="5780" spans="1:2" x14ac:dyDescent="0.25">
      <c r="A5780" s="2">
        <v>5775</v>
      </c>
      <c r="B5780" s="3" t="str">
        <f>"00261258"</f>
        <v>00261258</v>
      </c>
    </row>
    <row r="5781" spans="1:2" x14ac:dyDescent="0.25">
      <c r="A5781" s="2">
        <v>5776</v>
      </c>
      <c r="B5781" s="3" t="str">
        <f>"00261411"</f>
        <v>00261411</v>
      </c>
    </row>
    <row r="5782" spans="1:2" x14ac:dyDescent="0.25">
      <c r="A5782" s="2">
        <v>5777</v>
      </c>
      <c r="B5782" s="3" t="str">
        <f>"00261463"</f>
        <v>00261463</v>
      </c>
    </row>
    <row r="5783" spans="1:2" x14ac:dyDescent="0.25">
      <c r="A5783" s="2">
        <v>5778</v>
      </c>
      <c r="B5783" s="3" t="str">
        <f>"00261500"</f>
        <v>00261500</v>
      </c>
    </row>
    <row r="5784" spans="1:2" x14ac:dyDescent="0.25">
      <c r="A5784" s="2">
        <v>5779</v>
      </c>
      <c r="B5784" s="3" t="str">
        <f>"00261508"</f>
        <v>00261508</v>
      </c>
    </row>
    <row r="5785" spans="1:2" x14ac:dyDescent="0.25">
      <c r="A5785" s="2">
        <v>5780</v>
      </c>
      <c r="B5785" s="3" t="str">
        <f>"00261510"</f>
        <v>00261510</v>
      </c>
    </row>
    <row r="5786" spans="1:2" x14ac:dyDescent="0.25">
      <c r="A5786" s="2">
        <v>5781</v>
      </c>
      <c r="B5786" s="3" t="str">
        <f>"00261552"</f>
        <v>00261552</v>
      </c>
    </row>
    <row r="5787" spans="1:2" x14ac:dyDescent="0.25">
      <c r="A5787" s="2">
        <v>5782</v>
      </c>
      <c r="B5787" s="3" t="str">
        <f>"00261558"</f>
        <v>00261558</v>
      </c>
    </row>
    <row r="5788" spans="1:2" x14ac:dyDescent="0.25">
      <c r="A5788" s="2">
        <v>5783</v>
      </c>
      <c r="B5788" s="3" t="str">
        <f>"00261565"</f>
        <v>00261565</v>
      </c>
    </row>
    <row r="5789" spans="1:2" x14ac:dyDescent="0.25">
      <c r="A5789" s="2">
        <v>5784</v>
      </c>
      <c r="B5789" s="3" t="str">
        <f>"00261581"</f>
        <v>00261581</v>
      </c>
    </row>
    <row r="5790" spans="1:2" x14ac:dyDescent="0.25">
      <c r="A5790" s="2">
        <v>5785</v>
      </c>
      <c r="B5790" s="3" t="str">
        <f>"00261588"</f>
        <v>00261588</v>
      </c>
    </row>
    <row r="5791" spans="1:2" x14ac:dyDescent="0.25">
      <c r="A5791" s="2">
        <v>5786</v>
      </c>
      <c r="B5791" s="3" t="str">
        <f>"00261644"</f>
        <v>00261644</v>
      </c>
    </row>
    <row r="5792" spans="1:2" x14ac:dyDescent="0.25">
      <c r="A5792" s="2">
        <v>5787</v>
      </c>
      <c r="B5792" s="3" t="str">
        <f>"00261693"</f>
        <v>00261693</v>
      </c>
    </row>
    <row r="5793" spans="1:2" x14ac:dyDescent="0.25">
      <c r="A5793" s="2">
        <v>5788</v>
      </c>
      <c r="B5793" s="3" t="str">
        <f>"00261764"</f>
        <v>00261764</v>
      </c>
    </row>
    <row r="5794" spans="1:2" x14ac:dyDescent="0.25">
      <c r="A5794" s="2">
        <v>5789</v>
      </c>
      <c r="B5794" s="3" t="str">
        <f>"00261788"</f>
        <v>00261788</v>
      </c>
    </row>
    <row r="5795" spans="1:2" x14ac:dyDescent="0.25">
      <c r="A5795" s="2">
        <v>5790</v>
      </c>
      <c r="B5795" s="3" t="str">
        <f>"00261804"</f>
        <v>00261804</v>
      </c>
    </row>
    <row r="5796" spans="1:2" x14ac:dyDescent="0.25">
      <c r="A5796" s="2">
        <v>5791</v>
      </c>
      <c r="B5796" s="3" t="str">
        <f>"00261831"</f>
        <v>00261831</v>
      </c>
    </row>
    <row r="5797" spans="1:2" x14ac:dyDescent="0.25">
      <c r="A5797" s="2">
        <v>5792</v>
      </c>
      <c r="B5797" s="3" t="str">
        <f>"00261919"</f>
        <v>00261919</v>
      </c>
    </row>
    <row r="5798" spans="1:2" x14ac:dyDescent="0.25">
      <c r="A5798" s="2">
        <v>5793</v>
      </c>
      <c r="B5798" s="3" t="str">
        <f>"00261937"</f>
        <v>00261937</v>
      </c>
    </row>
    <row r="5799" spans="1:2" x14ac:dyDescent="0.25">
      <c r="A5799" s="2">
        <v>5794</v>
      </c>
      <c r="B5799" s="3" t="str">
        <f>"00261995"</f>
        <v>00261995</v>
      </c>
    </row>
    <row r="5800" spans="1:2" x14ac:dyDescent="0.25">
      <c r="A5800" s="2">
        <v>5795</v>
      </c>
      <c r="B5800" s="3" t="str">
        <f>"00262014"</f>
        <v>00262014</v>
      </c>
    </row>
    <row r="5801" spans="1:2" x14ac:dyDescent="0.25">
      <c r="A5801" s="2">
        <v>5796</v>
      </c>
      <c r="B5801" s="3" t="str">
        <f>"00262019"</f>
        <v>00262019</v>
      </c>
    </row>
    <row r="5802" spans="1:2" x14ac:dyDescent="0.25">
      <c r="A5802" s="2">
        <v>5797</v>
      </c>
      <c r="B5802" s="3" t="str">
        <f>"00262211"</f>
        <v>00262211</v>
      </c>
    </row>
    <row r="5803" spans="1:2" x14ac:dyDescent="0.25">
      <c r="A5803" s="2">
        <v>5798</v>
      </c>
      <c r="B5803" s="3" t="str">
        <f>"00262217"</f>
        <v>00262217</v>
      </c>
    </row>
    <row r="5804" spans="1:2" x14ac:dyDescent="0.25">
      <c r="A5804" s="2">
        <v>5799</v>
      </c>
      <c r="B5804" s="3" t="str">
        <f>"00262310"</f>
        <v>00262310</v>
      </c>
    </row>
    <row r="5805" spans="1:2" x14ac:dyDescent="0.25">
      <c r="A5805" s="2">
        <v>5800</v>
      </c>
      <c r="B5805" s="3" t="str">
        <f>"00262417"</f>
        <v>00262417</v>
      </c>
    </row>
    <row r="5806" spans="1:2" x14ac:dyDescent="0.25">
      <c r="A5806" s="2">
        <v>5801</v>
      </c>
      <c r="B5806" s="3" t="str">
        <f>"00262499"</f>
        <v>00262499</v>
      </c>
    </row>
    <row r="5807" spans="1:2" x14ac:dyDescent="0.25">
      <c r="A5807" s="2">
        <v>5802</v>
      </c>
      <c r="B5807" s="3" t="str">
        <f>"00262585"</f>
        <v>00262585</v>
      </c>
    </row>
    <row r="5808" spans="1:2" x14ac:dyDescent="0.25">
      <c r="A5808" s="2">
        <v>5803</v>
      </c>
      <c r="B5808" s="3" t="str">
        <f>"00262591"</f>
        <v>00262591</v>
      </c>
    </row>
    <row r="5809" spans="1:2" x14ac:dyDescent="0.25">
      <c r="A5809" s="2">
        <v>5804</v>
      </c>
      <c r="B5809" s="3" t="str">
        <f>"00262601"</f>
        <v>00262601</v>
      </c>
    </row>
    <row r="5810" spans="1:2" x14ac:dyDescent="0.25">
      <c r="A5810" s="2">
        <v>5805</v>
      </c>
      <c r="B5810" s="3" t="str">
        <f>"00262636"</f>
        <v>00262636</v>
      </c>
    </row>
    <row r="5811" spans="1:2" x14ac:dyDescent="0.25">
      <c r="A5811" s="2">
        <v>5806</v>
      </c>
      <c r="B5811" s="3" t="str">
        <f>"00262641"</f>
        <v>00262641</v>
      </c>
    </row>
    <row r="5812" spans="1:2" x14ac:dyDescent="0.25">
      <c r="A5812" s="2">
        <v>5807</v>
      </c>
      <c r="B5812" s="3" t="str">
        <f>"00262645"</f>
        <v>00262645</v>
      </c>
    </row>
    <row r="5813" spans="1:2" x14ac:dyDescent="0.25">
      <c r="A5813" s="2">
        <v>5808</v>
      </c>
      <c r="B5813" s="3" t="str">
        <f>"00262656"</f>
        <v>00262656</v>
      </c>
    </row>
    <row r="5814" spans="1:2" x14ac:dyDescent="0.25">
      <c r="A5814" s="2">
        <v>5809</v>
      </c>
      <c r="B5814" s="3" t="str">
        <f>"00262681"</f>
        <v>00262681</v>
      </c>
    </row>
    <row r="5815" spans="1:2" x14ac:dyDescent="0.25">
      <c r="A5815" s="2">
        <v>5810</v>
      </c>
      <c r="B5815" s="3" t="str">
        <f>"00262732"</f>
        <v>00262732</v>
      </c>
    </row>
    <row r="5816" spans="1:2" x14ac:dyDescent="0.25">
      <c r="A5816" s="2">
        <v>5811</v>
      </c>
      <c r="B5816" s="3" t="str">
        <f>"00262739"</f>
        <v>00262739</v>
      </c>
    </row>
    <row r="5817" spans="1:2" x14ac:dyDescent="0.25">
      <c r="A5817" s="2">
        <v>5812</v>
      </c>
      <c r="B5817" s="3" t="str">
        <f>"00262766"</f>
        <v>00262766</v>
      </c>
    </row>
    <row r="5818" spans="1:2" x14ac:dyDescent="0.25">
      <c r="A5818" s="2">
        <v>5813</v>
      </c>
      <c r="B5818" s="3" t="str">
        <f>"00262774"</f>
        <v>00262774</v>
      </c>
    </row>
    <row r="5819" spans="1:2" x14ac:dyDescent="0.25">
      <c r="A5819" s="2">
        <v>5814</v>
      </c>
      <c r="B5819" s="3" t="str">
        <f>"00262852"</f>
        <v>00262852</v>
      </c>
    </row>
    <row r="5820" spans="1:2" x14ac:dyDescent="0.25">
      <c r="A5820" s="2">
        <v>5815</v>
      </c>
      <c r="B5820" s="3" t="str">
        <f>"00262927"</f>
        <v>00262927</v>
      </c>
    </row>
    <row r="5821" spans="1:2" x14ac:dyDescent="0.25">
      <c r="A5821" s="2">
        <v>5816</v>
      </c>
      <c r="B5821" s="3" t="str">
        <f>"00262932"</f>
        <v>00262932</v>
      </c>
    </row>
    <row r="5822" spans="1:2" x14ac:dyDescent="0.25">
      <c r="A5822" s="2">
        <v>5817</v>
      </c>
      <c r="B5822" s="3" t="str">
        <f>"00262963"</f>
        <v>00262963</v>
      </c>
    </row>
    <row r="5823" spans="1:2" x14ac:dyDescent="0.25">
      <c r="A5823" s="2">
        <v>5818</v>
      </c>
      <c r="B5823" s="3" t="str">
        <f>"00262968"</f>
        <v>00262968</v>
      </c>
    </row>
    <row r="5824" spans="1:2" x14ac:dyDescent="0.25">
      <c r="A5824" s="2">
        <v>5819</v>
      </c>
      <c r="B5824" s="3" t="str">
        <f>"00263034"</f>
        <v>00263034</v>
      </c>
    </row>
    <row r="5825" spans="1:2" x14ac:dyDescent="0.25">
      <c r="A5825" s="2">
        <v>5820</v>
      </c>
      <c r="B5825" s="3" t="str">
        <f>"00263073"</f>
        <v>00263073</v>
      </c>
    </row>
    <row r="5826" spans="1:2" x14ac:dyDescent="0.25">
      <c r="A5826" s="2">
        <v>5821</v>
      </c>
      <c r="B5826" s="3" t="str">
        <f>"00263208"</f>
        <v>00263208</v>
      </c>
    </row>
    <row r="5827" spans="1:2" x14ac:dyDescent="0.25">
      <c r="A5827" s="2">
        <v>5822</v>
      </c>
      <c r="B5827" s="3" t="str">
        <f>"00263214"</f>
        <v>00263214</v>
      </c>
    </row>
    <row r="5828" spans="1:2" x14ac:dyDescent="0.25">
      <c r="A5828" s="2">
        <v>5823</v>
      </c>
      <c r="B5828" s="3" t="str">
        <f>"00263305"</f>
        <v>00263305</v>
      </c>
    </row>
    <row r="5829" spans="1:2" x14ac:dyDescent="0.25">
      <c r="A5829" s="2">
        <v>5824</v>
      </c>
      <c r="B5829" s="3" t="str">
        <f>"00263322"</f>
        <v>00263322</v>
      </c>
    </row>
    <row r="5830" spans="1:2" x14ac:dyDescent="0.25">
      <c r="A5830" s="2">
        <v>5825</v>
      </c>
      <c r="B5830" s="3" t="str">
        <f>"00263336"</f>
        <v>00263336</v>
      </c>
    </row>
    <row r="5831" spans="1:2" x14ac:dyDescent="0.25">
      <c r="A5831" s="2">
        <v>5826</v>
      </c>
      <c r="B5831" s="3" t="str">
        <f>"00263363"</f>
        <v>00263363</v>
      </c>
    </row>
    <row r="5832" spans="1:2" x14ac:dyDescent="0.25">
      <c r="A5832" s="2">
        <v>5827</v>
      </c>
      <c r="B5832" s="3" t="str">
        <f>"00263370"</f>
        <v>00263370</v>
      </c>
    </row>
    <row r="5833" spans="1:2" x14ac:dyDescent="0.25">
      <c r="A5833" s="2">
        <v>5828</v>
      </c>
      <c r="B5833" s="3" t="str">
        <f>"00263410"</f>
        <v>00263410</v>
      </c>
    </row>
    <row r="5834" spans="1:2" x14ac:dyDescent="0.25">
      <c r="A5834" s="2">
        <v>5829</v>
      </c>
      <c r="B5834" s="3" t="str">
        <f>"00263432"</f>
        <v>00263432</v>
      </c>
    </row>
    <row r="5835" spans="1:2" x14ac:dyDescent="0.25">
      <c r="A5835" s="2">
        <v>5830</v>
      </c>
      <c r="B5835" s="3" t="str">
        <f>"00263442"</f>
        <v>00263442</v>
      </c>
    </row>
    <row r="5836" spans="1:2" x14ac:dyDescent="0.25">
      <c r="A5836" s="2">
        <v>5831</v>
      </c>
      <c r="B5836" s="3" t="str">
        <f>"00263454"</f>
        <v>00263454</v>
      </c>
    </row>
    <row r="5837" spans="1:2" x14ac:dyDescent="0.25">
      <c r="A5837" s="2">
        <v>5832</v>
      </c>
      <c r="B5837" s="3" t="str">
        <f>"00263479"</f>
        <v>00263479</v>
      </c>
    </row>
    <row r="5838" spans="1:2" x14ac:dyDescent="0.25">
      <c r="A5838" s="2">
        <v>5833</v>
      </c>
      <c r="B5838" s="3" t="str">
        <f>"00263490"</f>
        <v>00263490</v>
      </c>
    </row>
    <row r="5839" spans="1:2" x14ac:dyDescent="0.25">
      <c r="A5839" s="2">
        <v>5834</v>
      </c>
      <c r="B5839" s="3" t="str">
        <f>"00263494"</f>
        <v>00263494</v>
      </c>
    </row>
    <row r="5840" spans="1:2" x14ac:dyDescent="0.25">
      <c r="A5840" s="2">
        <v>5835</v>
      </c>
      <c r="B5840" s="3" t="str">
        <f>"00263499"</f>
        <v>00263499</v>
      </c>
    </row>
    <row r="5841" spans="1:2" x14ac:dyDescent="0.25">
      <c r="A5841" s="2">
        <v>5836</v>
      </c>
      <c r="B5841" s="3" t="str">
        <f>"00263556"</f>
        <v>00263556</v>
      </c>
    </row>
    <row r="5842" spans="1:2" x14ac:dyDescent="0.25">
      <c r="A5842" s="2">
        <v>5837</v>
      </c>
      <c r="B5842" s="3" t="str">
        <f>"00263564"</f>
        <v>00263564</v>
      </c>
    </row>
    <row r="5843" spans="1:2" x14ac:dyDescent="0.25">
      <c r="A5843" s="2">
        <v>5838</v>
      </c>
      <c r="B5843" s="3" t="str">
        <f>"00263569"</f>
        <v>00263569</v>
      </c>
    </row>
    <row r="5844" spans="1:2" x14ac:dyDescent="0.25">
      <c r="A5844" s="2">
        <v>5839</v>
      </c>
      <c r="B5844" s="3" t="str">
        <f>"00263570"</f>
        <v>00263570</v>
      </c>
    </row>
    <row r="5845" spans="1:2" x14ac:dyDescent="0.25">
      <c r="A5845" s="2">
        <v>5840</v>
      </c>
      <c r="B5845" s="3" t="str">
        <f>"00263588"</f>
        <v>00263588</v>
      </c>
    </row>
    <row r="5846" spans="1:2" x14ac:dyDescent="0.25">
      <c r="A5846" s="2">
        <v>5841</v>
      </c>
      <c r="B5846" s="3" t="str">
        <f>"00263609"</f>
        <v>00263609</v>
      </c>
    </row>
    <row r="5847" spans="1:2" x14ac:dyDescent="0.25">
      <c r="A5847" s="2">
        <v>5842</v>
      </c>
      <c r="B5847" s="3" t="str">
        <f>"00263681"</f>
        <v>00263681</v>
      </c>
    </row>
    <row r="5848" spans="1:2" x14ac:dyDescent="0.25">
      <c r="A5848" s="2">
        <v>5843</v>
      </c>
      <c r="B5848" s="3" t="str">
        <f>"00263702"</f>
        <v>00263702</v>
      </c>
    </row>
    <row r="5849" spans="1:2" x14ac:dyDescent="0.25">
      <c r="A5849" s="2">
        <v>5844</v>
      </c>
      <c r="B5849" s="3" t="str">
        <f>"00263709"</f>
        <v>00263709</v>
      </c>
    </row>
    <row r="5850" spans="1:2" x14ac:dyDescent="0.25">
      <c r="A5850" s="2">
        <v>5845</v>
      </c>
      <c r="B5850" s="3" t="str">
        <f>"00263730"</f>
        <v>00263730</v>
      </c>
    </row>
    <row r="5851" spans="1:2" x14ac:dyDescent="0.25">
      <c r="A5851" s="2">
        <v>5846</v>
      </c>
      <c r="B5851" s="3" t="str">
        <f>"00263739"</f>
        <v>00263739</v>
      </c>
    </row>
    <row r="5852" spans="1:2" x14ac:dyDescent="0.25">
      <c r="A5852" s="2">
        <v>5847</v>
      </c>
      <c r="B5852" s="3" t="str">
        <f>"00263759"</f>
        <v>00263759</v>
      </c>
    </row>
    <row r="5853" spans="1:2" x14ac:dyDescent="0.25">
      <c r="A5853" s="2">
        <v>5848</v>
      </c>
      <c r="B5853" s="3" t="str">
        <f>"00263763"</f>
        <v>00263763</v>
      </c>
    </row>
    <row r="5854" spans="1:2" x14ac:dyDescent="0.25">
      <c r="A5854" s="2">
        <v>5849</v>
      </c>
      <c r="B5854" s="3" t="str">
        <f>"00263764"</f>
        <v>00263764</v>
      </c>
    </row>
    <row r="5855" spans="1:2" x14ac:dyDescent="0.25">
      <c r="A5855" s="2">
        <v>5850</v>
      </c>
      <c r="B5855" s="3" t="str">
        <f>"00263796"</f>
        <v>00263796</v>
      </c>
    </row>
    <row r="5856" spans="1:2" x14ac:dyDescent="0.25">
      <c r="A5856" s="2">
        <v>5851</v>
      </c>
      <c r="B5856" s="3" t="str">
        <f>"00263803"</f>
        <v>00263803</v>
      </c>
    </row>
    <row r="5857" spans="1:2" x14ac:dyDescent="0.25">
      <c r="A5857" s="2">
        <v>5852</v>
      </c>
      <c r="B5857" s="3" t="str">
        <f>"00263811"</f>
        <v>00263811</v>
      </c>
    </row>
    <row r="5858" spans="1:2" x14ac:dyDescent="0.25">
      <c r="A5858" s="2">
        <v>5853</v>
      </c>
      <c r="B5858" s="3" t="str">
        <f>"00263844"</f>
        <v>00263844</v>
      </c>
    </row>
    <row r="5859" spans="1:2" x14ac:dyDescent="0.25">
      <c r="A5859" s="2">
        <v>5854</v>
      </c>
      <c r="B5859" s="3" t="str">
        <f>"00263846"</f>
        <v>00263846</v>
      </c>
    </row>
    <row r="5860" spans="1:2" x14ac:dyDescent="0.25">
      <c r="A5860" s="2">
        <v>5855</v>
      </c>
      <c r="B5860" s="3" t="str">
        <f>"00263861"</f>
        <v>00263861</v>
      </c>
    </row>
    <row r="5861" spans="1:2" x14ac:dyDescent="0.25">
      <c r="A5861" s="2">
        <v>5856</v>
      </c>
      <c r="B5861" s="3" t="str">
        <f>"00263874"</f>
        <v>00263874</v>
      </c>
    </row>
    <row r="5862" spans="1:2" x14ac:dyDescent="0.25">
      <c r="A5862" s="2">
        <v>5857</v>
      </c>
      <c r="B5862" s="3" t="str">
        <f>"00263876"</f>
        <v>00263876</v>
      </c>
    </row>
    <row r="5863" spans="1:2" x14ac:dyDescent="0.25">
      <c r="A5863" s="2">
        <v>5858</v>
      </c>
      <c r="B5863" s="3" t="str">
        <f>"00263880"</f>
        <v>00263880</v>
      </c>
    </row>
    <row r="5864" spans="1:2" x14ac:dyDescent="0.25">
      <c r="A5864" s="2">
        <v>5859</v>
      </c>
      <c r="B5864" s="3" t="str">
        <f>"00263889"</f>
        <v>00263889</v>
      </c>
    </row>
    <row r="5865" spans="1:2" x14ac:dyDescent="0.25">
      <c r="A5865" s="2">
        <v>5860</v>
      </c>
      <c r="B5865" s="3" t="str">
        <f>"00263920"</f>
        <v>00263920</v>
      </c>
    </row>
    <row r="5866" spans="1:2" x14ac:dyDescent="0.25">
      <c r="A5866" s="2">
        <v>5861</v>
      </c>
      <c r="B5866" s="3" t="str">
        <f>"00263922"</f>
        <v>00263922</v>
      </c>
    </row>
    <row r="5867" spans="1:2" x14ac:dyDescent="0.25">
      <c r="A5867" s="2">
        <v>5862</v>
      </c>
      <c r="B5867" s="3" t="str">
        <f>"00263935"</f>
        <v>00263935</v>
      </c>
    </row>
    <row r="5868" spans="1:2" x14ac:dyDescent="0.25">
      <c r="A5868" s="2">
        <v>5863</v>
      </c>
      <c r="B5868" s="3" t="str">
        <f>"00263948"</f>
        <v>00263948</v>
      </c>
    </row>
    <row r="5869" spans="1:2" x14ac:dyDescent="0.25">
      <c r="A5869" s="2">
        <v>5864</v>
      </c>
      <c r="B5869" s="3" t="str">
        <f>"00263969"</f>
        <v>00263969</v>
      </c>
    </row>
    <row r="5870" spans="1:2" x14ac:dyDescent="0.25">
      <c r="A5870" s="2">
        <v>5865</v>
      </c>
      <c r="B5870" s="3" t="str">
        <f>"00264003"</f>
        <v>00264003</v>
      </c>
    </row>
    <row r="5871" spans="1:2" x14ac:dyDescent="0.25">
      <c r="A5871" s="2">
        <v>5866</v>
      </c>
      <c r="B5871" s="3" t="str">
        <f>"00264080"</f>
        <v>00264080</v>
      </c>
    </row>
    <row r="5872" spans="1:2" x14ac:dyDescent="0.25">
      <c r="A5872" s="2">
        <v>5867</v>
      </c>
      <c r="B5872" s="3" t="str">
        <f>"00264091"</f>
        <v>00264091</v>
      </c>
    </row>
    <row r="5873" spans="1:2" x14ac:dyDescent="0.25">
      <c r="A5873" s="2">
        <v>5868</v>
      </c>
      <c r="B5873" s="3" t="str">
        <f>"00264095"</f>
        <v>00264095</v>
      </c>
    </row>
    <row r="5874" spans="1:2" x14ac:dyDescent="0.25">
      <c r="A5874" s="2">
        <v>5869</v>
      </c>
      <c r="B5874" s="3" t="str">
        <f>"00264152"</f>
        <v>00264152</v>
      </c>
    </row>
    <row r="5875" spans="1:2" x14ac:dyDescent="0.25">
      <c r="A5875" s="2">
        <v>5870</v>
      </c>
      <c r="B5875" s="3" t="str">
        <f>"00264164"</f>
        <v>00264164</v>
      </c>
    </row>
    <row r="5876" spans="1:2" x14ac:dyDescent="0.25">
      <c r="A5876" s="2">
        <v>5871</v>
      </c>
      <c r="B5876" s="3" t="str">
        <f>"00264253"</f>
        <v>00264253</v>
      </c>
    </row>
    <row r="5877" spans="1:2" x14ac:dyDescent="0.25">
      <c r="A5877" s="2">
        <v>5872</v>
      </c>
      <c r="B5877" s="3" t="str">
        <f>"00264280"</f>
        <v>00264280</v>
      </c>
    </row>
    <row r="5878" spans="1:2" x14ac:dyDescent="0.25">
      <c r="A5878" s="2">
        <v>5873</v>
      </c>
      <c r="B5878" s="3" t="str">
        <f>"00264292"</f>
        <v>00264292</v>
      </c>
    </row>
    <row r="5879" spans="1:2" x14ac:dyDescent="0.25">
      <c r="A5879" s="2">
        <v>5874</v>
      </c>
      <c r="B5879" s="3" t="str">
        <f>"00264321"</f>
        <v>00264321</v>
      </c>
    </row>
    <row r="5880" spans="1:2" x14ac:dyDescent="0.25">
      <c r="A5880" s="2">
        <v>5875</v>
      </c>
      <c r="B5880" s="3" t="str">
        <f>"00264328"</f>
        <v>00264328</v>
      </c>
    </row>
    <row r="5881" spans="1:2" x14ac:dyDescent="0.25">
      <c r="A5881" s="2">
        <v>5876</v>
      </c>
      <c r="B5881" s="3" t="str">
        <f>"00264329"</f>
        <v>00264329</v>
      </c>
    </row>
    <row r="5882" spans="1:2" x14ac:dyDescent="0.25">
      <c r="A5882" s="2">
        <v>5877</v>
      </c>
      <c r="B5882" s="3" t="str">
        <f>"00264353"</f>
        <v>00264353</v>
      </c>
    </row>
    <row r="5883" spans="1:2" x14ac:dyDescent="0.25">
      <c r="A5883" s="2">
        <v>5878</v>
      </c>
      <c r="B5883" s="3" t="str">
        <f>"00264366"</f>
        <v>00264366</v>
      </c>
    </row>
    <row r="5884" spans="1:2" x14ac:dyDescent="0.25">
      <c r="A5884" s="2">
        <v>5879</v>
      </c>
      <c r="B5884" s="3" t="str">
        <f>"00264418"</f>
        <v>00264418</v>
      </c>
    </row>
    <row r="5885" spans="1:2" x14ac:dyDescent="0.25">
      <c r="A5885" s="2">
        <v>5880</v>
      </c>
      <c r="B5885" s="3" t="str">
        <f>"00264428"</f>
        <v>00264428</v>
      </c>
    </row>
    <row r="5886" spans="1:2" x14ac:dyDescent="0.25">
      <c r="A5886" s="2">
        <v>5881</v>
      </c>
      <c r="B5886" s="3" t="str">
        <f>"00264439"</f>
        <v>00264439</v>
      </c>
    </row>
    <row r="5887" spans="1:2" x14ac:dyDescent="0.25">
      <c r="A5887" s="2">
        <v>5882</v>
      </c>
      <c r="B5887" s="3" t="str">
        <f>"00264447"</f>
        <v>00264447</v>
      </c>
    </row>
    <row r="5888" spans="1:2" x14ac:dyDescent="0.25">
      <c r="A5888" s="2">
        <v>5883</v>
      </c>
      <c r="B5888" s="3" t="str">
        <f>"00264470"</f>
        <v>00264470</v>
      </c>
    </row>
    <row r="5889" spans="1:2" x14ac:dyDescent="0.25">
      <c r="A5889" s="2">
        <v>5884</v>
      </c>
      <c r="B5889" s="3" t="str">
        <f>"00264473"</f>
        <v>00264473</v>
      </c>
    </row>
    <row r="5890" spans="1:2" x14ac:dyDescent="0.25">
      <c r="A5890" s="2">
        <v>5885</v>
      </c>
      <c r="B5890" s="3" t="str">
        <f>"00264537"</f>
        <v>00264537</v>
      </c>
    </row>
    <row r="5891" spans="1:2" x14ac:dyDescent="0.25">
      <c r="A5891" s="2">
        <v>5886</v>
      </c>
      <c r="B5891" s="3" t="str">
        <f>"00264562"</f>
        <v>00264562</v>
      </c>
    </row>
    <row r="5892" spans="1:2" x14ac:dyDescent="0.25">
      <c r="A5892" s="2">
        <v>5887</v>
      </c>
      <c r="B5892" s="3" t="str">
        <f>"00264575"</f>
        <v>00264575</v>
      </c>
    </row>
    <row r="5893" spans="1:2" x14ac:dyDescent="0.25">
      <c r="A5893" s="2">
        <v>5888</v>
      </c>
      <c r="B5893" s="3" t="str">
        <f>"00264601"</f>
        <v>00264601</v>
      </c>
    </row>
    <row r="5894" spans="1:2" x14ac:dyDescent="0.25">
      <c r="A5894" s="2">
        <v>5889</v>
      </c>
      <c r="B5894" s="3" t="str">
        <f>"00264643"</f>
        <v>00264643</v>
      </c>
    </row>
    <row r="5895" spans="1:2" x14ac:dyDescent="0.25">
      <c r="A5895" s="2">
        <v>5890</v>
      </c>
      <c r="B5895" s="3" t="str">
        <f>"00264663"</f>
        <v>00264663</v>
      </c>
    </row>
    <row r="5896" spans="1:2" x14ac:dyDescent="0.25">
      <c r="A5896" s="2">
        <v>5891</v>
      </c>
      <c r="B5896" s="3" t="str">
        <f>"00264672"</f>
        <v>00264672</v>
      </c>
    </row>
    <row r="5897" spans="1:2" x14ac:dyDescent="0.25">
      <c r="A5897" s="2">
        <v>5892</v>
      </c>
      <c r="B5897" s="3" t="str">
        <f>"00264691"</f>
        <v>00264691</v>
      </c>
    </row>
    <row r="5898" spans="1:2" x14ac:dyDescent="0.25">
      <c r="A5898" s="2">
        <v>5893</v>
      </c>
      <c r="B5898" s="3" t="str">
        <f>"00264725"</f>
        <v>00264725</v>
      </c>
    </row>
    <row r="5899" spans="1:2" x14ac:dyDescent="0.25">
      <c r="A5899" s="2">
        <v>5894</v>
      </c>
      <c r="B5899" s="3" t="str">
        <f>"00264852"</f>
        <v>00264852</v>
      </c>
    </row>
    <row r="5900" spans="1:2" x14ac:dyDescent="0.25">
      <c r="A5900" s="2">
        <v>5895</v>
      </c>
      <c r="B5900" s="3" t="str">
        <f>"00264914"</f>
        <v>00264914</v>
      </c>
    </row>
    <row r="5901" spans="1:2" x14ac:dyDescent="0.25">
      <c r="A5901" s="2">
        <v>5896</v>
      </c>
      <c r="B5901" s="3" t="str">
        <f>"00264949"</f>
        <v>00264949</v>
      </c>
    </row>
    <row r="5902" spans="1:2" x14ac:dyDescent="0.25">
      <c r="A5902" s="2">
        <v>5897</v>
      </c>
      <c r="B5902" s="3" t="str">
        <f>"00264982"</f>
        <v>00264982</v>
      </c>
    </row>
    <row r="5903" spans="1:2" x14ac:dyDescent="0.25">
      <c r="A5903" s="2">
        <v>5898</v>
      </c>
      <c r="B5903" s="3" t="str">
        <f>"00264990"</f>
        <v>00264990</v>
      </c>
    </row>
    <row r="5904" spans="1:2" x14ac:dyDescent="0.25">
      <c r="A5904" s="2">
        <v>5899</v>
      </c>
      <c r="B5904" s="3" t="str">
        <f>"00265063"</f>
        <v>00265063</v>
      </c>
    </row>
    <row r="5905" spans="1:2" x14ac:dyDescent="0.25">
      <c r="A5905" s="2">
        <v>5900</v>
      </c>
      <c r="B5905" s="3" t="str">
        <f>"00265081"</f>
        <v>00265081</v>
      </c>
    </row>
    <row r="5906" spans="1:2" x14ac:dyDescent="0.25">
      <c r="A5906" s="2">
        <v>5901</v>
      </c>
      <c r="B5906" s="3" t="str">
        <f>"00265107"</f>
        <v>00265107</v>
      </c>
    </row>
    <row r="5907" spans="1:2" x14ac:dyDescent="0.25">
      <c r="A5907" s="2">
        <v>5902</v>
      </c>
      <c r="B5907" s="3" t="str">
        <f>"00265111"</f>
        <v>00265111</v>
      </c>
    </row>
    <row r="5908" spans="1:2" x14ac:dyDescent="0.25">
      <c r="A5908" s="2">
        <v>5903</v>
      </c>
      <c r="B5908" s="3" t="str">
        <f>"00265112"</f>
        <v>00265112</v>
      </c>
    </row>
    <row r="5909" spans="1:2" x14ac:dyDescent="0.25">
      <c r="A5909" s="2">
        <v>5904</v>
      </c>
      <c r="B5909" s="3" t="str">
        <f>"00265133"</f>
        <v>00265133</v>
      </c>
    </row>
    <row r="5910" spans="1:2" x14ac:dyDescent="0.25">
      <c r="A5910" s="2">
        <v>5905</v>
      </c>
      <c r="B5910" s="3" t="str">
        <f>"00265177"</f>
        <v>00265177</v>
      </c>
    </row>
    <row r="5911" spans="1:2" x14ac:dyDescent="0.25">
      <c r="A5911" s="2">
        <v>5906</v>
      </c>
      <c r="B5911" s="3" t="str">
        <f>"00265199"</f>
        <v>00265199</v>
      </c>
    </row>
    <row r="5912" spans="1:2" x14ac:dyDescent="0.25">
      <c r="A5912" s="2">
        <v>5907</v>
      </c>
      <c r="B5912" s="3" t="str">
        <f>"00265218"</f>
        <v>00265218</v>
      </c>
    </row>
    <row r="5913" spans="1:2" x14ac:dyDescent="0.25">
      <c r="A5913" s="2">
        <v>5908</v>
      </c>
      <c r="B5913" s="3" t="str">
        <f>"00265263"</f>
        <v>00265263</v>
      </c>
    </row>
    <row r="5914" spans="1:2" x14ac:dyDescent="0.25">
      <c r="A5914" s="2">
        <v>5909</v>
      </c>
      <c r="B5914" s="3" t="str">
        <f>"00265331"</f>
        <v>00265331</v>
      </c>
    </row>
    <row r="5915" spans="1:2" x14ac:dyDescent="0.25">
      <c r="A5915" s="2">
        <v>5910</v>
      </c>
      <c r="B5915" s="3" t="str">
        <f>"00265334"</f>
        <v>00265334</v>
      </c>
    </row>
    <row r="5916" spans="1:2" x14ac:dyDescent="0.25">
      <c r="A5916" s="2">
        <v>5911</v>
      </c>
      <c r="B5916" s="3" t="str">
        <f>"00265339"</f>
        <v>00265339</v>
      </c>
    </row>
    <row r="5917" spans="1:2" x14ac:dyDescent="0.25">
      <c r="A5917" s="2">
        <v>5912</v>
      </c>
      <c r="B5917" s="3" t="str">
        <f>"00265346"</f>
        <v>00265346</v>
      </c>
    </row>
    <row r="5918" spans="1:2" x14ac:dyDescent="0.25">
      <c r="A5918" s="2">
        <v>5913</v>
      </c>
      <c r="B5918" s="3" t="str">
        <f>"00265367"</f>
        <v>00265367</v>
      </c>
    </row>
    <row r="5919" spans="1:2" x14ac:dyDescent="0.25">
      <c r="A5919" s="2">
        <v>5914</v>
      </c>
      <c r="B5919" s="3" t="str">
        <f>"00265388"</f>
        <v>00265388</v>
      </c>
    </row>
    <row r="5920" spans="1:2" x14ac:dyDescent="0.25">
      <c r="A5920" s="2">
        <v>5915</v>
      </c>
      <c r="B5920" s="3" t="str">
        <f>"00265425"</f>
        <v>00265425</v>
      </c>
    </row>
    <row r="5921" spans="1:2" x14ac:dyDescent="0.25">
      <c r="A5921" s="2">
        <v>5916</v>
      </c>
      <c r="B5921" s="3" t="str">
        <f>"00265466"</f>
        <v>00265466</v>
      </c>
    </row>
    <row r="5922" spans="1:2" x14ac:dyDescent="0.25">
      <c r="A5922" s="2">
        <v>5917</v>
      </c>
      <c r="B5922" s="3" t="str">
        <f>"00265512"</f>
        <v>00265512</v>
      </c>
    </row>
    <row r="5923" spans="1:2" x14ac:dyDescent="0.25">
      <c r="A5923" s="2">
        <v>5918</v>
      </c>
      <c r="B5923" s="3" t="str">
        <f>"00265583"</f>
        <v>00265583</v>
      </c>
    </row>
    <row r="5924" spans="1:2" x14ac:dyDescent="0.25">
      <c r="A5924" s="2">
        <v>5919</v>
      </c>
      <c r="B5924" s="3" t="str">
        <f>"00265635"</f>
        <v>00265635</v>
      </c>
    </row>
    <row r="5925" spans="1:2" x14ac:dyDescent="0.25">
      <c r="A5925" s="2">
        <v>5920</v>
      </c>
      <c r="B5925" s="3" t="str">
        <f>"00265663"</f>
        <v>00265663</v>
      </c>
    </row>
    <row r="5926" spans="1:2" x14ac:dyDescent="0.25">
      <c r="A5926" s="2">
        <v>5921</v>
      </c>
      <c r="B5926" s="3" t="str">
        <f>"00265703"</f>
        <v>00265703</v>
      </c>
    </row>
    <row r="5927" spans="1:2" x14ac:dyDescent="0.25">
      <c r="A5927" s="2">
        <v>5922</v>
      </c>
      <c r="B5927" s="3" t="str">
        <f>"00265719"</f>
        <v>00265719</v>
      </c>
    </row>
    <row r="5928" spans="1:2" x14ac:dyDescent="0.25">
      <c r="A5928" s="2">
        <v>5923</v>
      </c>
      <c r="B5928" s="3" t="str">
        <f>"00265722"</f>
        <v>00265722</v>
      </c>
    </row>
    <row r="5929" spans="1:2" x14ac:dyDescent="0.25">
      <c r="A5929" s="2">
        <v>5924</v>
      </c>
      <c r="B5929" s="3" t="str">
        <f>"00265723"</f>
        <v>00265723</v>
      </c>
    </row>
    <row r="5930" spans="1:2" x14ac:dyDescent="0.25">
      <c r="A5930" s="2">
        <v>5925</v>
      </c>
      <c r="B5930" s="3" t="str">
        <f>"00265728"</f>
        <v>00265728</v>
      </c>
    </row>
    <row r="5931" spans="1:2" x14ac:dyDescent="0.25">
      <c r="A5931" s="2">
        <v>5926</v>
      </c>
      <c r="B5931" s="3" t="str">
        <f>"00265770"</f>
        <v>00265770</v>
      </c>
    </row>
    <row r="5932" spans="1:2" x14ac:dyDescent="0.25">
      <c r="A5932" s="2">
        <v>5927</v>
      </c>
      <c r="B5932" s="3" t="str">
        <f>"00265782"</f>
        <v>00265782</v>
      </c>
    </row>
    <row r="5933" spans="1:2" x14ac:dyDescent="0.25">
      <c r="A5933" s="2">
        <v>5928</v>
      </c>
      <c r="B5933" s="3" t="str">
        <f>"00265822"</f>
        <v>00265822</v>
      </c>
    </row>
    <row r="5934" spans="1:2" x14ac:dyDescent="0.25">
      <c r="A5934" s="2">
        <v>5929</v>
      </c>
      <c r="B5934" s="3" t="str">
        <f>"00265879"</f>
        <v>00265879</v>
      </c>
    </row>
    <row r="5935" spans="1:2" x14ac:dyDescent="0.25">
      <c r="A5935" s="2">
        <v>5930</v>
      </c>
      <c r="B5935" s="3" t="str">
        <f>"00265893"</f>
        <v>00265893</v>
      </c>
    </row>
    <row r="5936" spans="1:2" x14ac:dyDescent="0.25">
      <c r="A5936" s="2">
        <v>5931</v>
      </c>
      <c r="B5936" s="3" t="str">
        <f>"00265905"</f>
        <v>00265905</v>
      </c>
    </row>
    <row r="5937" spans="1:2" x14ac:dyDescent="0.25">
      <c r="A5937" s="2">
        <v>5932</v>
      </c>
      <c r="B5937" s="3" t="str">
        <f>"00265918"</f>
        <v>00265918</v>
      </c>
    </row>
    <row r="5938" spans="1:2" x14ac:dyDescent="0.25">
      <c r="A5938" s="2">
        <v>5933</v>
      </c>
      <c r="B5938" s="3" t="str">
        <f>"00265935"</f>
        <v>00265935</v>
      </c>
    </row>
    <row r="5939" spans="1:2" x14ac:dyDescent="0.25">
      <c r="A5939" s="2">
        <v>5934</v>
      </c>
      <c r="B5939" s="3" t="str">
        <f>"00265961"</f>
        <v>00265961</v>
      </c>
    </row>
    <row r="5940" spans="1:2" x14ac:dyDescent="0.25">
      <c r="A5940" s="2">
        <v>5935</v>
      </c>
      <c r="B5940" s="3" t="str">
        <f>"00265964"</f>
        <v>00265964</v>
      </c>
    </row>
    <row r="5941" spans="1:2" x14ac:dyDescent="0.25">
      <c r="A5941" s="2">
        <v>5936</v>
      </c>
      <c r="B5941" s="3" t="str">
        <f>"00265970"</f>
        <v>00265970</v>
      </c>
    </row>
    <row r="5942" spans="1:2" x14ac:dyDescent="0.25">
      <c r="A5942" s="2">
        <v>5937</v>
      </c>
      <c r="B5942" s="3" t="str">
        <f>"00265978"</f>
        <v>00265978</v>
      </c>
    </row>
    <row r="5943" spans="1:2" x14ac:dyDescent="0.25">
      <c r="A5943" s="2">
        <v>5938</v>
      </c>
      <c r="B5943" s="3" t="str">
        <f>"00266043"</f>
        <v>00266043</v>
      </c>
    </row>
    <row r="5944" spans="1:2" x14ac:dyDescent="0.25">
      <c r="A5944" s="2">
        <v>5939</v>
      </c>
      <c r="B5944" s="3" t="str">
        <f>"00266069"</f>
        <v>00266069</v>
      </c>
    </row>
    <row r="5945" spans="1:2" x14ac:dyDescent="0.25">
      <c r="A5945" s="2">
        <v>5940</v>
      </c>
      <c r="B5945" s="3" t="str">
        <f>"00266207"</f>
        <v>00266207</v>
      </c>
    </row>
    <row r="5946" spans="1:2" x14ac:dyDescent="0.25">
      <c r="A5946" s="2">
        <v>5941</v>
      </c>
      <c r="B5946" s="3" t="str">
        <f>"00266213"</f>
        <v>00266213</v>
      </c>
    </row>
    <row r="5947" spans="1:2" x14ac:dyDescent="0.25">
      <c r="A5947" s="2">
        <v>5942</v>
      </c>
      <c r="B5947" s="3" t="str">
        <f>"00266252"</f>
        <v>00266252</v>
      </c>
    </row>
    <row r="5948" spans="1:2" x14ac:dyDescent="0.25">
      <c r="A5948" s="2">
        <v>5943</v>
      </c>
      <c r="B5948" s="3" t="str">
        <f>"00266253"</f>
        <v>00266253</v>
      </c>
    </row>
    <row r="5949" spans="1:2" x14ac:dyDescent="0.25">
      <c r="A5949" s="2">
        <v>5944</v>
      </c>
      <c r="B5949" s="3" t="str">
        <f>"00266281"</f>
        <v>00266281</v>
      </c>
    </row>
    <row r="5950" spans="1:2" x14ac:dyDescent="0.25">
      <c r="A5950" s="2">
        <v>5945</v>
      </c>
      <c r="B5950" s="3" t="str">
        <f>"00266315"</f>
        <v>00266315</v>
      </c>
    </row>
    <row r="5951" spans="1:2" x14ac:dyDescent="0.25">
      <c r="A5951" s="2">
        <v>5946</v>
      </c>
      <c r="B5951" s="3" t="str">
        <f>"00266341"</f>
        <v>00266341</v>
      </c>
    </row>
    <row r="5952" spans="1:2" x14ac:dyDescent="0.25">
      <c r="A5952" s="2">
        <v>5947</v>
      </c>
      <c r="B5952" s="3" t="str">
        <f>"00266342"</f>
        <v>00266342</v>
      </c>
    </row>
    <row r="5953" spans="1:2" x14ac:dyDescent="0.25">
      <c r="A5953" s="2">
        <v>5948</v>
      </c>
      <c r="B5953" s="3" t="str">
        <f>"00266349"</f>
        <v>00266349</v>
      </c>
    </row>
    <row r="5954" spans="1:2" x14ac:dyDescent="0.25">
      <c r="A5954" s="2">
        <v>5949</v>
      </c>
      <c r="B5954" s="3" t="str">
        <f>"00266388"</f>
        <v>00266388</v>
      </c>
    </row>
    <row r="5955" spans="1:2" x14ac:dyDescent="0.25">
      <c r="A5955" s="2">
        <v>5950</v>
      </c>
      <c r="B5955" s="3" t="str">
        <f>"00266393"</f>
        <v>00266393</v>
      </c>
    </row>
    <row r="5956" spans="1:2" x14ac:dyDescent="0.25">
      <c r="A5956" s="2">
        <v>5951</v>
      </c>
      <c r="B5956" s="3" t="str">
        <f>"00266409"</f>
        <v>00266409</v>
      </c>
    </row>
    <row r="5957" spans="1:2" x14ac:dyDescent="0.25">
      <c r="A5957" s="2">
        <v>5952</v>
      </c>
      <c r="B5957" s="3" t="str">
        <f>"00266421"</f>
        <v>00266421</v>
      </c>
    </row>
    <row r="5958" spans="1:2" x14ac:dyDescent="0.25">
      <c r="A5958" s="2">
        <v>5953</v>
      </c>
      <c r="B5958" s="3" t="str">
        <f>"00266426"</f>
        <v>00266426</v>
      </c>
    </row>
    <row r="5959" spans="1:2" x14ac:dyDescent="0.25">
      <c r="A5959" s="2">
        <v>5954</v>
      </c>
      <c r="B5959" s="3" t="str">
        <f>"00266438"</f>
        <v>00266438</v>
      </c>
    </row>
    <row r="5960" spans="1:2" x14ac:dyDescent="0.25">
      <c r="A5960" s="2">
        <v>5955</v>
      </c>
      <c r="B5960" s="3" t="str">
        <f>"00266469"</f>
        <v>00266469</v>
      </c>
    </row>
    <row r="5961" spans="1:2" x14ac:dyDescent="0.25">
      <c r="A5961" s="2">
        <v>5956</v>
      </c>
      <c r="B5961" s="3" t="str">
        <f>"00266476"</f>
        <v>00266476</v>
      </c>
    </row>
    <row r="5962" spans="1:2" x14ac:dyDescent="0.25">
      <c r="A5962" s="2">
        <v>5957</v>
      </c>
      <c r="B5962" s="3" t="str">
        <f>"00266485"</f>
        <v>00266485</v>
      </c>
    </row>
    <row r="5963" spans="1:2" x14ac:dyDescent="0.25">
      <c r="A5963" s="2">
        <v>5958</v>
      </c>
      <c r="B5963" s="3" t="str">
        <f>"00266530"</f>
        <v>00266530</v>
      </c>
    </row>
    <row r="5964" spans="1:2" x14ac:dyDescent="0.25">
      <c r="A5964" s="2">
        <v>5959</v>
      </c>
      <c r="B5964" s="3" t="str">
        <f>"00266543"</f>
        <v>00266543</v>
      </c>
    </row>
    <row r="5965" spans="1:2" x14ac:dyDescent="0.25">
      <c r="A5965" s="2">
        <v>5960</v>
      </c>
      <c r="B5965" s="3" t="str">
        <f>"00266565"</f>
        <v>00266565</v>
      </c>
    </row>
    <row r="5966" spans="1:2" x14ac:dyDescent="0.25">
      <c r="A5966" s="2">
        <v>5961</v>
      </c>
      <c r="B5966" s="3" t="str">
        <f>"00266619"</f>
        <v>00266619</v>
      </c>
    </row>
    <row r="5967" spans="1:2" x14ac:dyDescent="0.25">
      <c r="A5967" s="2">
        <v>5962</v>
      </c>
      <c r="B5967" s="3" t="str">
        <f>"00266637"</f>
        <v>00266637</v>
      </c>
    </row>
    <row r="5968" spans="1:2" x14ac:dyDescent="0.25">
      <c r="A5968" s="2">
        <v>5963</v>
      </c>
      <c r="B5968" s="3" t="str">
        <f>"00266646"</f>
        <v>00266646</v>
      </c>
    </row>
    <row r="5969" spans="1:2" x14ac:dyDescent="0.25">
      <c r="A5969" s="2">
        <v>5964</v>
      </c>
      <c r="B5969" s="3" t="str">
        <f>"00266654"</f>
        <v>00266654</v>
      </c>
    </row>
    <row r="5970" spans="1:2" x14ac:dyDescent="0.25">
      <c r="A5970" s="2">
        <v>5965</v>
      </c>
      <c r="B5970" s="3" t="str">
        <f>"00266678"</f>
        <v>00266678</v>
      </c>
    </row>
    <row r="5971" spans="1:2" x14ac:dyDescent="0.25">
      <c r="A5971" s="2">
        <v>5966</v>
      </c>
      <c r="B5971" s="3" t="str">
        <f>"00266703"</f>
        <v>00266703</v>
      </c>
    </row>
    <row r="5972" spans="1:2" x14ac:dyDescent="0.25">
      <c r="A5972" s="2">
        <v>5967</v>
      </c>
      <c r="B5972" s="3" t="str">
        <f>"00266705"</f>
        <v>00266705</v>
      </c>
    </row>
    <row r="5973" spans="1:2" x14ac:dyDescent="0.25">
      <c r="A5973" s="2">
        <v>5968</v>
      </c>
      <c r="B5973" s="3" t="str">
        <f>"00266708"</f>
        <v>00266708</v>
      </c>
    </row>
    <row r="5974" spans="1:2" x14ac:dyDescent="0.25">
      <c r="A5974" s="2">
        <v>5969</v>
      </c>
      <c r="B5974" s="3" t="str">
        <f>"00266725"</f>
        <v>00266725</v>
      </c>
    </row>
    <row r="5975" spans="1:2" x14ac:dyDescent="0.25">
      <c r="A5975" s="2">
        <v>5970</v>
      </c>
      <c r="B5975" s="3" t="str">
        <f>"00266728"</f>
        <v>00266728</v>
      </c>
    </row>
    <row r="5976" spans="1:2" x14ac:dyDescent="0.25">
      <c r="A5976" s="2">
        <v>5971</v>
      </c>
      <c r="B5976" s="3" t="str">
        <f>"00266750"</f>
        <v>00266750</v>
      </c>
    </row>
    <row r="5977" spans="1:2" x14ac:dyDescent="0.25">
      <c r="A5977" s="2">
        <v>5972</v>
      </c>
      <c r="B5977" s="3" t="str">
        <f>"00266772"</f>
        <v>00266772</v>
      </c>
    </row>
    <row r="5978" spans="1:2" x14ac:dyDescent="0.25">
      <c r="A5978" s="2">
        <v>5973</v>
      </c>
      <c r="B5978" s="3" t="str">
        <f>"00266778"</f>
        <v>00266778</v>
      </c>
    </row>
    <row r="5979" spans="1:2" x14ac:dyDescent="0.25">
      <c r="A5979" s="2">
        <v>5974</v>
      </c>
      <c r="B5979" s="3" t="str">
        <f>"00266804"</f>
        <v>00266804</v>
      </c>
    </row>
    <row r="5980" spans="1:2" x14ac:dyDescent="0.25">
      <c r="A5980" s="2">
        <v>5975</v>
      </c>
      <c r="B5980" s="3" t="str">
        <f>"00266857"</f>
        <v>00266857</v>
      </c>
    </row>
    <row r="5981" spans="1:2" x14ac:dyDescent="0.25">
      <c r="A5981" s="2">
        <v>5976</v>
      </c>
      <c r="B5981" s="3" t="str">
        <f>"00266860"</f>
        <v>00266860</v>
      </c>
    </row>
    <row r="5982" spans="1:2" x14ac:dyDescent="0.25">
      <c r="A5982" s="2">
        <v>5977</v>
      </c>
      <c r="B5982" s="3" t="str">
        <f>"00266861"</f>
        <v>00266861</v>
      </c>
    </row>
    <row r="5983" spans="1:2" x14ac:dyDescent="0.25">
      <c r="A5983" s="2">
        <v>5978</v>
      </c>
      <c r="B5983" s="3" t="str">
        <f>"00266924"</f>
        <v>00266924</v>
      </c>
    </row>
    <row r="5984" spans="1:2" x14ac:dyDescent="0.25">
      <c r="A5984" s="2">
        <v>5979</v>
      </c>
      <c r="B5984" s="3" t="str">
        <f>"00267028"</f>
        <v>00267028</v>
      </c>
    </row>
    <row r="5985" spans="1:2" x14ac:dyDescent="0.25">
      <c r="A5985" s="2">
        <v>5980</v>
      </c>
      <c r="B5985" s="3" t="str">
        <f>"00267105"</f>
        <v>00267105</v>
      </c>
    </row>
    <row r="5986" spans="1:2" x14ac:dyDescent="0.25">
      <c r="A5986" s="2">
        <v>5981</v>
      </c>
      <c r="B5986" s="3" t="str">
        <f>"00267130"</f>
        <v>00267130</v>
      </c>
    </row>
    <row r="5987" spans="1:2" x14ac:dyDescent="0.25">
      <c r="A5987" s="2">
        <v>5982</v>
      </c>
      <c r="B5987" s="3" t="str">
        <f>"00267148"</f>
        <v>00267148</v>
      </c>
    </row>
    <row r="5988" spans="1:2" x14ac:dyDescent="0.25">
      <c r="A5988" s="2">
        <v>5983</v>
      </c>
      <c r="B5988" s="3" t="str">
        <f>"00267172"</f>
        <v>00267172</v>
      </c>
    </row>
    <row r="5989" spans="1:2" x14ac:dyDescent="0.25">
      <c r="A5989" s="2">
        <v>5984</v>
      </c>
      <c r="B5989" s="3" t="str">
        <f>"00267173"</f>
        <v>00267173</v>
      </c>
    </row>
    <row r="5990" spans="1:2" x14ac:dyDescent="0.25">
      <c r="A5990" s="2">
        <v>5985</v>
      </c>
      <c r="B5990" s="3" t="str">
        <f>"00267207"</f>
        <v>00267207</v>
      </c>
    </row>
    <row r="5991" spans="1:2" x14ac:dyDescent="0.25">
      <c r="A5991" s="2">
        <v>5986</v>
      </c>
      <c r="B5991" s="3" t="str">
        <f>"00267238"</f>
        <v>00267238</v>
      </c>
    </row>
    <row r="5992" spans="1:2" x14ac:dyDescent="0.25">
      <c r="A5992" s="2">
        <v>5987</v>
      </c>
      <c r="B5992" s="3" t="str">
        <f>"00267251"</f>
        <v>00267251</v>
      </c>
    </row>
    <row r="5993" spans="1:2" x14ac:dyDescent="0.25">
      <c r="A5993" s="2">
        <v>5988</v>
      </c>
      <c r="B5993" s="3" t="str">
        <f>"00267280"</f>
        <v>00267280</v>
      </c>
    </row>
    <row r="5994" spans="1:2" x14ac:dyDescent="0.25">
      <c r="A5994" s="2">
        <v>5989</v>
      </c>
      <c r="B5994" s="3" t="str">
        <f>"00267367"</f>
        <v>00267367</v>
      </c>
    </row>
    <row r="5995" spans="1:2" x14ac:dyDescent="0.25">
      <c r="A5995" s="2">
        <v>5990</v>
      </c>
      <c r="B5995" s="3" t="str">
        <f>"00267413"</f>
        <v>00267413</v>
      </c>
    </row>
    <row r="5996" spans="1:2" x14ac:dyDescent="0.25">
      <c r="A5996" s="2">
        <v>5991</v>
      </c>
      <c r="B5996" s="3" t="str">
        <f>"00267437"</f>
        <v>00267437</v>
      </c>
    </row>
    <row r="5997" spans="1:2" x14ac:dyDescent="0.25">
      <c r="A5997" s="2">
        <v>5992</v>
      </c>
      <c r="B5997" s="3" t="str">
        <f>"00267605"</f>
        <v>00267605</v>
      </c>
    </row>
    <row r="5998" spans="1:2" x14ac:dyDescent="0.25">
      <c r="A5998" s="2">
        <v>5993</v>
      </c>
      <c r="B5998" s="3" t="str">
        <f>"00267708"</f>
        <v>00267708</v>
      </c>
    </row>
    <row r="5999" spans="1:2" x14ac:dyDescent="0.25">
      <c r="A5999" s="2">
        <v>5994</v>
      </c>
      <c r="B5999" s="3" t="str">
        <f>"00267720"</f>
        <v>00267720</v>
      </c>
    </row>
    <row r="6000" spans="1:2" x14ac:dyDescent="0.25">
      <c r="A6000" s="2">
        <v>5995</v>
      </c>
      <c r="B6000" s="3" t="str">
        <f>"00267772"</f>
        <v>00267772</v>
      </c>
    </row>
    <row r="6001" spans="1:2" x14ac:dyDescent="0.25">
      <c r="A6001" s="2">
        <v>5996</v>
      </c>
      <c r="B6001" s="3" t="str">
        <f>"00267806"</f>
        <v>00267806</v>
      </c>
    </row>
    <row r="6002" spans="1:2" x14ac:dyDescent="0.25">
      <c r="A6002" s="2">
        <v>5997</v>
      </c>
      <c r="B6002" s="3" t="str">
        <f>"00267827"</f>
        <v>00267827</v>
      </c>
    </row>
    <row r="6003" spans="1:2" x14ac:dyDescent="0.25">
      <c r="A6003" s="2">
        <v>5998</v>
      </c>
      <c r="B6003" s="3" t="str">
        <f>"00267831"</f>
        <v>00267831</v>
      </c>
    </row>
    <row r="6004" spans="1:2" x14ac:dyDescent="0.25">
      <c r="A6004" s="2">
        <v>5999</v>
      </c>
      <c r="B6004" s="3" t="str">
        <f>"00267848"</f>
        <v>00267848</v>
      </c>
    </row>
    <row r="6005" spans="1:2" x14ac:dyDescent="0.25">
      <c r="A6005" s="2">
        <v>6000</v>
      </c>
      <c r="B6005" s="3" t="str">
        <f>"00267858"</f>
        <v>00267858</v>
      </c>
    </row>
    <row r="6006" spans="1:2" x14ac:dyDescent="0.25">
      <c r="A6006" s="2">
        <v>6001</v>
      </c>
      <c r="B6006" s="3" t="str">
        <f>"00267899"</f>
        <v>00267899</v>
      </c>
    </row>
    <row r="6007" spans="1:2" x14ac:dyDescent="0.25">
      <c r="A6007" s="2">
        <v>6002</v>
      </c>
      <c r="B6007" s="3" t="str">
        <f>"00267916"</f>
        <v>00267916</v>
      </c>
    </row>
    <row r="6008" spans="1:2" x14ac:dyDescent="0.25">
      <c r="A6008" s="2">
        <v>6003</v>
      </c>
      <c r="B6008" s="3" t="str">
        <f>"00267955"</f>
        <v>00267955</v>
      </c>
    </row>
    <row r="6009" spans="1:2" x14ac:dyDescent="0.25">
      <c r="A6009" s="2">
        <v>6004</v>
      </c>
      <c r="B6009" s="3" t="str">
        <f>"00267961"</f>
        <v>00267961</v>
      </c>
    </row>
    <row r="6010" spans="1:2" x14ac:dyDescent="0.25">
      <c r="A6010" s="2">
        <v>6005</v>
      </c>
      <c r="B6010" s="3" t="str">
        <f>"00267992"</f>
        <v>00267992</v>
      </c>
    </row>
    <row r="6011" spans="1:2" x14ac:dyDescent="0.25">
      <c r="A6011" s="2">
        <v>6006</v>
      </c>
      <c r="B6011" s="3" t="str">
        <f>"00268017"</f>
        <v>00268017</v>
      </c>
    </row>
    <row r="6012" spans="1:2" x14ac:dyDescent="0.25">
      <c r="A6012" s="2">
        <v>6007</v>
      </c>
      <c r="B6012" s="3" t="str">
        <f>"00268041"</f>
        <v>00268041</v>
      </c>
    </row>
    <row r="6013" spans="1:2" x14ac:dyDescent="0.25">
      <c r="A6013" s="2">
        <v>6008</v>
      </c>
      <c r="B6013" s="3" t="str">
        <f>"00268085"</f>
        <v>00268085</v>
      </c>
    </row>
    <row r="6014" spans="1:2" x14ac:dyDescent="0.25">
      <c r="A6014" s="2">
        <v>6009</v>
      </c>
      <c r="B6014" s="3" t="str">
        <f>"00268129"</f>
        <v>00268129</v>
      </c>
    </row>
    <row r="6015" spans="1:2" x14ac:dyDescent="0.25">
      <c r="A6015" s="2">
        <v>6010</v>
      </c>
      <c r="B6015" s="3" t="str">
        <f>"00268224"</f>
        <v>00268224</v>
      </c>
    </row>
    <row r="6016" spans="1:2" x14ac:dyDescent="0.25">
      <c r="A6016" s="2">
        <v>6011</v>
      </c>
      <c r="B6016" s="3" t="str">
        <f>"00268228"</f>
        <v>00268228</v>
      </c>
    </row>
    <row r="6017" spans="1:2" x14ac:dyDescent="0.25">
      <c r="A6017" s="2">
        <v>6012</v>
      </c>
      <c r="B6017" s="3" t="str">
        <f>"00268239"</f>
        <v>00268239</v>
      </c>
    </row>
    <row r="6018" spans="1:2" x14ac:dyDescent="0.25">
      <c r="A6018" s="2">
        <v>6013</v>
      </c>
      <c r="B6018" s="3" t="str">
        <f>"00268363"</f>
        <v>00268363</v>
      </c>
    </row>
    <row r="6019" spans="1:2" x14ac:dyDescent="0.25">
      <c r="A6019" s="2">
        <v>6014</v>
      </c>
      <c r="B6019" s="3" t="str">
        <f>"00268367"</f>
        <v>00268367</v>
      </c>
    </row>
    <row r="6020" spans="1:2" x14ac:dyDescent="0.25">
      <c r="A6020" s="2">
        <v>6015</v>
      </c>
      <c r="B6020" s="3" t="str">
        <f>"00268377"</f>
        <v>00268377</v>
      </c>
    </row>
    <row r="6021" spans="1:2" x14ac:dyDescent="0.25">
      <c r="A6021" s="2">
        <v>6016</v>
      </c>
      <c r="B6021" s="3" t="str">
        <f>"00268403"</f>
        <v>00268403</v>
      </c>
    </row>
    <row r="6022" spans="1:2" x14ac:dyDescent="0.25">
      <c r="A6022" s="2">
        <v>6017</v>
      </c>
      <c r="B6022" s="3" t="str">
        <f>"00268411"</f>
        <v>00268411</v>
      </c>
    </row>
    <row r="6023" spans="1:2" x14ac:dyDescent="0.25">
      <c r="A6023" s="2">
        <v>6018</v>
      </c>
      <c r="B6023" s="3" t="str">
        <f>"00268432"</f>
        <v>00268432</v>
      </c>
    </row>
    <row r="6024" spans="1:2" x14ac:dyDescent="0.25">
      <c r="A6024" s="2">
        <v>6019</v>
      </c>
      <c r="B6024" s="3" t="str">
        <f>"00268435"</f>
        <v>00268435</v>
      </c>
    </row>
    <row r="6025" spans="1:2" x14ac:dyDescent="0.25">
      <c r="A6025" s="2">
        <v>6020</v>
      </c>
      <c r="B6025" s="3" t="str">
        <f>"00268438"</f>
        <v>00268438</v>
      </c>
    </row>
    <row r="6026" spans="1:2" x14ac:dyDescent="0.25">
      <c r="A6026" s="2">
        <v>6021</v>
      </c>
      <c r="B6026" s="3" t="str">
        <f>"00268445"</f>
        <v>00268445</v>
      </c>
    </row>
    <row r="6027" spans="1:2" x14ac:dyDescent="0.25">
      <c r="A6027" s="2">
        <v>6022</v>
      </c>
      <c r="B6027" s="3" t="str">
        <f>"00268478"</f>
        <v>00268478</v>
      </c>
    </row>
    <row r="6028" spans="1:2" x14ac:dyDescent="0.25">
      <c r="A6028" s="2">
        <v>6023</v>
      </c>
      <c r="B6028" s="3" t="str">
        <f>"00268520"</f>
        <v>00268520</v>
      </c>
    </row>
    <row r="6029" spans="1:2" x14ac:dyDescent="0.25">
      <c r="A6029" s="2">
        <v>6024</v>
      </c>
      <c r="B6029" s="3" t="str">
        <f>"00268525"</f>
        <v>00268525</v>
      </c>
    </row>
    <row r="6030" spans="1:2" x14ac:dyDescent="0.25">
      <c r="A6030" s="2">
        <v>6025</v>
      </c>
      <c r="B6030" s="3" t="str">
        <f>"00268555"</f>
        <v>00268555</v>
      </c>
    </row>
    <row r="6031" spans="1:2" x14ac:dyDescent="0.25">
      <c r="A6031" s="2">
        <v>6026</v>
      </c>
      <c r="B6031" s="3" t="str">
        <f>"00268580"</f>
        <v>00268580</v>
      </c>
    </row>
    <row r="6032" spans="1:2" x14ac:dyDescent="0.25">
      <c r="A6032" s="2">
        <v>6027</v>
      </c>
      <c r="B6032" s="3" t="str">
        <f>"00268602"</f>
        <v>00268602</v>
      </c>
    </row>
    <row r="6033" spans="1:2" x14ac:dyDescent="0.25">
      <c r="A6033" s="2">
        <v>6028</v>
      </c>
      <c r="B6033" s="3" t="str">
        <f>"00268613"</f>
        <v>00268613</v>
      </c>
    </row>
    <row r="6034" spans="1:2" x14ac:dyDescent="0.25">
      <c r="A6034" s="2">
        <v>6029</v>
      </c>
      <c r="B6034" s="3" t="str">
        <f>"00268689"</f>
        <v>00268689</v>
      </c>
    </row>
    <row r="6035" spans="1:2" x14ac:dyDescent="0.25">
      <c r="A6035" s="2">
        <v>6030</v>
      </c>
      <c r="B6035" s="3" t="str">
        <f>"00268706"</f>
        <v>00268706</v>
      </c>
    </row>
    <row r="6036" spans="1:2" x14ac:dyDescent="0.25">
      <c r="A6036" s="2">
        <v>6031</v>
      </c>
      <c r="B6036" s="3" t="str">
        <f>"00268716"</f>
        <v>00268716</v>
      </c>
    </row>
    <row r="6037" spans="1:2" x14ac:dyDescent="0.25">
      <c r="A6037" s="2">
        <v>6032</v>
      </c>
      <c r="B6037" s="3" t="str">
        <f>"00268738"</f>
        <v>00268738</v>
      </c>
    </row>
    <row r="6038" spans="1:2" x14ac:dyDescent="0.25">
      <c r="A6038" s="2">
        <v>6033</v>
      </c>
      <c r="B6038" s="3" t="str">
        <f>"00268766"</f>
        <v>00268766</v>
      </c>
    </row>
    <row r="6039" spans="1:2" x14ac:dyDescent="0.25">
      <c r="A6039" s="2">
        <v>6034</v>
      </c>
      <c r="B6039" s="3" t="str">
        <f>"00268787"</f>
        <v>00268787</v>
      </c>
    </row>
    <row r="6040" spans="1:2" x14ac:dyDescent="0.25">
      <c r="A6040" s="2">
        <v>6035</v>
      </c>
      <c r="B6040" s="3" t="str">
        <f>"00268818"</f>
        <v>00268818</v>
      </c>
    </row>
    <row r="6041" spans="1:2" x14ac:dyDescent="0.25">
      <c r="A6041" s="2">
        <v>6036</v>
      </c>
      <c r="B6041" s="3" t="str">
        <f>"00268825"</f>
        <v>00268825</v>
      </c>
    </row>
    <row r="6042" spans="1:2" x14ac:dyDescent="0.25">
      <c r="A6042" s="2">
        <v>6037</v>
      </c>
      <c r="B6042" s="3" t="str">
        <f>"00268826"</f>
        <v>00268826</v>
      </c>
    </row>
    <row r="6043" spans="1:2" x14ac:dyDescent="0.25">
      <c r="A6043" s="2">
        <v>6038</v>
      </c>
      <c r="B6043" s="3" t="str">
        <f>"00268827"</f>
        <v>00268827</v>
      </c>
    </row>
    <row r="6044" spans="1:2" x14ac:dyDescent="0.25">
      <c r="A6044" s="2">
        <v>6039</v>
      </c>
      <c r="B6044" s="3" t="str">
        <f>"00268852"</f>
        <v>00268852</v>
      </c>
    </row>
    <row r="6045" spans="1:2" x14ac:dyDescent="0.25">
      <c r="A6045" s="2">
        <v>6040</v>
      </c>
      <c r="B6045" s="3" t="str">
        <f>"00268878"</f>
        <v>00268878</v>
      </c>
    </row>
    <row r="6046" spans="1:2" x14ac:dyDescent="0.25">
      <c r="A6046" s="2">
        <v>6041</v>
      </c>
      <c r="B6046" s="3" t="str">
        <f>"00268930"</f>
        <v>00268930</v>
      </c>
    </row>
    <row r="6047" spans="1:2" x14ac:dyDescent="0.25">
      <c r="A6047" s="2">
        <v>6042</v>
      </c>
      <c r="B6047" s="3" t="str">
        <f>"00268934"</f>
        <v>00268934</v>
      </c>
    </row>
    <row r="6048" spans="1:2" x14ac:dyDescent="0.25">
      <c r="A6048" s="2">
        <v>6043</v>
      </c>
      <c r="B6048" s="3" t="str">
        <f>"00268936"</f>
        <v>00268936</v>
      </c>
    </row>
    <row r="6049" spans="1:2" x14ac:dyDescent="0.25">
      <c r="A6049" s="2">
        <v>6044</v>
      </c>
      <c r="B6049" s="3" t="str">
        <f>"00268987"</f>
        <v>00268987</v>
      </c>
    </row>
    <row r="6050" spans="1:2" x14ac:dyDescent="0.25">
      <c r="A6050" s="2">
        <v>6045</v>
      </c>
      <c r="B6050" s="3" t="str">
        <f>"00269013"</f>
        <v>00269013</v>
      </c>
    </row>
    <row r="6051" spans="1:2" x14ac:dyDescent="0.25">
      <c r="A6051" s="2">
        <v>6046</v>
      </c>
      <c r="B6051" s="3" t="str">
        <f>"00269077"</f>
        <v>00269077</v>
      </c>
    </row>
    <row r="6052" spans="1:2" x14ac:dyDescent="0.25">
      <c r="A6052" s="2">
        <v>6047</v>
      </c>
      <c r="B6052" s="3" t="str">
        <f>"00269082"</f>
        <v>00269082</v>
      </c>
    </row>
    <row r="6053" spans="1:2" x14ac:dyDescent="0.25">
      <c r="A6053" s="2">
        <v>6048</v>
      </c>
      <c r="B6053" s="3" t="str">
        <f>"00269096"</f>
        <v>00269096</v>
      </c>
    </row>
    <row r="6054" spans="1:2" x14ac:dyDescent="0.25">
      <c r="A6054" s="2">
        <v>6049</v>
      </c>
      <c r="B6054" s="3" t="str">
        <f>"00269176"</f>
        <v>00269176</v>
      </c>
    </row>
    <row r="6055" spans="1:2" x14ac:dyDescent="0.25">
      <c r="A6055" s="2">
        <v>6050</v>
      </c>
      <c r="B6055" s="3" t="str">
        <f>"00269196"</f>
        <v>00269196</v>
      </c>
    </row>
    <row r="6056" spans="1:2" x14ac:dyDescent="0.25">
      <c r="A6056" s="2">
        <v>6051</v>
      </c>
      <c r="B6056" s="3" t="str">
        <f>"00269212"</f>
        <v>00269212</v>
      </c>
    </row>
    <row r="6057" spans="1:2" x14ac:dyDescent="0.25">
      <c r="A6057" s="2">
        <v>6052</v>
      </c>
      <c r="B6057" s="3" t="str">
        <f>"00269231"</f>
        <v>00269231</v>
      </c>
    </row>
    <row r="6058" spans="1:2" x14ac:dyDescent="0.25">
      <c r="A6058" s="2">
        <v>6053</v>
      </c>
      <c r="B6058" s="3" t="str">
        <f>"00269238"</f>
        <v>00269238</v>
      </c>
    </row>
    <row r="6059" spans="1:2" x14ac:dyDescent="0.25">
      <c r="A6059" s="2">
        <v>6054</v>
      </c>
      <c r="B6059" s="3" t="str">
        <f>"00269245"</f>
        <v>00269245</v>
      </c>
    </row>
    <row r="6060" spans="1:2" x14ac:dyDescent="0.25">
      <c r="A6060" s="2">
        <v>6055</v>
      </c>
      <c r="B6060" s="3" t="str">
        <f>"00269284"</f>
        <v>00269284</v>
      </c>
    </row>
    <row r="6061" spans="1:2" x14ac:dyDescent="0.25">
      <c r="A6061" s="2">
        <v>6056</v>
      </c>
      <c r="B6061" s="3" t="str">
        <f>"00269286"</f>
        <v>00269286</v>
      </c>
    </row>
    <row r="6062" spans="1:2" x14ac:dyDescent="0.25">
      <c r="A6062" s="2">
        <v>6057</v>
      </c>
      <c r="B6062" s="3" t="str">
        <f>"00269290"</f>
        <v>00269290</v>
      </c>
    </row>
    <row r="6063" spans="1:2" x14ac:dyDescent="0.25">
      <c r="A6063" s="2">
        <v>6058</v>
      </c>
      <c r="B6063" s="3" t="str">
        <f>"00269298"</f>
        <v>00269298</v>
      </c>
    </row>
    <row r="6064" spans="1:2" x14ac:dyDescent="0.25">
      <c r="A6064" s="2">
        <v>6059</v>
      </c>
      <c r="B6064" s="3" t="str">
        <f>"00269351"</f>
        <v>00269351</v>
      </c>
    </row>
    <row r="6065" spans="1:2" x14ac:dyDescent="0.25">
      <c r="A6065" s="2">
        <v>6060</v>
      </c>
      <c r="B6065" s="3" t="str">
        <f>"00269370"</f>
        <v>00269370</v>
      </c>
    </row>
    <row r="6066" spans="1:2" x14ac:dyDescent="0.25">
      <c r="A6066" s="2">
        <v>6061</v>
      </c>
      <c r="B6066" s="3" t="str">
        <f>"00269372"</f>
        <v>00269372</v>
      </c>
    </row>
    <row r="6067" spans="1:2" x14ac:dyDescent="0.25">
      <c r="A6067" s="2">
        <v>6062</v>
      </c>
      <c r="B6067" s="3" t="str">
        <f>"00269440"</f>
        <v>00269440</v>
      </c>
    </row>
    <row r="6068" spans="1:2" x14ac:dyDescent="0.25">
      <c r="A6068" s="2">
        <v>6063</v>
      </c>
      <c r="B6068" s="3" t="str">
        <f>"00269534"</f>
        <v>00269534</v>
      </c>
    </row>
    <row r="6069" spans="1:2" x14ac:dyDescent="0.25">
      <c r="A6069" s="2">
        <v>6064</v>
      </c>
      <c r="B6069" s="3" t="str">
        <f>"00269547"</f>
        <v>00269547</v>
      </c>
    </row>
    <row r="6070" spans="1:2" x14ac:dyDescent="0.25">
      <c r="A6070" s="2">
        <v>6065</v>
      </c>
      <c r="B6070" s="3" t="str">
        <f>"00269726"</f>
        <v>00269726</v>
      </c>
    </row>
    <row r="6071" spans="1:2" x14ac:dyDescent="0.25">
      <c r="A6071" s="2">
        <v>6066</v>
      </c>
      <c r="B6071" s="3" t="str">
        <f>"00269749"</f>
        <v>00269749</v>
      </c>
    </row>
    <row r="6072" spans="1:2" x14ac:dyDescent="0.25">
      <c r="A6072" s="2">
        <v>6067</v>
      </c>
      <c r="B6072" s="3" t="str">
        <f>"00269794"</f>
        <v>00269794</v>
      </c>
    </row>
    <row r="6073" spans="1:2" x14ac:dyDescent="0.25">
      <c r="A6073" s="2">
        <v>6068</v>
      </c>
      <c r="B6073" s="3" t="str">
        <f>"00269805"</f>
        <v>00269805</v>
      </c>
    </row>
    <row r="6074" spans="1:2" x14ac:dyDescent="0.25">
      <c r="A6074" s="2">
        <v>6069</v>
      </c>
      <c r="B6074" s="3" t="str">
        <f>"00269868"</f>
        <v>00269868</v>
      </c>
    </row>
    <row r="6075" spans="1:2" x14ac:dyDescent="0.25">
      <c r="A6075" s="2">
        <v>6070</v>
      </c>
      <c r="B6075" s="3" t="str">
        <f>"00269895"</f>
        <v>00269895</v>
      </c>
    </row>
    <row r="6076" spans="1:2" x14ac:dyDescent="0.25">
      <c r="A6076" s="2">
        <v>6071</v>
      </c>
      <c r="B6076" s="3" t="str">
        <f>"00269939"</f>
        <v>00269939</v>
      </c>
    </row>
    <row r="6077" spans="1:2" x14ac:dyDescent="0.25">
      <c r="A6077" s="2">
        <v>6072</v>
      </c>
      <c r="B6077" s="3" t="str">
        <f>"00269971"</f>
        <v>00269971</v>
      </c>
    </row>
    <row r="6078" spans="1:2" x14ac:dyDescent="0.25">
      <c r="A6078" s="2">
        <v>6073</v>
      </c>
      <c r="B6078" s="3" t="str">
        <f>"00269974"</f>
        <v>00269974</v>
      </c>
    </row>
    <row r="6079" spans="1:2" x14ac:dyDescent="0.25">
      <c r="A6079" s="2">
        <v>6074</v>
      </c>
      <c r="B6079" s="3" t="str">
        <f>"00269998"</f>
        <v>00269998</v>
      </c>
    </row>
    <row r="6080" spans="1:2" x14ac:dyDescent="0.25">
      <c r="A6080" s="2">
        <v>6075</v>
      </c>
      <c r="B6080" s="3" t="str">
        <f>"00270005"</f>
        <v>00270005</v>
      </c>
    </row>
    <row r="6081" spans="1:2" x14ac:dyDescent="0.25">
      <c r="A6081" s="2">
        <v>6076</v>
      </c>
      <c r="B6081" s="3" t="str">
        <f>"00270020"</f>
        <v>00270020</v>
      </c>
    </row>
    <row r="6082" spans="1:2" x14ac:dyDescent="0.25">
      <c r="A6082" s="2">
        <v>6077</v>
      </c>
      <c r="B6082" s="3" t="str">
        <f>"00270056"</f>
        <v>00270056</v>
      </c>
    </row>
    <row r="6083" spans="1:2" x14ac:dyDescent="0.25">
      <c r="A6083" s="2">
        <v>6078</v>
      </c>
      <c r="B6083" s="3" t="str">
        <f>"00270231"</f>
        <v>00270231</v>
      </c>
    </row>
    <row r="6084" spans="1:2" x14ac:dyDescent="0.25">
      <c r="A6084" s="2">
        <v>6079</v>
      </c>
      <c r="B6084" s="3" t="str">
        <f>"00270246"</f>
        <v>00270246</v>
      </c>
    </row>
    <row r="6085" spans="1:2" x14ac:dyDescent="0.25">
      <c r="A6085" s="2">
        <v>6080</v>
      </c>
      <c r="B6085" s="3" t="str">
        <f>"00270259"</f>
        <v>00270259</v>
      </c>
    </row>
    <row r="6086" spans="1:2" x14ac:dyDescent="0.25">
      <c r="A6086" s="2">
        <v>6081</v>
      </c>
      <c r="B6086" s="3" t="str">
        <f>"00270261"</f>
        <v>00270261</v>
      </c>
    </row>
    <row r="6087" spans="1:2" x14ac:dyDescent="0.25">
      <c r="A6087" s="2">
        <v>6082</v>
      </c>
      <c r="B6087" s="3" t="str">
        <f>"00270265"</f>
        <v>00270265</v>
      </c>
    </row>
    <row r="6088" spans="1:2" x14ac:dyDescent="0.25">
      <c r="A6088" s="2">
        <v>6083</v>
      </c>
      <c r="B6088" s="3" t="str">
        <f>"00270281"</f>
        <v>00270281</v>
      </c>
    </row>
    <row r="6089" spans="1:2" x14ac:dyDescent="0.25">
      <c r="A6089" s="2">
        <v>6084</v>
      </c>
      <c r="B6089" s="3" t="str">
        <f>"00270345"</f>
        <v>00270345</v>
      </c>
    </row>
    <row r="6090" spans="1:2" x14ac:dyDescent="0.25">
      <c r="A6090" s="2">
        <v>6085</v>
      </c>
      <c r="B6090" s="3" t="str">
        <f>"00270379"</f>
        <v>00270379</v>
      </c>
    </row>
    <row r="6091" spans="1:2" x14ac:dyDescent="0.25">
      <c r="A6091" s="2">
        <v>6086</v>
      </c>
      <c r="B6091" s="3" t="str">
        <f>"00270409"</f>
        <v>00270409</v>
      </c>
    </row>
    <row r="6092" spans="1:2" x14ac:dyDescent="0.25">
      <c r="A6092" s="2">
        <v>6087</v>
      </c>
      <c r="B6092" s="3" t="str">
        <f>"00270412"</f>
        <v>00270412</v>
      </c>
    </row>
    <row r="6093" spans="1:2" x14ac:dyDescent="0.25">
      <c r="A6093" s="2">
        <v>6088</v>
      </c>
      <c r="B6093" s="3" t="str">
        <f>"00270459"</f>
        <v>00270459</v>
      </c>
    </row>
    <row r="6094" spans="1:2" x14ac:dyDescent="0.25">
      <c r="A6094" s="2">
        <v>6089</v>
      </c>
      <c r="B6094" s="3" t="str">
        <f>"00270471"</f>
        <v>00270471</v>
      </c>
    </row>
    <row r="6095" spans="1:2" x14ac:dyDescent="0.25">
      <c r="A6095" s="2">
        <v>6090</v>
      </c>
      <c r="B6095" s="3" t="str">
        <f>"00270515"</f>
        <v>00270515</v>
      </c>
    </row>
    <row r="6096" spans="1:2" x14ac:dyDescent="0.25">
      <c r="A6096" s="2">
        <v>6091</v>
      </c>
      <c r="B6096" s="3" t="str">
        <f>"00270559"</f>
        <v>00270559</v>
      </c>
    </row>
    <row r="6097" spans="1:2" x14ac:dyDescent="0.25">
      <c r="A6097" s="2">
        <v>6092</v>
      </c>
      <c r="B6097" s="3" t="str">
        <f>"00270575"</f>
        <v>00270575</v>
      </c>
    </row>
    <row r="6098" spans="1:2" x14ac:dyDescent="0.25">
      <c r="A6098" s="2">
        <v>6093</v>
      </c>
      <c r="B6098" s="3" t="str">
        <f>"00270585"</f>
        <v>00270585</v>
      </c>
    </row>
    <row r="6099" spans="1:2" x14ac:dyDescent="0.25">
      <c r="A6099" s="2">
        <v>6094</v>
      </c>
      <c r="B6099" s="3" t="str">
        <f>"00270586"</f>
        <v>00270586</v>
      </c>
    </row>
    <row r="6100" spans="1:2" x14ac:dyDescent="0.25">
      <c r="A6100" s="2">
        <v>6095</v>
      </c>
      <c r="B6100" s="3" t="str">
        <f>"00270605"</f>
        <v>00270605</v>
      </c>
    </row>
    <row r="6101" spans="1:2" x14ac:dyDescent="0.25">
      <c r="A6101" s="2">
        <v>6096</v>
      </c>
      <c r="B6101" s="3" t="str">
        <f>"00270625"</f>
        <v>00270625</v>
      </c>
    </row>
    <row r="6102" spans="1:2" x14ac:dyDescent="0.25">
      <c r="A6102" s="2">
        <v>6097</v>
      </c>
      <c r="B6102" s="3" t="str">
        <f>"00270766"</f>
        <v>00270766</v>
      </c>
    </row>
    <row r="6103" spans="1:2" x14ac:dyDescent="0.25">
      <c r="A6103" s="2">
        <v>6098</v>
      </c>
      <c r="B6103" s="3" t="str">
        <f>"00270807"</f>
        <v>00270807</v>
      </c>
    </row>
    <row r="6104" spans="1:2" x14ac:dyDescent="0.25">
      <c r="A6104" s="2">
        <v>6099</v>
      </c>
      <c r="B6104" s="3" t="str">
        <f>"00270812"</f>
        <v>00270812</v>
      </c>
    </row>
    <row r="6105" spans="1:2" x14ac:dyDescent="0.25">
      <c r="A6105" s="2">
        <v>6100</v>
      </c>
      <c r="B6105" s="3" t="str">
        <f>"00270934"</f>
        <v>00270934</v>
      </c>
    </row>
    <row r="6106" spans="1:2" x14ac:dyDescent="0.25">
      <c r="A6106" s="2">
        <v>6101</v>
      </c>
      <c r="B6106" s="3" t="str">
        <f>"00270943"</f>
        <v>00270943</v>
      </c>
    </row>
    <row r="6107" spans="1:2" x14ac:dyDescent="0.25">
      <c r="A6107" s="2">
        <v>6102</v>
      </c>
      <c r="B6107" s="3" t="str">
        <f>"00270946"</f>
        <v>00270946</v>
      </c>
    </row>
    <row r="6108" spans="1:2" x14ac:dyDescent="0.25">
      <c r="A6108" s="2">
        <v>6103</v>
      </c>
      <c r="B6108" s="3" t="str">
        <f>"00271007"</f>
        <v>00271007</v>
      </c>
    </row>
    <row r="6109" spans="1:2" x14ac:dyDescent="0.25">
      <c r="A6109" s="2">
        <v>6104</v>
      </c>
      <c r="B6109" s="3" t="str">
        <f>"00271079"</f>
        <v>00271079</v>
      </c>
    </row>
    <row r="6110" spans="1:2" x14ac:dyDescent="0.25">
      <c r="A6110" s="2">
        <v>6105</v>
      </c>
      <c r="B6110" s="3" t="str">
        <f>"00271092"</f>
        <v>00271092</v>
      </c>
    </row>
    <row r="6111" spans="1:2" x14ac:dyDescent="0.25">
      <c r="A6111" s="2">
        <v>6106</v>
      </c>
      <c r="B6111" s="3" t="str">
        <f>"00271095"</f>
        <v>00271095</v>
      </c>
    </row>
    <row r="6112" spans="1:2" x14ac:dyDescent="0.25">
      <c r="A6112" s="2">
        <v>6107</v>
      </c>
      <c r="B6112" s="3" t="str">
        <f>"00271130"</f>
        <v>00271130</v>
      </c>
    </row>
    <row r="6113" spans="1:2" x14ac:dyDescent="0.25">
      <c r="A6113" s="2">
        <v>6108</v>
      </c>
      <c r="B6113" s="3" t="str">
        <f>"00271177"</f>
        <v>00271177</v>
      </c>
    </row>
    <row r="6114" spans="1:2" x14ac:dyDescent="0.25">
      <c r="A6114" s="2">
        <v>6109</v>
      </c>
      <c r="B6114" s="3" t="str">
        <f>"00271190"</f>
        <v>00271190</v>
      </c>
    </row>
    <row r="6115" spans="1:2" x14ac:dyDescent="0.25">
      <c r="A6115" s="2">
        <v>6110</v>
      </c>
      <c r="B6115" s="3" t="str">
        <f>"00271195"</f>
        <v>00271195</v>
      </c>
    </row>
    <row r="6116" spans="1:2" x14ac:dyDescent="0.25">
      <c r="A6116" s="2">
        <v>6111</v>
      </c>
      <c r="B6116" s="3" t="str">
        <f>"00271201"</f>
        <v>00271201</v>
      </c>
    </row>
    <row r="6117" spans="1:2" x14ac:dyDescent="0.25">
      <c r="A6117" s="2">
        <v>6112</v>
      </c>
      <c r="B6117" s="3" t="str">
        <f>"00271227"</f>
        <v>00271227</v>
      </c>
    </row>
    <row r="6118" spans="1:2" x14ac:dyDescent="0.25">
      <c r="A6118" s="2">
        <v>6113</v>
      </c>
      <c r="B6118" s="3" t="str">
        <f>"00271240"</f>
        <v>00271240</v>
      </c>
    </row>
    <row r="6119" spans="1:2" x14ac:dyDescent="0.25">
      <c r="A6119" s="2">
        <v>6114</v>
      </c>
      <c r="B6119" s="3" t="str">
        <f>"00271269"</f>
        <v>00271269</v>
      </c>
    </row>
    <row r="6120" spans="1:2" x14ac:dyDescent="0.25">
      <c r="A6120" s="2">
        <v>6115</v>
      </c>
      <c r="B6120" s="3" t="str">
        <f>"00271356"</f>
        <v>00271356</v>
      </c>
    </row>
    <row r="6121" spans="1:2" x14ac:dyDescent="0.25">
      <c r="A6121" s="2">
        <v>6116</v>
      </c>
      <c r="B6121" s="3" t="str">
        <f>"00271399"</f>
        <v>00271399</v>
      </c>
    </row>
    <row r="6122" spans="1:2" x14ac:dyDescent="0.25">
      <c r="A6122" s="2">
        <v>6117</v>
      </c>
      <c r="B6122" s="3" t="str">
        <f>"00271407"</f>
        <v>00271407</v>
      </c>
    </row>
    <row r="6123" spans="1:2" x14ac:dyDescent="0.25">
      <c r="A6123" s="2">
        <v>6118</v>
      </c>
      <c r="B6123" s="3" t="str">
        <f>"00271415"</f>
        <v>00271415</v>
      </c>
    </row>
    <row r="6124" spans="1:2" x14ac:dyDescent="0.25">
      <c r="A6124" s="2">
        <v>6119</v>
      </c>
      <c r="B6124" s="3" t="str">
        <f>"00271442"</f>
        <v>00271442</v>
      </c>
    </row>
    <row r="6125" spans="1:2" x14ac:dyDescent="0.25">
      <c r="A6125" s="2">
        <v>6120</v>
      </c>
      <c r="B6125" s="3" t="str">
        <f>"00271450"</f>
        <v>00271450</v>
      </c>
    </row>
    <row r="6126" spans="1:2" x14ac:dyDescent="0.25">
      <c r="A6126" s="2">
        <v>6121</v>
      </c>
      <c r="B6126" s="3" t="str">
        <f>"00271460"</f>
        <v>00271460</v>
      </c>
    </row>
    <row r="6127" spans="1:2" x14ac:dyDescent="0.25">
      <c r="A6127" s="2">
        <v>6122</v>
      </c>
      <c r="B6127" s="3" t="str">
        <f>"00271472"</f>
        <v>00271472</v>
      </c>
    </row>
    <row r="6128" spans="1:2" x14ac:dyDescent="0.25">
      <c r="A6128" s="2">
        <v>6123</v>
      </c>
      <c r="B6128" s="3" t="str">
        <f>"00271484"</f>
        <v>00271484</v>
      </c>
    </row>
    <row r="6129" spans="1:2" x14ac:dyDescent="0.25">
      <c r="A6129" s="2">
        <v>6124</v>
      </c>
      <c r="B6129" s="3" t="str">
        <f>"00271532"</f>
        <v>00271532</v>
      </c>
    </row>
    <row r="6130" spans="1:2" x14ac:dyDescent="0.25">
      <c r="A6130" s="2">
        <v>6125</v>
      </c>
      <c r="B6130" s="3" t="str">
        <f>"00271719"</f>
        <v>00271719</v>
      </c>
    </row>
    <row r="6131" spans="1:2" x14ac:dyDescent="0.25">
      <c r="A6131" s="2">
        <v>6126</v>
      </c>
      <c r="B6131" s="3" t="str">
        <f>"00271722"</f>
        <v>00271722</v>
      </c>
    </row>
    <row r="6132" spans="1:2" x14ac:dyDescent="0.25">
      <c r="A6132" s="2">
        <v>6127</v>
      </c>
      <c r="B6132" s="3" t="str">
        <f>"00271743"</f>
        <v>00271743</v>
      </c>
    </row>
    <row r="6133" spans="1:2" x14ac:dyDescent="0.25">
      <c r="A6133" s="2">
        <v>6128</v>
      </c>
      <c r="B6133" s="3" t="str">
        <f>"00271756"</f>
        <v>00271756</v>
      </c>
    </row>
    <row r="6134" spans="1:2" x14ac:dyDescent="0.25">
      <c r="A6134" s="2">
        <v>6129</v>
      </c>
      <c r="B6134" s="3" t="str">
        <f>"00271780"</f>
        <v>00271780</v>
      </c>
    </row>
    <row r="6135" spans="1:2" x14ac:dyDescent="0.25">
      <c r="A6135" s="2">
        <v>6130</v>
      </c>
      <c r="B6135" s="3" t="str">
        <f>"00271785"</f>
        <v>00271785</v>
      </c>
    </row>
    <row r="6136" spans="1:2" x14ac:dyDescent="0.25">
      <c r="A6136" s="2">
        <v>6131</v>
      </c>
      <c r="B6136" s="3" t="str">
        <f>"00271787"</f>
        <v>00271787</v>
      </c>
    </row>
    <row r="6137" spans="1:2" x14ac:dyDescent="0.25">
      <c r="A6137" s="2">
        <v>6132</v>
      </c>
      <c r="B6137" s="3" t="str">
        <f>"00271819"</f>
        <v>00271819</v>
      </c>
    </row>
    <row r="6138" spans="1:2" x14ac:dyDescent="0.25">
      <c r="A6138" s="2">
        <v>6133</v>
      </c>
      <c r="B6138" s="3" t="str">
        <f>"00271824"</f>
        <v>00271824</v>
      </c>
    </row>
    <row r="6139" spans="1:2" x14ac:dyDescent="0.25">
      <c r="A6139" s="2">
        <v>6134</v>
      </c>
      <c r="B6139" s="3" t="str">
        <f>"00271859"</f>
        <v>00271859</v>
      </c>
    </row>
    <row r="6140" spans="1:2" x14ac:dyDescent="0.25">
      <c r="A6140" s="2">
        <v>6135</v>
      </c>
      <c r="B6140" s="3" t="str">
        <f>"00272075"</f>
        <v>00272075</v>
      </c>
    </row>
    <row r="6141" spans="1:2" x14ac:dyDescent="0.25">
      <c r="A6141" s="2">
        <v>6136</v>
      </c>
      <c r="B6141" s="3" t="str">
        <f>"00272076"</f>
        <v>00272076</v>
      </c>
    </row>
    <row r="6142" spans="1:2" x14ac:dyDescent="0.25">
      <c r="A6142" s="2">
        <v>6137</v>
      </c>
      <c r="B6142" s="3" t="str">
        <f>"00272131"</f>
        <v>00272131</v>
      </c>
    </row>
    <row r="6143" spans="1:2" x14ac:dyDescent="0.25">
      <c r="A6143" s="2">
        <v>6138</v>
      </c>
      <c r="B6143" s="3" t="str">
        <f>"00272166"</f>
        <v>00272166</v>
      </c>
    </row>
    <row r="6144" spans="1:2" x14ac:dyDescent="0.25">
      <c r="A6144" s="2">
        <v>6139</v>
      </c>
      <c r="B6144" s="3" t="str">
        <f>"00272180"</f>
        <v>00272180</v>
      </c>
    </row>
    <row r="6145" spans="1:2" x14ac:dyDescent="0.25">
      <c r="A6145" s="2">
        <v>6140</v>
      </c>
      <c r="B6145" s="3" t="str">
        <f>"00272274"</f>
        <v>00272274</v>
      </c>
    </row>
    <row r="6146" spans="1:2" x14ac:dyDescent="0.25">
      <c r="A6146" s="2">
        <v>6141</v>
      </c>
      <c r="B6146" s="3" t="str">
        <f>"00272292"</f>
        <v>00272292</v>
      </c>
    </row>
    <row r="6147" spans="1:2" x14ac:dyDescent="0.25">
      <c r="A6147" s="2">
        <v>6142</v>
      </c>
      <c r="B6147" s="3" t="str">
        <f>"00272329"</f>
        <v>00272329</v>
      </c>
    </row>
    <row r="6148" spans="1:2" x14ac:dyDescent="0.25">
      <c r="A6148" s="2">
        <v>6143</v>
      </c>
      <c r="B6148" s="3" t="str">
        <f>"00272330"</f>
        <v>00272330</v>
      </c>
    </row>
    <row r="6149" spans="1:2" x14ac:dyDescent="0.25">
      <c r="A6149" s="2">
        <v>6144</v>
      </c>
      <c r="B6149" s="3" t="str">
        <f>"00272356"</f>
        <v>00272356</v>
      </c>
    </row>
    <row r="6150" spans="1:2" x14ac:dyDescent="0.25">
      <c r="A6150" s="2">
        <v>6145</v>
      </c>
      <c r="B6150" s="3" t="str">
        <f>"00272366"</f>
        <v>00272366</v>
      </c>
    </row>
    <row r="6151" spans="1:2" x14ac:dyDescent="0.25">
      <c r="A6151" s="2">
        <v>6146</v>
      </c>
      <c r="B6151" s="3" t="str">
        <f>"00272385"</f>
        <v>00272385</v>
      </c>
    </row>
    <row r="6152" spans="1:2" x14ac:dyDescent="0.25">
      <c r="A6152" s="2">
        <v>6147</v>
      </c>
      <c r="B6152" s="3" t="str">
        <f>"00272388"</f>
        <v>00272388</v>
      </c>
    </row>
    <row r="6153" spans="1:2" x14ac:dyDescent="0.25">
      <c r="A6153" s="2">
        <v>6148</v>
      </c>
      <c r="B6153" s="3" t="str">
        <f>"00272463"</f>
        <v>00272463</v>
      </c>
    </row>
    <row r="6154" spans="1:2" x14ac:dyDescent="0.25">
      <c r="A6154" s="2">
        <v>6149</v>
      </c>
      <c r="B6154" s="3" t="str">
        <f>"00272502"</f>
        <v>00272502</v>
      </c>
    </row>
    <row r="6155" spans="1:2" x14ac:dyDescent="0.25">
      <c r="A6155" s="2">
        <v>6150</v>
      </c>
      <c r="B6155" s="3" t="str">
        <f>"00272517"</f>
        <v>00272517</v>
      </c>
    </row>
    <row r="6156" spans="1:2" x14ac:dyDescent="0.25">
      <c r="A6156" s="2">
        <v>6151</v>
      </c>
      <c r="B6156" s="3" t="str">
        <f>"00272547"</f>
        <v>00272547</v>
      </c>
    </row>
    <row r="6157" spans="1:2" x14ac:dyDescent="0.25">
      <c r="A6157" s="2">
        <v>6152</v>
      </c>
      <c r="B6157" s="3" t="str">
        <f>"00272591"</f>
        <v>00272591</v>
      </c>
    </row>
    <row r="6158" spans="1:2" x14ac:dyDescent="0.25">
      <c r="A6158" s="2">
        <v>6153</v>
      </c>
      <c r="B6158" s="3" t="str">
        <f>"00272595"</f>
        <v>00272595</v>
      </c>
    </row>
    <row r="6159" spans="1:2" x14ac:dyDescent="0.25">
      <c r="A6159" s="2">
        <v>6154</v>
      </c>
      <c r="B6159" s="3" t="str">
        <f>"00272664"</f>
        <v>00272664</v>
      </c>
    </row>
    <row r="6160" spans="1:2" x14ac:dyDescent="0.25">
      <c r="A6160" s="2">
        <v>6155</v>
      </c>
      <c r="B6160" s="3" t="str">
        <f>"00272668"</f>
        <v>00272668</v>
      </c>
    </row>
    <row r="6161" spans="1:2" x14ac:dyDescent="0.25">
      <c r="A6161" s="2">
        <v>6156</v>
      </c>
      <c r="B6161" s="3" t="str">
        <f>"00272721"</f>
        <v>00272721</v>
      </c>
    </row>
    <row r="6162" spans="1:2" x14ac:dyDescent="0.25">
      <c r="A6162" s="2">
        <v>6157</v>
      </c>
      <c r="B6162" s="3" t="str">
        <f>"00272733"</f>
        <v>00272733</v>
      </c>
    </row>
    <row r="6163" spans="1:2" x14ac:dyDescent="0.25">
      <c r="A6163" s="2">
        <v>6158</v>
      </c>
      <c r="B6163" s="3" t="str">
        <f>"00272737"</f>
        <v>00272737</v>
      </c>
    </row>
    <row r="6164" spans="1:2" x14ac:dyDescent="0.25">
      <c r="A6164" s="2">
        <v>6159</v>
      </c>
      <c r="B6164" s="3" t="str">
        <f>"00272744"</f>
        <v>00272744</v>
      </c>
    </row>
    <row r="6165" spans="1:2" x14ac:dyDescent="0.25">
      <c r="A6165" s="2">
        <v>6160</v>
      </c>
      <c r="B6165" s="3" t="str">
        <f>"00272761"</f>
        <v>00272761</v>
      </c>
    </row>
    <row r="6166" spans="1:2" x14ac:dyDescent="0.25">
      <c r="A6166" s="2">
        <v>6161</v>
      </c>
      <c r="B6166" s="3" t="str">
        <f>"00272803"</f>
        <v>00272803</v>
      </c>
    </row>
    <row r="6167" spans="1:2" x14ac:dyDescent="0.25">
      <c r="A6167" s="2">
        <v>6162</v>
      </c>
      <c r="B6167" s="3" t="str">
        <f>"00272804"</f>
        <v>00272804</v>
      </c>
    </row>
    <row r="6168" spans="1:2" x14ac:dyDescent="0.25">
      <c r="A6168" s="2">
        <v>6163</v>
      </c>
      <c r="B6168" s="3" t="str">
        <f>"00272838"</f>
        <v>00272838</v>
      </c>
    </row>
    <row r="6169" spans="1:2" x14ac:dyDescent="0.25">
      <c r="A6169" s="2">
        <v>6164</v>
      </c>
      <c r="B6169" s="3" t="str">
        <f>"00272874"</f>
        <v>00272874</v>
      </c>
    </row>
    <row r="6170" spans="1:2" x14ac:dyDescent="0.25">
      <c r="A6170" s="2">
        <v>6165</v>
      </c>
      <c r="B6170" s="3" t="str">
        <f>"00272899"</f>
        <v>00272899</v>
      </c>
    </row>
    <row r="6171" spans="1:2" x14ac:dyDescent="0.25">
      <c r="A6171" s="2">
        <v>6166</v>
      </c>
      <c r="B6171" s="3" t="str">
        <f>"00272915"</f>
        <v>00272915</v>
      </c>
    </row>
    <row r="6172" spans="1:2" x14ac:dyDescent="0.25">
      <c r="A6172" s="2">
        <v>6167</v>
      </c>
      <c r="B6172" s="3" t="str">
        <f>"00272951"</f>
        <v>00272951</v>
      </c>
    </row>
    <row r="6173" spans="1:2" x14ac:dyDescent="0.25">
      <c r="A6173" s="2">
        <v>6168</v>
      </c>
      <c r="B6173" s="3" t="str">
        <f>"00272956"</f>
        <v>00272956</v>
      </c>
    </row>
    <row r="6174" spans="1:2" x14ac:dyDescent="0.25">
      <c r="A6174" s="2">
        <v>6169</v>
      </c>
      <c r="B6174" s="3" t="str">
        <f>"00272977"</f>
        <v>00272977</v>
      </c>
    </row>
    <row r="6175" spans="1:2" x14ac:dyDescent="0.25">
      <c r="A6175" s="2">
        <v>6170</v>
      </c>
      <c r="B6175" s="3" t="str">
        <f>"00272997"</f>
        <v>00272997</v>
      </c>
    </row>
    <row r="6176" spans="1:2" x14ac:dyDescent="0.25">
      <c r="A6176" s="2">
        <v>6171</v>
      </c>
      <c r="B6176" s="3" t="str">
        <f>"00273010"</f>
        <v>00273010</v>
      </c>
    </row>
    <row r="6177" spans="1:2" x14ac:dyDescent="0.25">
      <c r="A6177" s="2">
        <v>6172</v>
      </c>
      <c r="B6177" s="3" t="str">
        <f>"00273015"</f>
        <v>00273015</v>
      </c>
    </row>
    <row r="6178" spans="1:2" x14ac:dyDescent="0.25">
      <c r="A6178" s="2">
        <v>6173</v>
      </c>
      <c r="B6178" s="3" t="str">
        <f>"00273083"</f>
        <v>00273083</v>
      </c>
    </row>
    <row r="6179" spans="1:2" x14ac:dyDescent="0.25">
      <c r="A6179" s="2">
        <v>6174</v>
      </c>
      <c r="B6179" s="3" t="str">
        <f>"00273087"</f>
        <v>00273087</v>
      </c>
    </row>
    <row r="6180" spans="1:2" x14ac:dyDescent="0.25">
      <c r="A6180" s="2">
        <v>6175</v>
      </c>
      <c r="B6180" s="3" t="str">
        <f>"00273115"</f>
        <v>00273115</v>
      </c>
    </row>
    <row r="6181" spans="1:2" x14ac:dyDescent="0.25">
      <c r="A6181" s="2">
        <v>6176</v>
      </c>
      <c r="B6181" s="3" t="str">
        <f>"00273124"</f>
        <v>00273124</v>
      </c>
    </row>
    <row r="6182" spans="1:2" x14ac:dyDescent="0.25">
      <c r="A6182" s="2">
        <v>6177</v>
      </c>
      <c r="B6182" s="3" t="str">
        <f>"00273133"</f>
        <v>00273133</v>
      </c>
    </row>
    <row r="6183" spans="1:2" x14ac:dyDescent="0.25">
      <c r="A6183" s="2">
        <v>6178</v>
      </c>
      <c r="B6183" s="3" t="str">
        <f>"00273162"</f>
        <v>00273162</v>
      </c>
    </row>
    <row r="6184" spans="1:2" x14ac:dyDescent="0.25">
      <c r="A6184" s="2">
        <v>6179</v>
      </c>
      <c r="B6184" s="3" t="str">
        <f>"00273249"</f>
        <v>00273249</v>
      </c>
    </row>
    <row r="6185" spans="1:2" x14ac:dyDescent="0.25">
      <c r="A6185" s="2">
        <v>6180</v>
      </c>
      <c r="B6185" s="3" t="str">
        <f>"00273265"</f>
        <v>00273265</v>
      </c>
    </row>
    <row r="6186" spans="1:2" x14ac:dyDescent="0.25">
      <c r="A6186" s="2">
        <v>6181</v>
      </c>
      <c r="B6186" s="3" t="str">
        <f>"00273280"</f>
        <v>00273280</v>
      </c>
    </row>
    <row r="6187" spans="1:2" x14ac:dyDescent="0.25">
      <c r="A6187" s="2">
        <v>6182</v>
      </c>
      <c r="B6187" s="3" t="str">
        <f>"00273296"</f>
        <v>00273296</v>
      </c>
    </row>
    <row r="6188" spans="1:2" x14ac:dyDescent="0.25">
      <c r="A6188" s="2">
        <v>6183</v>
      </c>
      <c r="B6188" s="3" t="str">
        <f>"00273480"</f>
        <v>00273480</v>
      </c>
    </row>
    <row r="6189" spans="1:2" x14ac:dyDescent="0.25">
      <c r="A6189" s="2">
        <v>6184</v>
      </c>
      <c r="B6189" s="3" t="str">
        <f>"00273481"</f>
        <v>00273481</v>
      </c>
    </row>
    <row r="6190" spans="1:2" x14ac:dyDescent="0.25">
      <c r="A6190" s="2">
        <v>6185</v>
      </c>
      <c r="B6190" s="3" t="str">
        <f>"00273523"</f>
        <v>00273523</v>
      </c>
    </row>
    <row r="6191" spans="1:2" x14ac:dyDescent="0.25">
      <c r="A6191" s="2">
        <v>6186</v>
      </c>
      <c r="B6191" s="3" t="str">
        <f>"00273544"</f>
        <v>00273544</v>
      </c>
    </row>
    <row r="6192" spans="1:2" x14ac:dyDescent="0.25">
      <c r="A6192" s="2">
        <v>6187</v>
      </c>
      <c r="B6192" s="3" t="str">
        <f>"00273588"</f>
        <v>00273588</v>
      </c>
    </row>
    <row r="6193" spans="1:2" x14ac:dyDescent="0.25">
      <c r="A6193" s="2">
        <v>6188</v>
      </c>
      <c r="B6193" s="3" t="str">
        <f>"00273596"</f>
        <v>00273596</v>
      </c>
    </row>
    <row r="6194" spans="1:2" x14ac:dyDescent="0.25">
      <c r="A6194" s="2">
        <v>6189</v>
      </c>
      <c r="B6194" s="3" t="str">
        <f>"00273667"</f>
        <v>00273667</v>
      </c>
    </row>
    <row r="6195" spans="1:2" x14ac:dyDescent="0.25">
      <c r="A6195" s="2">
        <v>6190</v>
      </c>
      <c r="B6195" s="3" t="str">
        <f>"00273736"</f>
        <v>00273736</v>
      </c>
    </row>
    <row r="6196" spans="1:2" x14ac:dyDescent="0.25">
      <c r="A6196" s="2">
        <v>6191</v>
      </c>
      <c r="B6196" s="3" t="str">
        <f>"00273787"</f>
        <v>00273787</v>
      </c>
    </row>
    <row r="6197" spans="1:2" x14ac:dyDescent="0.25">
      <c r="A6197" s="2">
        <v>6192</v>
      </c>
      <c r="B6197" s="3" t="str">
        <f>"00273820"</f>
        <v>00273820</v>
      </c>
    </row>
    <row r="6198" spans="1:2" x14ac:dyDescent="0.25">
      <c r="A6198" s="2">
        <v>6193</v>
      </c>
      <c r="B6198" s="3" t="str">
        <f>"00273870"</f>
        <v>00273870</v>
      </c>
    </row>
    <row r="6199" spans="1:2" x14ac:dyDescent="0.25">
      <c r="A6199" s="2">
        <v>6194</v>
      </c>
      <c r="B6199" s="3" t="str">
        <f>"00273928"</f>
        <v>00273928</v>
      </c>
    </row>
    <row r="6200" spans="1:2" x14ac:dyDescent="0.25">
      <c r="A6200" s="2">
        <v>6195</v>
      </c>
      <c r="B6200" s="3" t="str">
        <f>"00273933"</f>
        <v>00273933</v>
      </c>
    </row>
    <row r="6201" spans="1:2" x14ac:dyDescent="0.25">
      <c r="A6201" s="2">
        <v>6196</v>
      </c>
      <c r="B6201" s="3" t="str">
        <f>"00273958"</f>
        <v>00273958</v>
      </c>
    </row>
    <row r="6202" spans="1:2" x14ac:dyDescent="0.25">
      <c r="A6202" s="2">
        <v>6197</v>
      </c>
      <c r="B6202" s="3" t="str">
        <f>"00273979"</f>
        <v>00273979</v>
      </c>
    </row>
    <row r="6203" spans="1:2" x14ac:dyDescent="0.25">
      <c r="A6203" s="2">
        <v>6198</v>
      </c>
      <c r="B6203" s="3" t="str">
        <f>"00274004"</f>
        <v>00274004</v>
      </c>
    </row>
    <row r="6204" spans="1:2" x14ac:dyDescent="0.25">
      <c r="A6204" s="2">
        <v>6199</v>
      </c>
      <c r="B6204" s="3" t="str">
        <f>"00274056"</f>
        <v>00274056</v>
      </c>
    </row>
    <row r="6205" spans="1:2" x14ac:dyDescent="0.25">
      <c r="A6205" s="2">
        <v>6200</v>
      </c>
      <c r="B6205" s="3" t="str">
        <f>"00274160"</f>
        <v>00274160</v>
      </c>
    </row>
    <row r="6206" spans="1:2" x14ac:dyDescent="0.25">
      <c r="A6206" s="2">
        <v>6201</v>
      </c>
      <c r="B6206" s="3" t="str">
        <f>"00274250"</f>
        <v>00274250</v>
      </c>
    </row>
    <row r="6207" spans="1:2" x14ac:dyDescent="0.25">
      <c r="A6207" s="2">
        <v>6202</v>
      </c>
      <c r="B6207" s="3" t="str">
        <f>"00274287"</f>
        <v>00274287</v>
      </c>
    </row>
    <row r="6208" spans="1:2" x14ac:dyDescent="0.25">
      <c r="A6208" s="2">
        <v>6203</v>
      </c>
      <c r="B6208" s="3" t="str">
        <f>"00274341"</f>
        <v>00274341</v>
      </c>
    </row>
    <row r="6209" spans="1:2" x14ac:dyDescent="0.25">
      <c r="A6209" s="2">
        <v>6204</v>
      </c>
      <c r="B6209" s="3" t="str">
        <f>"00274344"</f>
        <v>00274344</v>
      </c>
    </row>
    <row r="6210" spans="1:2" x14ac:dyDescent="0.25">
      <c r="A6210" s="2">
        <v>6205</v>
      </c>
      <c r="B6210" s="3" t="str">
        <f>"00274346"</f>
        <v>00274346</v>
      </c>
    </row>
    <row r="6211" spans="1:2" x14ac:dyDescent="0.25">
      <c r="A6211" s="2">
        <v>6206</v>
      </c>
      <c r="B6211" s="3" t="str">
        <f>"00274354"</f>
        <v>00274354</v>
      </c>
    </row>
    <row r="6212" spans="1:2" x14ac:dyDescent="0.25">
      <c r="A6212" s="2">
        <v>6207</v>
      </c>
      <c r="B6212" s="3" t="str">
        <f>"00274439"</f>
        <v>00274439</v>
      </c>
    </row>
    <row r="6213" spans="1:2" x14ac:dyDescent="0.25">
      <c r="A6213" s="2">
        <v>6208</v>
      </c>
      <c r="B6213" s="3" t="str">
        <f>"00274485"</f>
        <v>00274485</v>
      </c>
    </row>
    <row r="6214" spans="1:2" x14ac:dyDescent="0.25">
      <c r="A6214" s="2">
        <v>6209</v>
      </c>
      <c r="B6214" s="3" t="str">
        <f>"00274487"</f>
        <v>00274487</v>
      </c>
    </row>
    <row r="6215" spans="1:2" x14ac:dyDescent="0.25">
      <c r="A6215" s="2">
        <v>6210</v>
      </c>
      <c r="B6215" s="3" t="str">
        <f>"00274490"</f>
        <v>00274490</v>
      </c>
    </row>
    <row r="6216" spans="1:2" x14ac:dyDescent="0.25">
      <c r="A6216" s="2">
        <v>6211</v>
      </c>
      <c r="B6216" s="3" t="str">
        <f>"00274496"</f>
        <v>00274496</v>
      </c>
    </row>
    <row r="6217" spans="1:2" x14ac:dyDescent="0.25">
      <c r="A6217" s="2">
        <v>6212</v>
      </c>
      <c r="B6217" s="3" t="str">
        <f>"00274497"</f>
        <v>00274497</v>
      </c>
    </row>
    <row r="6218" spans="1:2" x14ac:dyDescent="0.25">
      <c r="A6218" s="2">
        <v>6213</v>
      </c>
      <c r="B6218" s="3" t="str">
        <f>"00274541"</f>
        <v>00274541</v>
      </c>
    </row>
    <row r="6219" spans="1:2" x14ac:dyDescent="0.25">
      <c r="A6219" s="2">
        <v>6214</v>
      </c>
      <c r="B6219" s="3" t="str">
        <f>"00274561"</f>
        <v>00274561</v>
      </c>
    </row>
    <row r="6220" spans="1:2" x14ac:dyDescent="0.25">
      <c r="A6220" s="2">
        <v>6215</v>
      </c>
      <c r="B6220" s="3" t="str">
        <f>"00274580"</f>
        <v>00274580</v>
      </c>
    </row>
    <row r="6221" spans="1:2" x14ac:dyDescent="0.25">
      <c r="A6221" s="2">
        <v>6216</v>
      </c>
      <c r="B6221" s="3" t="str">
        <f>"00274646"</f>
        <v>00274646</v>
      </c>
    </row>
    <row r="6222" spans="1:2" x14ac:dyDescent="0.25">
      <c r="A6222" s="2">
        <v>6217</v>
      </c>
      <c r="B6222" s="3" t="str">
        <f>"00274648"</f>
        <v>00274648</v>
      </c>
    </row>
    <row r="6223" spans="1:2" x14ac:dyDescent="0.25">
      <c r="A6223" s="2">
        <v>6218</v>
      </c>
      <c r="B6223" s="3" t="str">
        <f>"00274652"</f>
        <v>00274652</v>
      </c>
    </row>
    <row r="6224" spans="1:2" x14ac:dyDescent="0.25">
      <c r="A6224" s="2">
        <v>6219</v>
      </c>
      <c r="B6224" s="3" t="str">
        <f>"00274711"</f>
        <v>00274711</v>
      </c>
    </row>
    <row r="6225" spans="1:2" x14ac:dyDescent="0.25">
      <c r="A6225" s="2">
        <v>6220</v>
      </c>
      <c r="B6225" s="3" t="str">
        <f>"00274717"</f>
        <v>00274717</v>
      </c>
    </row>
    <row r="6226" spans="1:2" x14ac:dyDescent="0.25">
      <c r="A6226" s="2">
        <v>6221</v>
      </c>
      <c r="B6226" s="3" t="str">
        <f>"00274743"</f>
        <v>00274743</v>
      </c>
    </row>
    <row r="6227" spans="1:2" x14ac:dyDescent="0.25">
      <c r="A6227" s="2">
        <v>6222</v>
      </c>
      <c r="B6227" s="3" t="str">
        <f>"00274823"</f>
        <v>00274823</v>
      </c>
    </row>
    <row r="6228" spans="1:2" x14ac:dyDescent="0.25">
      <c r="A6228" s="2">
        <v>6223</v>
      </c>
      <c r="B6228" s="3" t="str">
        <f>"00274852"</f>
        <v>00274852</v>
      </c>
    </row>
    <row r="6229" spans="1:2" x14ac:dyDescent="0.25">
      <c r="A6229" s="2">
        <v>6224</v>
      </c>
      <c r="B6229" s="3" t="str">
        <f>"00274862"</f>
        <v>00274862</v>
      </c>
    </row>
    <row r="6230" spans="1:2" x14ac:dyDescent="0.25">
      <c r="A6230" s="2">
        <v>6225</v>
      </c>
      <c r="B6230" s="3" t="str">
        <f>"00274864"</f>
        <v>00274864</v>
      </c>
    </row>
    <row r="6231" spans="1:2" x14ac:dyDescent="0.25">
      <c r="A6231" s="2">
        <v>6226</v>
      </c>
      <c r="B6231" s="3" t="str">
        <f>"00274873"</f>
        <v>00274873</v>
      </c>
    </row>
    <row r="6232" spans="1:2" x14ac:dyDescent="0.25">
      <c r="A6232" s="2">
        <v>6227</v>
      </c>
      <c r="B6232" s="3" t="str">
        <f>"00274951"</f>
        <v>00274951</v>
      </c>
    </row>
    <row r="6233" spans="1:2" x14ac:dyDescent="0.25">
      <c r="A6233" s="2">
        <v>6228</v>
      </c>
      <c r="B6233" s="3" t="str">
        <f>"00275025"</f>
        <v>00275025</v>
      </c>
    </row>
    <row r="6234" spans="1:2" x14ac:dyDescent="0.25">
      <c r="A6234" s="2">
        <v>6229</v>
      </c>
      <c r="B6234" s="3" t="str">
        <f>"00275076"</f>
        <v>00275076</v>
      </c>
    </row>
    <row r="6235" spans="1:2" x14ac:dyDescent="0.25">
      <c r="A6235" s="2">
        <v>6230</v>
      </c>
      <c r="B6235" s="3" t="str">
        <f>"00275106"</f>
        <v>00275106</v>
      </c>
    </row>
    <row r="6236" spans="1:2" x14ac:dyDescent="0.25">
      <c r="A6236" s="2">
        <v>6231</v>
      </c>
      <c r="B6236" s="3" t="str">
        <f>"00275139"</f>
        <v>00275139</v>
      </c>
    </row>
    <row r="6237" spans="1:2" x14ac:dyDescent="0.25">
      <c r="A6237" s="2">
        <v>6232</v>
      </c>
      <c r="B6237" s="3" t="str">
        <f>"00275208"</f>
        <v>00275208</v>
      </c>
    </row>
    <row r="6238" spans="1:2" x14ac:dyDescent="0.25">
      <c r="A6238" s="2">
        <v>6233</v>
      </c>
      <c r="B6238" s="3" t="str">
        <f>"00275239"</f>
        <v>00275239</v>
      </c>
    </row>
    <row r="6239" spans="1:2" x14ac:dyDescent="0.25">
      <c r="A6239" s="2">
        <v>6234</v>
      </c>
      <c r="B6239" s="3" t="str">
        <f>"00275249"</f>
        <v>00275249</v>
      </c>
    </row>
    <row r="6240" spans="1:2" x14ac:dyDescent="0.25">
      <c r="A6240" s="2">
        <v>6235</v>
      </c>
      <c r="B6240" s="3" t="str">
        <f>"00275262"</f>
        <v>00275262</v>
      </c>
    </row>
    <row r="6241" spans="1:2" x14ac:dyDescent="0.25">
      <c r="A6241" s="2">
        <v>6236</v>
      </c>
      <c r="B6241" s="3" t="str">
        <f>"00275313"</f>
        <v>00275313</v>
      </c>
    </row>
    <row r="6242" spans="1:2" x14ac:dyDescent="0.25">
      <c r="A6242" s="2">
        <v>6237</v>
      </c>
      <c r="B6242" s="3" t="str">
        <f>"00275323"</f>
        <v>00275323</v>
      </c>
    </row>
    <row r="6243" spans="1:2" x14ac:dyDescent="0.25">
      <c r="A6243" s="2">
        <v>6238</v>
      </c>
      <c r="B6243" s="3" t="str">
        <f>"00275336"</f>
        <v>00275336</v>
      </c>
    </row>
    <row r="6244" spans="1:2" x14ac:dyDescent="0.25">
      <c r="A6244" s="2">
        <v>6239</v>
      </c>
      <c r="B6244" s="3" t="str">
        <f>"00275364"</f>
        <v>00275364</v>
      </c>
    </row>
    <row r="6245" spans="1:2" x14ac:dyDescent="0.25">
      <c r="A6245" s="2">
        <v>6240</v>
      </c>
      <c r="B6245" s="3" t="str">
        <f>"00275413"</f>
        <v>00275413</v>
      </c>
    </row>
    <row r="6246" spans="1:2" x14ac:dyDescent="0.25">
      <c r="A6246" s="2">
        <v>6241</v>
      </c>
      <c r="B6246" s="3" t="str">
        <f>"00275419"</f>
        <v>00275419</v>
      </c>
    </row>
    <row r="6247" spans="1:2" x14ac:dyDescent="0.25">
      <c r="A6247" s="2">
        <v>6242</v>
      </c>
      <c r="B6247" s="3" t="str">
        <f>"00275422"</f>
        <v>00275422</v>
      </c>
    </row>
    <row r="6248" spans="1:2" x14ac:dyDescent="0.25">
      <c r="A6248" s="2">
        <v>6243</v>
      </c>
      <c r="B6248" s="3" t="str">
        <f>"00275490"</f>
        <v>00275490</v>
      </c>
    </row>
    <row r="6249" spans="1:2" x14ac:dyDescent="0.25">
      <c r="A6249" s="2">
        <v>6244</v>
      </c>
      <c r="B6249" s="3" t="str">
        <f>"00275529"</f>
        <v>00275529</v>
      </c>
    </row>
    <row r="6250" spans="1:2" x14ac:dyDescent="0.25">
      <c r="A6250" s="2">
        <v>6245</v>
      </c>
      <c r="B6250" s="3" t="str">
        <f>"00275561"</f>
        <v>00275561</v>
      </c>
    </row>
    <row r="6251" spans="1:2" x14ac:dyDescent="0.25">
      <c r="A6251" s="2">
        <v>6246</v>
      </c>
      <c r="B6251" s="3" t="str">
        <f>"00275723"</f>
        <v>00275723</v>
      </c>
    </row>
    <row r="6252" spans="1:2" x14ac:dyDescent="0.25">
      <c r="A6252" s="2">
        <v>6247</v>
      </c>
      <c r="B6252" s="3" t="str">
        <f>"00275736"</f>
        <v>00275736</v>
      </c>
    </row>
    <row r="6253" spans="1:2" x14ac:dyDescent="0.25">
      <c r="A6253" s="2">
        <v>6248</v>
      </c>
      <c r="B6253" s="3" t="str">
        <f>"00275830"</f>
        <v>00275830</v>
      </c>
    </row>
    <row r="6254" spans="1:2" x14ac:dyDescent="0.25">
      <c r="A6254" s="2">
        <v>6249</v>
      </c>
      <c r="B6254" s="3" t="str">
        <f>"00275864"</f>
        <v>00275864</v>
      </c>
    </row>
    <row r="6255" spans="1:2" x14ac:dyDescent="0.25">
      <c r="A6255" s="2">
        <v>6250</v>
      </c>
      <c r="B6255" s="3" t="str">
        <f>"00275901"</f>
        <v>00275901</v>
      </c>
    </row>
    <row r="6256" spans="1:2" x14ac:dyDescent="0.25">
      <c r="A6256" s="2">
        <v>6251</v>
      </c>
      <c r="B6256" s="3" t="str">
        <f>"00275915"</f>
        <v>00275915</v>
      </c>
    </row>
    <row r="6257" spans="1:2" x14ac:dyDescent="0.25">
      <c r="A6257" s="2">
        <v>6252</v>
      </c>
      <c r="B6257" s="3" t="str">
        <f>"00276015"</f>
        <v>00276015</v>
      </c>
    </row>
    <row r="6258" spans="1:2" x14ac:dyDescent="0.25">
      <c r="A6258" s="2">
        <v>6253</v>
      </c>
      <c r="B6258" s="3" t="str">
        <f>"00276056"</f>
        <v>00276056</v>
      </c>
    </row>
    <row r="6259" spans="1:2" x14ac:dyDescent="0.25">
      <c r="A6259" s="2">
        <v>6254</v>
      </c>
      <c r="B6259" s="3" t="str">
        <f>"00276058"</f>
        <v>00276058</v>
      </c>
    </row>
    <row r="6260" spans="1:2" x14ac:dyDescent="0.25">
      <c r="A6260" s="2">
        <v>6255</v>
      </c>
      <c r="B6260" s="3" t="str">
        <f>"00276094"</f>
        <v>00276094</v>
      </c>
    </row>
    <row r="6261" spans="1:2" x14ac:dyDescent="0.25">
      <c r="A6261" s="2">
        <v>6256</v>
      </c>
      <c r="B6261" s="3" t="str">
        <f>"00276293"</f>
        <v>00276293</v>
      </c>
    </row>
    <row r="6262" spans="1:2" x14ac:dyDescent="0.25">
      <c r="A6262" s="2">
        <v>6257</v>
      </c>
      <c r="B6262" s="3" t="str">
        <f>"00276323"</f>
        <v>00276323</v>
      </c>
    </row>
    <row r="6263" spans="1:2" x14ac:dyDescent="0.25">
      <c r="A6263" s="2">
        <v>6258</v>
      </c>
      <c r="B6263" s="3" t="str">
        <f>"00276330"</f>
        <v>00276330</v>
      </c>
    </row>
    <row r="6264" spans="1:2" x14ac:dyDescent="0.25">
      <c r="A6264" s="2">
        <v>6259</v>
      </c>
      <c r="B6264" s="3" t="str">
        <f>"00276331"</f>
        <v>00276331</v>
      </c>
    </row>
    <row r="6265" spans="1:2" x14ac:dyDescent="0.25">
      <c r="A6265" s="2">
        <v>6260</v>
      </c>
      <c r="B6265" s="3" t="str">
        <f>"00276357"</f>
        <v>00276357</v>
      </c>
    </row>
    <row r="6266" spans="1:2" x14ac:dyDescent="0.25">
      <c r="A6266" s="2">
        <v>6261</v>
      </c>
      <c r="B6266" s="3" t="str">
        <f>"00276403"</f>
        <v>00276403</v>
      </c>
    </row>
    <row r="6267" spans="1:2" x14ac:dyDescent="0.25">
      <c r="A6267" s="2">
        <v>6262</v>
      </c>
      <c r="B6267" s="3" t="str">
        <f>"00276426"</f>
        <v>00276426</v>
      </c>
    </row>
    <row r="6268" spans="1:2" x14ac:dyDescent="0.25">
      <c r="A6268" s="2">
        <v>6263</v>
      </c>
      <c r="B6268" s="3" t="str">
        <f>"00276514"</f>
        <v>00276514</v>
      </c>
    </row>
    <row r="6269" spans="1:2" x14ac:dyDescent="0.25">
      <c r="A6269" s="2">
        <v>6264</v>
      </c>
      <c r="B6269" s="3" t="str">
        <f>"00276526"</f>
        <v>00276526</v>
      </c>
    </row>
    <row r="6270" spans="1:2" x14ac:dyDescent="0.25">
      <c r="A6270" s="2">
        <v>6265</v>
      </c>
      <c r="B6270" s="3" t="str">
        <f>"00276555"</f>
        <v>00276555</v>
      </c>
    </row>
    <row r="6271" spans="1:2" x14ac:dyDescent="0.25">
      <c r="A6271" s="2">
        <v>6266</v>
      </c>
      <c r="B6271" s="3" t="str">
        <f>"00276590"</f>
        <v>00276590</v>
      </c>
    </row>
    <row r="6272" spans="1:2" x14ac:dyDescent="0.25">
      <c r="A6272" s="2">
        <v>6267</v>
      </c>
      <c r="B6272" s="3" t="str">
        <f>"00276645"</f>
        <v>00276645</v>
      </c>
    </row>
    <row r="6273" spans="1:2" x14ac:dyDescent="0.25">
      <c r="A6273" s="2">
        <v>6268</v>
      </c>
      <c r="B6273" s="3" t="str">
        <f>"00276845"</f>
        <v>00276845</v>
      </c>
    </row>
    <row r="6274" spans="1:2" x14ac:dyDescent="0.25">
      <c r="A6274" s="2">
        <v>6269</v>
      </c>
      <c r="B6274" s="3" t="str">
        <f>"00276853"</f>
        <v>00276853</v>
      </c>
    </row>
    <row r="6275" spans="1:2" x14ac:dyDescent="0.25">
      <c r="A6275" s="2">
        <v>6270</v>
      </c>
      <c r="B6275" s="3" t="str">
        <f>"00276875"</f>
        <v>00276875</v>
      </c>
    </row>
    <row r="6276" spans="1:2" x14ac:dyDescent="0.25">
      <c r="A6276" s="2">
        <v>6271</v>
      </c>
      <c r="B6276" s="3" t="str">
        <f>"00276891"</f>
        <v>00276891</v>
      </c>
    </row>
    <row r="6277" spans="1:2" x14ac:dyDescent="0.25">
      <c r="A6277" s="2">
        <v>6272</v>
      </c>
      <c r="B6277" s="3" t="str">
        <f>"00276926"</f>
        <v>00276926</v>
      </c>
    </row>
    <row r="6278" spans="1:2" x14ac:dyDescent="0.25">
      <c r="A6278" s="2">
        <v>6273</v>
      </c>
      <c r="B6278" s="3" t="str">
        <f>"00276960"</f>
        <v>00276960</v>
      </c>
    </row>
    <row r="6279" spans="1:2" x14ac:dyDescent="0.25">
      <c r="A6279" s="2">
        <v>6274</v>
      </c>
      <c r="B6279" s="3" t="str">
        <f>"00277058"</f>
        <v>00277058</v>
      </c>
    </row>
    <row r="6280" spans="1:2" x14ac:dyDescent="0.25">
      <c r="A6280" s="2">
        <v>6275</v>
      </c>
      <c r="B6280" s="3" t="str">
        <f>"00277096"</f>
        <v>00277096</v>
      </c>
    </row>
    <row r="6281" spans="1:2" x14ac:dyDescent="0.25">
      <c r="A6281" s="2">
        <v>6276</v>
      </c>
      <c r="B6281" s="3" t="str">
        <f>"00277100"</f>
        <v>00277100</v>
      </c>
    </row>
    <row r="6282" spans="1:2" x14ac:dyDescent="0.25">
      <c r="A6282" s="2">
        <v>6277</v>
      </c>
      <c r="B6282" s="3" t="str">
        <f>"00277107"</f>
        <v>00277107</v>
      </c>
    </row>
    <row r="6283" spans="1:2" x14ac:dyDescent="0.25">
      <c r="A6283" s="2">
        <v>6278</v>
      </c>
      <c r="B6283" s="3" t="str">
        <f>"00277132"</f>
        <v>00277132</v>
      </c>
    </row>
    <row r="6284" spans="1:2" x14ac:dyDescent="0.25">
      <c r="A6284" s="2">
        <v>6279</v>
      </c>
      <c r="B6284" s="3" t="str">
        <f>"00277139"</f>
        <v>00277139</v>
      </c>
    </row>
    <row r="6285" spans="1:2" x14ac:dyDescent="0.25">
      <c r="A6285" s="2">
        <v>6280</v>
      </c>
      <c r="B6285" s="3" t="str">
        <f>"00277161"</f>
        <v>00277161</v>
      </c>
    </row>
    <row r="6286" spans="1:2" x14ac:dyDescent="0.25">
      <c r="A6286" s="2">
        <v>6281</v>
      </c>
      <c r="B6286" s="3" t="str">
        <f>"00277210"</f>
        <v>00277210</v>
      </c>
    </row>
    <row r="6287" spans="1:2" x14ac:dyDescent="0.25">
      <c r="A6287" s="2">
        <v>6282</v>
      </c>
      <c r="B6287" s="3" t="str">
        <f>"00277290"</f>
        <v>00277290</v>
      </c>
    </row>
    <row r="6288" spans="1:2" x14ac:dyDescent="0.25">
      <c r="A6288" s="2">
        <v>6283</v>
      </c>
      <c r="B6288" s="3" t="str">
        <f>"00277381"</f>
        <v>00277381</v>
      </c>
    </row>
    <row r="6289" spans="1:2" x14ac:dyDescent="0.25">
      <c r="A6289" s="2">
        <v>6284</v>
      </c>
      <c r="B6289" s="3" t="str">
        <f>"00277391"</f>
        <v>00277391</v>
      </c>
    </row>
    <row r="6290" spans="1:2" x14ac:dyDescent="0.25">
      <c r="A6290" s="2">
        <v>6285</v>
      </c>
      <c r="B6290" s="3" t="str">
        <f>"00277410"</f>
        <v>00277410</v>
      </c>
    </row>
    <row r="6291" spans="1:2" x14ac:dyDescent="0.25">
      <c r="A6291" s="2">
        <v>6286</v>
      </c>
      <c r="B6291" s="3" t="str">
        <f>"00277411"</f>
        <v>00277411</v>
      </c>
    </row>
    <row r="6292" spans="1:2" x14ac:dyDescent="0.25">
      <c r="A6292" s="2">
        <v>6287</v>
      </c>
      <c r="B6292" s="3" t="str">
        <f>"00277417"</f>
        <v>00277417</v>
      </c>
    </row>
    <row r="6293" spans="1:2" x14ac:dyDescent="0.25">
      <c r="A6293" s="2">
        <v>6288</v>
      </c>
      <c r="B6293" s="3" t="str">
        <f>"00277427"</f>
        <v>00277427</v>
      </c>
    </row>
    <row r="6294" spans="1:2" x14ac:dyDescent="0.25">
      <c r="A6294" s="2">
        <v>6289</v>
      </c>
      <c r="B6294" s="3" t="str">
        <f>"00277434"</f>
        <v>00277434</v>
      </c>
    </row>
    <row r="6295" spans="1:2" x14ac:dyDescent="0.25">
      <c r="A6295" s="2">
        <v>6290</v>
      </c>
      <c r="B6295" s="3" t="str">
        <f>"00277435"</f>
        <v>00277435</v>
      </c>
    </row>
    <row r="6296" spans="1:2" x14ac:dyDescent="0.25">
      <c r="A6296" s="2">
        <v>6291</v>
      </c>
      <c r="B6296" s="3" t="str">
        <f>"00277450"</f>
        <v>00277450</v>
      </c>
    </row>
    <row r="6297" spans="1:2" x14ac:dyDescent="0.25">
      <c r="A6297" s="2">
        <v>6292</v>
      </c>
      <c r="B6297" s="3" t="str">
        <f>"00277498"</f>
        <v>00277498</v>
      </c>
    </row>
    <row r="6298" spans="1:2" x14ac:dyDescent="0.25">
      <c r="A6298" s="2">
        <v>6293</v>
      </c>
      <c r="B6298" s="3" t="str">
        <f>"00277538"</f>
        <v>00277538</v>
      </c>
    </row>
    <row r="6299" spans="1:2" x14ac:dyDescent="0.25">
      <c r="A6299" s="2">
        <v>6294</v>
      </c>
      <c r="B6299" s="3" t="str">
        <f>"00277542"</f>
        <v>00277542</v>
      </c>
    </row>
    <row r="6300" spans="1:2" x14ac:dyDescent="0.25">
      <c r="A6300" s="2">
        <v>6295</v>
      </c>
      <c r="B6300" s="3" t="str">
        <f>"00277553"</f>
        <v>00277553</v>
      </c>
    </row>
    <row r="6301" spans="1:2" x14ac:dyDescent="0.25">
      <c r="A6301" s="2">
        <v>6296</v>
      </c>
      <c r="B6301" s="3" t="str">
        <f>"00277618"</f>
        <v>00277618</v>
      </c>
    </row>
    <row r="6302" spans="1:2" x14ac:dyDescent="0.25">
      <c r="A6302" s="2">
        <v>6297</v>
      </c>
      <c r="B6302" s="3" t="str">
        <f>"00277672"</f>
        <v>00277672</v>
      </c>
    </row>
    <row r="6303" spans="1:2" x14ac:dyDescent="0.25">
      <c r="A6303" s="2">
        <v>6298</v>
      </c>
      <c r="B6303" s="3" t="str">
        <f>"00277683"</f>
        <v>00277683</v>
      </c>
    </row>
    <row r="6304" spans="1:2" x14ac:dyDescent="0.25">
      <c r="A6304" s="2">
        <v>6299</v>
      </c>
      <c r="B6304" s="3" t="str">
        <f>"00277709"</f>
        <v>00277709</v>
      </c>
    </row>
    <row r="6305" spans="1:2" x14ac:dyDescent="0.25">
      <c r="A6305" s="2">
        <v>6300</v>
      </c>
      <c r="B6305" s="3" t="str">
        <f>"00277745"</f>
        <v>00277745</v>
      </c>
    </row>
    <row r="6306" spans="1:2" x14ac:dyDescent="0.25">
      <c r="A6306" s="2">
        <v>6301</v>
      </c>
      <c r="B6306" s="3" t="str">
        <f>"00277788"</f>
        <v>00277788</v>
      </c>
    </row>
    <row r="6307" spans="1:2" x14ac:dyDescent="0.25">
      <c r="A6307" s="2">
        <v>6302</v>
      </c>
      <c r="B6307" s="3" t="str">
        <f>"00277794"</f>
        <v>00277794</v>
      </c>
    </row>
    <row r="6308" spans="1:2" x14ac:dyDescent="0.25">
      <c r="A6308" s="2">
        <v>6303</v>
      </c>
      <c r="B6308" s="3" t="str">
        <f>"00277847"</f>
        <v>00277847</v>
      </c>
    </row>
    <row r="6309" spans="1:2" x14ac:dyDescent="0.25">
      <c r="A6309" s="2">
        <v>6304</v>
      </c>
      <c r="B6309" s="3" t="str">
        <f>"00277850"</f>
        <v>00277850</v>
      </c>
    </row>
    <row r="6310" spans="1:2" x14ac:dyDescent="0.25">
      <c r="A6310" s="2">
        <v>6305</v>
      </c>
      <c r="B6310" s="3" t="str">
        <f>"00277994"</f>
        <v>00277994</v>
      </c>
    </row>
    <row r="6311" spans="1:2" x14ac:dyDescent="0.25">
      <c r="A6311" s="2">
        <v>6306</v>
      </c>
      <c r="B6311" s="3" t="str">
        <f>"00278031"</f>
        <v>00278031</v>
      </c>
    </row>
    <row r="6312" spans="1:2" x14ac:dyDescent="0.25">
      <c r="A6312" s="2">
        <v>6307</v>
      </c>
      <c r="B6312" s="3" t="str">
        <f>"00278099"</f>
        <v>00278099</v>
      </c>
    </row>
    <row r="6313" spans="1:2" x14ac:dyDescent="0.25">
      <c r="A6313" s="2">
        <v>6308</v>
      </c>
      <c r="B6313" s="3" t="str">
        <f>"00278104"</f>
        <v>00278104</v>
      </c>
    </row>
    <row r="6314" spans="1:2" x14ac:dyDescent="0.25">
      <c r="A6314" s="2">
        <v>6309</v>
      </c>
      <c r="B6314" s="3" t="str">
        <f>"00278108"</f>
        <v>00278108</v>
      </c>
    </row>
    <row r="6315" spans="1:2" x14ac:dyDescent="0.25">
      <c r="A6315" s="2">
        <v>6310</v>
      </c>
      <c r="B6315" s="3" t="str">
        <f>"00278125"</f>
        <v>00278125</v>
      </c>
    </row>
    <row r="6316" spans="1:2" x14ac:dyDescent="0.25">
      <c r="A6316" s="2">
        <v>6311</v>
      </c>
      <c r="B6316" s="3" t="str">
        <f>"00278156"</f>
        <v>00278156</v>
      </c>
    </row>
    <row r="6317" spans="1:2" x14ac:dyDescent="0.25">
      <c r="A6317" s="2">
        <v>6312</v>
      </c>
      <c r="B6317" s="3" t="str">
        <f>"00278165"</f>
        <v>00278165</v>
      </c>
    </row>
    <row r="6318" spans="1:2" x14ac:dyDescent="0.25">
      <c r="A6318" s="2">
        <v>6313</v>
      </c>
      <c r="B6318" s="3" t="str">
        <f>"00278190"</f>
        <v>00278190</v>
      </c>
    </row>
    <row r="6319" spans="1:2" x14ac:dyDescent="0.25">
      <c r="A6319" s="2">
        <v>6314</v>
      </c>
      <c r="B6319" s="3" t="str">
        <f>"00278203"</f>
        <v>00278203</v>
      </c>
    </row>
    <row r="6320" spans="1:2" x14ac:dyDescent="0.25">
      <c r="A6320" s="2">
        <v>6315</v>
      </c>
      <c r="B6320" s="3" t="str">
        <f>"00278269"</f>
        <v>00278269</v>
      </c>
    </row>
    <row r="6321" spans="1:2" x14ac:dyDescent="0.25">
      <c r="A6321" s="2">
        <v>6316</v>
      </c>
      <c r="B6321" s="3" t="str">
        <f>"00278300"</f>
        <v>00278300</v>
      </c>
    </row>
    <row r="6322" spans="1:2" x14ac:dyDescent="0.25">
      <c r="A6322" s="2">
        <v>6317</v>
      </c>
      <c r="B6322" s="3" t="str">
        <f>"00278305"</f>
        <v>00278305</v>
      </c>
    </row>
    <row r="6323" spans="1:2" x14ac:dyDescent="0.25">
      <c r="A6323" s="2">
        <v>6318</v>
      </c>
      <c r="B6323" s="3" t="str">
        <f>"00278330"</f>
        <v>00278330</v>
      </c>
    </row>
    <row r="6324" spans="1:2" x14ac:dyDescent="0.25">
      <c r="A6324" s="2">
        <v>6319</v>
      </c>
      <c r="B6324" s="3" t="str">
        <f>"00278403"</f>
        <v>00278403</v>
      </c>
    </row>
    <row r="6325" spans="1:2" x14ac:dyDescent="0.25">
      <c r="A6325" s="2">
        <v>6320</v>
      </c>
      <c r="B6325" s="3" t="str">
        <f>"00278427"</f>
        <v>00278427</v>
      </c>
    </row>
    <row r="6326" spans="1:2" x14ac:dyDescent="0.25">
      <c r="A6326" s="2">
        <v>6321</v>
      </c>
      <c r="B6326" s="3" t="str">
        <f>"00278491"</f>
        <v>00278491</v>
      </c>
    </row>
    <row r="6327" spans="1:2" x14ac:dyDescent="0.25">
      <c r="A6327" s="2">
        <v>6322</v>
      </c>
      <c r="B6327" s="3" t="str">
        <f>"00278502"</f>
        <v>00278502</v>
      </c>
    </row>
    <row r="6328" spans="1:2" x14ac:dyDescent="0.25">
      <c r="A6328" s="2">
        <v>6323</v>
      </c>
      <c r="B6328" s="3" t="str">
        <f>"00278555"</f>
        <v>00278555</v>
      </c>
    </row>
    <row r="6329" spans="1:2" x14ac:dyDescent="0.25">
      <c r="A6329" s="2">
        <v>6324</v>
      </c>
      <c r="B6329" s="3" t="str">
        <f>"00278671"</f>
        <v>00278671</v>
      </c>
    </row>
    <row r="6330" spans="1:2" x14ac:dyDescent="0.25">
      <c r="A6330" s="2">
        <v>6325</v>
      </c>
      <c r="B6330" s="3" t="str">
        <f>"00278689"</f>
        <v>00278689</v>
      </c>
    </row>
    <row r="6331" spans="1:2" x14ac:dyDescent="0.25">
      <c r="A6331" s="2">
        <v>6326</v>
      </c>
      <c r="B6331" s="3" t="str">
        <f>"00278711"</f>
        <v>00278711</v>
      </c>
    </row>
    <row r="6332" spans="1:2" x14ac:dyDescent="0.25">
      <c r="A6332" s="2">
        <v>6327</v>
      </c>
      <c r="B6332" s="3" t="str">
        <f>"00278722"</f>
        <v>00278722</v>
      </c>
    </row>
    <row r="6333" spans="1:2" x14ac:dyDescent="0.25">
      <c r="A6333" s="2">
        <v>6328</v>
      </c>
      <c r="B6333" s="3" t="str">
        <f>"00278739"</f>
        <v>00278739</v>
      </c>
    </row>
    <row r="6334" spans="1:2" x14ac:dyDescent="0.25">
      <c r="A6334" s="2">
        <v>6329</v>
      </c>
      <c r="B6334" s="3" t="str">
        <f>"00278756"</f>
        <v>00278756</v>
      </c>
    </row>
    <row r="6335" spans="1:2" x14ac:dyDescent="0.25">
      <c r="A6335" s="2">
        <v>6330</v>
      </c>
      <c r="B6335" s="3" t="str">
        <f>"00278771"</f>
        <v>00278771</v>
      </c>
    </row>
    <row r="6336" spans="1:2" x14ac:dyDescent="0.25">
      <c r="A6336" s="2">
        <v>6331</v>
      </c>
      <c r="B6336" s="3" t="str">
        <f>"00278790"</f>
        <v>00278790</v>
      </c>
    </row>
    <row r="6337" spans="1:2" x14ac:dyDescent="0.25">
      <c r="A6337" s="2">
        <v>6332</v>
      </c>
      <c r="B6337" s="3" t="str">
        <f>"00278815"</f>
        <v>00278815</v>
      </c>
    </row>
    <row r="6338" spans="1:2" x14ac:dyDescent="0.25">
      <c r="A6338" s="2">
        <v>6333</v>
      </c>
      <c r="B6338" s="3" t="str">
        <f>"00278816"</f>
        <v>00278816</v>
      </c>
    </row>
    <row r="6339" spans="1:2" x14ac:dyDescent="0.25">
      <c r="A6339" s="2">
        <v>6334</v>
      </c>
      <c r="B6339" s="3" t="str">
        <f>"00278824"</f>
        <v>00278824</v>
      </c>
    </row>
    <row r="6340" spans="1:2" x14ac:dyDescent="0.25">
      <c r="A6340" s="2">
        <v>6335</v>
      </c>
      <c r="B6340" s="3" t="str">
        <f>"00278860"</f>
        <v>00278860</v>
      </c>
    </row>
    <row r="6341" spans="1:2" x14ac:dyDescent="0.25">
      <c r="A6341" s="2">
        <v>6336</v>
      </c>
      <c r="B6341" s="3" t="str">
        <f>"00278891"</f>
        <v>00278891</v>
      </c>
    </row>
    <row r="6342" spans="1:2" x14ac:dyDescent="0.25">
      <c r="A6342" s="2">
        <v>6337</v>
      </c>
      <c r="B6342" s="3" t="str">
        <f>"00278936"</f>
        <v>00278936</v>
      </c>
    </row>
    <row r="6343" spans="1:2" x14ac:dyDescent="0.25">
      <c r="A6343" s="2">
        <v>6338</v>
      </c>
      <c r="B6343" s="3" t="str">
        <f>"00278941"</f>
        <v>00278941</v>
      </c>
    </row>
    <row r="6344" spans="1:2" x14ac:dyDescent="0.25">
      <c r="A6344" s="2">
        <v>6339</v>
      </c>
      <c r="B6344" s="3" t="str">
        <f>"00279035"</f>
        <v>00279035</v>
      </c>
    </row>
    <row r="6345" spans="1:2" x14ac:dyDescent="0.25">
      <c r="A6345" s="2">
        <v>6340</v>
      </c>
      <c r="B6345" s="3" t="str">
        <f>"00279046"</f>
        <v>00279046</v>
      </c>
    </row>
    <row r="6346" spans="1:2" x14ac:dyDescent="0.25">
      <c r="A6346" s="2">
        <v>6341</v>
      </c>
      <c r="B6346" s="3" t="str">
        <f>"00279068"</f>
        <v>00279068</v>
      </c>
    </row>
    <row r="6347" spans="1:2" x14ac:dyDescent="0.25">
      <c r="A6347" s="2">
        <v>6342</v>
      </c>
      <c r="B6347" s="3" t="str">
        <f>"00279087"</f>
        <v>00279087</v>
      </c>
    </row>
    <row r="6348" spans="1:2" x14ac:dyDescent="0.25">
      <c r="A6348" s="2">
        <v>6343</v>
      </c>
      <c r="B6348" s="3" t="str">
        <f>"00279094"</f>
        <v>00279094</v>
      </c>
    </row>
    <row r="6349" spans="1:2" x14ac:dyDescent="0.25">
      <c r="A6349" s="2">
        <v>6344</v>
      </c>
      <c r="B6349" s="3" t="str">
        <f>"00279104"</f>
        <v>00279104</v>
      </c>
    </row>
    <row r="6350" spans="1:2" x14ac:dyDescent="0.25">
      <c r="A6350" s="2">
        <v>6345</v>
      </c>
      <c r="B6350" s="3" t="str">
        <f>"00279131"</f>
        <v>00279131</v>
      </c>
    </row>
    <row r="6351" spans="1:2" x14ac:dyDescent="0.25">
      <c r="A6351" s="2">
        <v>6346</v>
      </c>
      <c r="B6351" s="3" t="str">
        <f>"00279181"</f>
        <v>00279181</v>
      </c>
    </row>
    <row r="6352" spans="1:2" x14ac:dyDescent="0.25">
      <c r="A6352" s="2">
        <v>6347</v>
      </c>
      <c r="B6352" s="3" t="str">
        <f>"00279208"</f>
        <v>00279208</v>
      </c>
    </row>
    <row r="6353" spans="1:2" x14ac:dyDescent="0.25">
      <c r="A6353" s="2">
        <v>6348</v>
      </c>
      <c r="B6353" s="3" t="str">
        <f>"00279246"</f>
        <v>00279246</v>
      </c>
    </row>
    <row r="6354" spans="1:2" x14ac:dyDescent="0.25">
      <c r="A6354" s="2">
        <v>6349</v>
      </c>
      <c r="B6354" s="3" t="str">
        <f>"00279356"</f>
        <v>00279356</v>
      </c>
    </row>
    <row r="6355" spans="1:2" x14ac:dyDescent="0.25">
      <c r="A6355" s="2">
        <v>6350</v>
      </c>
      <c r="B6355" s="3" t="str">
        <f>"00279429"</f>
        <v>00279429</v>
      </c>
    </row>
    <row r="6356" spans="1:2" x14ac:dyDescent="0.25">
      <c r="A6356" s="2">
        <v>6351</v>
      </c>
      <c r="B6356" s="3" t="str">
        <f>"00279507"</f>
        <v>00279507</v>
      </c>
    </row>
    <row r="6357" spans="1:2" x14ac:dyDescent="0.25">
      <c r="A6357" s="2">
        <v>6352</v>
      </c>
      <c r="B6357" s="3" t="str">
        <f>"00279511"</f>
        <v>00279511</v>
      </c>
    </row>
    <row r="6358" spans="1:2" x14ac:dyDescent="0.25">
      <c r="A6358" s="2">
        <v>6353</v>
      </c>
      <c r="B6358" s="3" t="str">
        <f>"00279531"</f>
        <v>00279531</v>
      </c>
    </row>
    <row r="6359" spans="1:2" x14ac:dyDescent="0.25">
      <c r="A6359" s="2">
        <v>6354</v>
      </c>
      <c r="B6359" s="3" t="str">
        <f>"00279587"</f>
        <v>00279587</v>
      </c>
    </row>
    <row r="6360" spans="1:2" x14ac:dyDescent="0.25">
      <c r="A6360" s="2">
        <v>6355</v>
      </c>
      <c r="B6360" s="3" t="str">
        <f>"00279593"</f>
        <v>00279593</v>
      </c>
    </row>
    <row r="6361" spans="1:2" x14ac:dyDescent="0.25">
      <c r="A6361" s="2">
        <v>6356</v>
      </c>
      <c r="B6361" s="3" t="str">
        <f>"00279647"</f>
        <v>00279647</v>
      </c>
    </row>
    <row r="6362" spans="1:2" x14ac:dyDescent="0.25">
      <c r="A6362" s="2">
        <v>6357</v>
      </c>
      <c r="B6362" s="3" t="str">
        <f>"00279674"</f>
        <v>00279674</v>
      </c>
    </row>
    <row r="6363" spans="1:2" x14ac:dyDescent="0.25">
      <c r="A6363" s="2">
        <v>6358</v>
      </c>
      <c r="B6363" s="3" t="str">
        <f>"00279683"</f>
        <v>00279683</v>
      </c>
    </row>
    <row r="6364" spans="1:2" x14ac:dyDescent="0.25">
      <c r="A6364" s="2">
        <v>6359</v>
      </c>
      <c r="B6364" s="3" t="str">
        <f>"00279708"</f>
        <v>00279708</v>
      </c>
    </row>
    <row r="6365" spans="1:2" x14ac:dyDescent="0.25">
      <c r="A6365" s="2">
        <v>6360</v>
      </c>
      <c r="B6365" s="3" t="str">
        <f>"00279751"</f>
        <v>00279751</v>
      </c>
    </row>
    <row r="6366" spans="1:2" x14ac:dyDescent="0.25">
      <c r="A6366" s="2">
        <v>6361</v>
      </c>
      <c r="B6366" s="3" t="str">
        <f>"00279756"</f>
        <v>00279756</v>
      </c>
    </row>
    <row r="6367" spans="1:2" x14ac:dyDescent="0.25">
      <c r="A6367" s="2">
        <v>6362</v>
      </c>
      <c r="B6367" s="3" t="str">
        <f>"00279798"</f>
        <v>00279798</v>
      </c>
    </row>
    <row r="6368" spans="1:2" x14ac:dyDescent="0.25">
      <c r="A6368" s="2">
        <v>6363</v>
      </c>
      <c r="B6368" s="3" t="str">
        <f>"00279810"</f>
        <v>00279810</v>
      </c>
    </row>
    <row r="6369" spans="1:2" x14ac:dyDescent="0.25">
      <c r="A6369" s="2">
        <v>6364</v>
      </c>
      <c r="B6369" s="3" t="str">
        <f>"00279814"</f>
        <v>00279814</v>
      </c>
    </row>
    <row r="6370" spans="1:2" x14ac:dyDescent="0.25">
      <c r="A6370" s="2">
        <v>6365</v>
      </c>
      <c r="B6370" s="3" t="str">
        <f>"00279819"</f>
        <v>00279819</v>
      </c>
    </row>
    <row r="6371" spans="1:2" x14ac:dyDescent="0.25">
      <c r="A6371" s="2">
        <v>6366</v>
      </c>
      <c r="B6371" s="3" t="str">
        <f>"00279836"</f>
        <v>00279836</v>
      </c>
    </row>
    <row r="6372" spans="1:2" x14ac:dyDescent="0.25">
      <c r="A6372" s="2">
        <v>6367</v>
      </c>
      <c r="B6372" s="3" t="str">
        <f>"00279910"</f>
        <v>00279910</v>
      </c>
    </row>
    <row r="6373" spans="1:2" x14ac:dyDescent="0.25">
      <c r="A6373" s="2">
        <v>6368</v>
      </c>
      <c r="B6373" s="3" t="str">
        <f>"00279927"</f>
        <v>00279927</v>
      </c>
    </row>
    <row r="6374" spans="1:2" x14ac:dyDescent="0.25">
      <c r="A6374" s="2">
        <v>6369</v>
      </c>
      <c r="B6374" s="3" t="str">
        <f>"00279951"</f>
        <v>00279951</v>
      </c>
    </row>
    <row r="6375" spans="1:2" x14ac:dyDescent="0.25">
      <c r="A6375" s="2">
        <v>6370</v>
      </c>
      <c r="B6375" s="3" t="str">
        <f>"00279988"</f>
        <v>00279988</v>
      </c>
    </row>
    <row r="6376" spans="1:2" x14ac:dyDescent="0.25">
      <c r="A6376" s="2">
        <v>6371</v>
      </c>
      <c r="B6376" s="3" t="str">
        <f>"00280053"</f>
        <v>00280053</v>
      </c>
    </row>
    <row r="6377" spans="1:2" x14ac:dyDescent="0.25">
      <c r="A6377" s="2">
        <v>6372</v>
      </c>
      <c r="B6377" s="3" t="str">
        <f>"00280071"</f>
        <v>00280071</v>
      </c>
    </row>
    <row r="6378" spans="1:2" x14ac:dyDescent="0.25">
      <c r="A6378" s="2">
        <v>6373</v>
      </c>
      <c r="B6378" s="3" t="str">
        <f>"00280292"</f>
        <v>00280292</v>
      </c>
    </row>
    <row r="6379" spans="1:2" x14ac:dyDescent="0.25">
      <c r="A6379" s="2">
        <v>6374</v>
      </c>
      <c r="B6379" s="3" t="str">
        <f>"00280293"</f>
        <v>00280293</v>
      </c>
    </row>
    <row r="6380" spans="1:2" x14ac:dyDescent="0.25">
      <c r="A6380" s="2">
        <v>6375</v>
      </c>
      <c r="B6380" s="3" t="str">
        <f>"00280300"</f>
        <v>00280300</v>
      </c>
    </row>
    <row r="6381" spans="1:2" x14ac:dyDescent="0.25">
      <c r="A6381" s="2">
        <v>6376</v>
      </c>
      <c r="B6381" s="3" t="str">
        <f>"00280303"</f>
        <v>00280303</v>
      </c>
    </row>
    <row r="6382" spans="1:2" x14ac:dyDescent="0.25">
      <c r="A6382" s="2">
        <v>6377</v>
      </c>
      <c r="B6382" s="3" t="str">
        <f>"00280323"</f>
        <v>00280323</v>
      </c>
    </row>
    <row r="6383" spans="1:2" x14ac:dyDescent="0.25">
      <c r="A6383" s="2">
        <v>6378</v>
      </c>
      <c r="B6383" s="3" t="str">
        <f>"00280329"</f>
        <v>00280329</v>
      </c>
    </row>
    <row r="6384" spans="1:2" x14ac:dyDescent="0.25">
      <c r="A6384" s="2">
        <v>6379</v>
      </c>
      <c r="B6384" s="3" t="str">
        <f>"00280372"</f>
        <v>00280372</v>
      </c>
    </row>
    <row r="6385" spans="1:2" x14ac:dyDescent="0.25">
      <c r="A6385" s="2">
        <v>6380</v>
      </c>
      <c r="B6385" s="3" t="str">
        <f>"00280426"</f>
        <v>00280426</v>
      </c>
    </row>
    <row r="6386" spans="1:2" x14ac:dyDescent="0.25">
      <c r="A6386" s="2">
        <v>6381</v>
      </c>
      <c r="B6386" s="3" t="str">
        <f>"00280488"</f>
        <v>00280488</v>
      </c>
    </row>
    <row r="6387" spans="1:2" x14ac:dyDescent="0.25">
      <c r="A6387" s="2">
        <v>6382</v>
      </c>
      <c r="B6387" s="3" t="str">
        <f>"00280557"</f>
        <v>00280557</v>
      </c>
    </row>
    <row r="6388" spans="1:2" x14ac:dyDescent="0.25">
      <c r="A6388" s="2">
        <v>6383</v>
      </c>
      <c r="B6388" s="3" t="str">
        <f>"00280624"</f>
        <v>00280624</v>
      </c>
    </row>
    <row r="6389" spans="1:2" x14ac:dyDescent="0.25">
      <c r="A6389" s="2">
        <v>6384</v>
      </c>
      <c r="B6389" s="3" t="str">
        <f>"00280660"</f>
        <v>00280660</v>
      </c>
    </row>
    <row r="6390" spans="1:2" x14ac:dyDescent="0.25">
      <c r="A6390" s="2">
        <v>6385</v>
      </c>
      <c r="B6390" s="3" t="str">
        <f>"00280689"</f>
        <v>00280689</v>
      </c>
    </row>
    <row r="6391" spans="1:2" x14ac:dyDescent="0.25">
      <c r="A6391" s="2">
        <v>6386</v>
      </c>
      <c r="B6391" s="3" t="str">
        <f>"00280741"</f>
        <v>00280741</v>
      </c>
    </row>
    <row r="6392" spans="1:2" x14ac:dyDescent="0.25">
      <c r="A6392" s="2">
        <v>6387</v>
      </c>
      <c r="B6392" s="3" t="str">
        <f>"00280743"</f>
        <v>00280743</v>
      </c>
    </row>
    <row r="6393" spans="1:2" x14ac:dyDescent="0.25">
      <c r="A6393" s="2">
        <v>6388</v>
      </c>
      <c r="B6393" s="3" t="str">
        <f>"00280744"</f>
        <v>00280744</v>
      </c>
    </row>
    <row r="6394" spans="1:2" x14ac:dyDescent="0.25">
      <c r="A6394" s="2">
        <v>6389</v>
      </c>
      <c r="B6394" s="3" t="str">
        <f>"00280758"</f>
        <v>00280758</v>
      </c>
    </row>
    <row r="6395" spans="1:2" x14ac:dyDescent="0.25">
      <c r="A6395" s="2">
        <v>6390</v>
      </c>
      <c r="B6395" s="3" t="str">
        <f>"00280763"</f>
        <v>00280763</v>
      </c>
    </row>
    <row r="6396" spans="1:2" x14ac:dyDescent="0.25">
      <c r="A6396" s="2">
        <v>6391</v>
      </c>
      <c r="B6396" s="3" t="str">
        <f>"00280772"</f>
        <v>00280772</v>
      </c>
    </row>
    <row r="6397" spans="1:2" x14ac:dyDescent="0.25">
      <c r="A6397" s="2">
        <v>6392</v>
      </c>
      <c r="B6397" s="3" t="str">
        <f>"00280773"</f>
        <v>00280773</v>
      </c>
    </row>
    <row r="6398" spans="1:2" x14ac:dyDescent="0.25">
      <c r="A6398" s="2">
        <v>6393</v>
      </c>
      <c r="B6398" s="3" t="str">
        <f>"00280780"</f>
        <v>00280780</v>
      </c>
    </row>
    <row r="6399" spans="1:2" x14ac:dyDescent="0.25">
      <c r="A6399" s="2">
        <v>6394</v>
      </c>
      <c r="B6399" s="3" t="str">
        <f>"00280804"</f>
        <v>00280804</v>
      </c>
    </row>
    <row r="6400" spans="1:2" x14ac:dyDescent="0.25">
      <c r="A6400" s="2">
        <v>6395</v>
      </c>
      <c r="B6400" s="3" t="str">
        <f>"00280851"</f>
        <v>00280851</v>
      </c>
    </row>
    <row r="6401" spans="1:2" x14ac:dyDescent="0.25">
      <c r="A6401" s="2">
        <v>6396</v>
      </c>
      <c r="B6401" s="3" t="str">
        <f>"00280875"</f>
        <v>00280875</v>
      </c>
    </row>
    <row r="6402" spans="1:2" x14ac:dyDescent="0.25">
      <c r="A6402" s="2">
        <v>6397</v>
      </c>
      <c r="B6402" s="3" t="str">
        <f>"00280935"</f>
        <v>00280935</v>
      </c>
    </row>
    <row r="6403" spans="1:2" x14ac:dyDescent="0.25">
      <c r="A6403" s="2">
        <v>6398</v>
      </c>
      <c r="B6403" s="3" t="str">
        <f>"00280941"</f>
        <v>00280941</v>
      </c>
    </row>
    <row r="6404" spans="1:2" x14ac:dyDescent="0.25">
      <c r="A6404" s="2">
        <v>6399</v>
      </c>
      <c r="B6404" s="3" t="str">
        <f>"00280947"</f>
        <v>00280947</v>
      </c>
    </row>
    <row r="6405" spans="1:2" x14ac:dyDescent="0.25">
      <c r="A6405" s="2">
        <v>6400</v>
      </c>
      <c r="B6405" s="3" t="str">
        <f>"00280954"</f>
        <v>00280954</v>
      </c>
    </row>
    <row r="6406" spans="1:2" x14ac:dyDescent="0.25">
      <c r="A6406" s="2">
        <v>6401</v>
      </c>
      <c r="B6406" s="3" t="str">
        <f>"00280955"</f>
        <v>00280955</v>
      </c>
    </row>
    <row r="6407" spans="1:2" x14ac:dyDescent="0.25">
      <c r="A6407" s="2">
        <v>6402</v>
      </c>
      <c r="B6407" s="3" t="str">
        <f>"00280974"</f>
        <v>00280974</v>
      </c>
    </row>
    <row r="6408" spans="1:2" x14ac:dyDescent="0.25">
      <c r="A6408" s="2">
        <v>6403</v>
      </c>
      <c r="B6408" s="3" t="str">
        <f>"00280977"</f>
        <v>00280977</v>
      </c>
    </row>
    <row r="6409" spans="1:2" x14ac:dyDescent="0.25">
      <c r="A6409" s="2">
        <v>6404</v>
      </c>
      <c r="B6409" s="3" t="str">
        <f>"00280984"</f>
        <v>00280984</v>
      </c>
    </row>
    <row r="6410" spans="1:2" x14ac:dyDescent="0.25">
      <c r="A6410" s="2">
        <v>6405</v>
      </c>
      <c r="B6410" s="3" t="str">
        <f>"00281012"</f>
        <v>00281012</v>
      </c>
    </row>
    <row r="6411" spans="1:2" x14ac:dyDescent="0.25">
      <c r="A6411" s="2">
        <v>6406</v>
      </c>
      <c r="B6411" s="3" t="str">
        <f>"00281024"</f>
        <v>00281024</v>
      </c>
    </row>
    <row r="6412" spans="1:2" x14ac:dyDescent="0.25">
      <c r="A6412" s="2">
        <v>6407</v>
      </c>
      <c r="B6412" s="3" t="str">
        <f>"00281061"</f>
        <v>00281061</v>
      </c>
    </row>
    <row r="6413" spans="1:2" x14ac:dyDescent="0.25">
      <c r="A6413" s="2">
        <v>6408</v>
      </c>
      <c r="B6413" s="3" t="str">
        <f>"00281070"</f>
        <v>00281070</v>
      </c>
    </row>
    <row r="6414" spans="1:2" x14ac:dyDescent="0.25">
      <c r="A6414" s="2">
        <v>6409</v>
      </c>
      <c r="B6414" s="3" t="str">
        <f>"00281107"</f>
        <v>00281107</v>
      </c>
    </row>
    <row r="6415" spans="1:2" x14ac:dyDescent="0.25">
      <c r="A6415" s="2">
        <v>6410</v>
      </c>
      <c r="B6415" s="3" t="str">
        <f>"00281157"</f>
        <v>00281157</v>
      </c>
    </row>
    <row r="6416" spans="1:2" x14ac:dyDescent="0.25">
      <c r="A6416" s="2">
        <v>6411</v>
      </c>
      <c r="B6416" s="3" t="str">
        <f>"00281188"</f>
        <v>00281188</v>
      </c>
    </row>
    <row r="6417" spans="1:2" x14ac:dyDescent="0.25">
      <c r="A6417" s="2">
        <v>6412</v>
      </c>
      <c r="B6417" s="3" t="str">
        <f>"00281190"</f>
        <v>00281190</v>
      </c>
    </row>
    <row r="6418" spans="1:2" x14ac:dyDescent="0.25">
      <c r="A6418" s="2">
        <v>6413</v>
      </c>
      <c r="B6418" s="3" t="str">
        <f>"00281213"</f>
        <v>00281213</v>
      </c>
    </row>
    <row r="6419" spans="1:2" x14ac:dyDescent="0.25">
      <c r="A6419" s="2">
        <v>6414</v>
      </c>
      <c r="B6419" s="3" t="str">
        <f>"00281225"</f>
        <v>00281225</v>
      </c>
    </row>
    <row r="6420" spans="1:2" x14ac:dyDescent="0.25">
      <c r="A6420" s="2">
        <v>6415</v>
      </c>
      <c r="B6420" s="3" t="str">
        <f>"00281252"</f>
        <v>00281252</v>
      </c>
    </row>
    <row r="6421" spans="1:2" x14ac:dyDescent="0.25">
      <c r="A6421" s="2">
        <v>6416</v>
      </c>
      <c r="B6421" s="3" t="str">
        <f>"00281253"</f>
        <v>00281253</v>
      </c>
    </row>
    <row r="6422" spans="1:2" x14ac:dyDescent="0.25">
      <c r="A6422" s="2">
        <v>6417</v>
      </c>
      <c r="B6422" s="3" t="str">
        <f>"00281306"</f>
        <v>00281306</v>
      </c>
    </row>
    <row r="6423" spans="1:2" x14ac:dyDescent="0.25">
      <c r="A6423" s="2">
        <v>6418</v>
      </c>
      <c r="B6423" s="3" t="str">
        <f>"00281321"</f>
        <v>00281321</v>
      </c>
    </row>
    <row r="6424" spans="1:2" x14ac:dyDescent="0.25">
      <c r="A6424" s="2">
        <v>6419</v>
      </c>
      <c r="B6424" s="3" t="str">
        <f>"00281326"</f>
        <v>00281326</v>
      </c>
    </row>
    <row r="6425" spans="1:2" x14ac:dyDescent="0.25">
      <c r="A6425" s="2">
        <v>6420</v>
      </c>
      <c r="B6425" s="3" t="str">
        <f>"00281369"</f>
        <v>00281369</v>
      </c>
    </row>
    <row r="6426" spans="1:2" x14ac:dyDescent="0.25">
      <c r="A6426" s="2">
        <v>6421</v>
      </c>
      <c r="B6426" s="3" t="str">
        <f>"00281385"</f>
        <v>00281385</v>
      </c>
    </row>
    <row r="6427" spans="1:2" x14ac:dyDescent="0.25">
      <c r="A6427" s="2">
        <v>6422</v>
      </c>
      <c r="B6427" s="3" t="str">
        <f>"00281405"</f>
        <v>00281405</v>
      </c>
    </row>
    <row r="6428" spans="1:2" x14ac:dyDescent="0.25">
      <c r="A6428" s="2">
        <v>6423</v>
      </c>
      <c r="B6428" s="3" t="str">
        <f>"00281439"</f>
        <v>00281439</v>
      </c>
    </row>
    <row r="6429" spans="1:2" x14ac:dyDescent="0.25">
      <c r="A6429" s="2">
        <v>6424</v>
      </c>
      <c r="B6429" s="3" t="str">
        <f>"00281453"</f>
        <v>00281453</v>
      </c>
    </row>
    <row r="6430" spans="1:2" x14ac:dyDescent="0.25">
      <c r="A6430" s="2">
        <v>6425</v>
      </c>
      <c r="B6430" s="3" t="str">
        <f>"00281476"</f>
        <v>00281476</v>
      </c>
    </row>
    <row r="6431" spans="1:2" x14ac:dyDescent="0.25">
      <c r="A6431" s="2">
        <v>6426</v>
      </c>
      <c r="B6431" s="3" t="str">
        <f>"00281563"</f>
        <v>00281563</v>
      </c>
    </row>
    <row r="6432" spans="1:2" x14ac:dyDescent="0.25">
      <c r="A6432" s="2">
        <v>6427</v>
      </c>
      <c r="B6432" s="3" t="str">
        <f>"00281628"</f>
        <v>00281628</v>
      </c>
    </row>
    <row r="6433" spans="1:2" x14ac:dyDescent="0.25">
      <c r="A6433" s="2">
        <v>6428</v>
      </c>
      <c r="B6433" s="3" t="str">
        <f>"00281706"</f>
        <v>00281706</v>
      </c>
    </row>
    <row r="6434" spans="1:2" x14ac:dyDescent="0.25">
      <c r="A6434" s="2">
        <v>6429</v>
      </c>
      <c r="B6434" s="3" t="str">
        <f>"00281736"</f>
        <v>00281736</v>
      </c>
    </row>
    <row r="6435" spans="1:2" x14ac:dyDescent="0.25">
      <c r="A6435" s="2">
        <v>6430</v>
      </c>
      <c r="B6435" s="3" t="str">
        <f>"00281756"</f>
        <v>00281756</v>
      </c>
    </row>
    <row r="6436" spans="1:2" x14ac:dyDescent="0.25">
      <c r="A6436" s="2">
        <v>6431</v>
      </c>
      <c r="B6436" s="3" t="str">
        <f>"00281768"</f>
        <v>00281768</v>
      </c>
    </row>
    <row r="6437" spans="1:2" x14ac:dyDescent="0.25">
      <c r="A6437" s="2">
        <v>6432</v>
      </c>
      <c r="B6437" s="3" t="str">
        <f>"00281769"</f>
        <v>00281769</v>
      </c>
    </row>
    <row r="6438" spans="1:2" x14ac:dyDescent="0.25">
      <c r="A6438" s="2">
        <v>6433</v>
      </c>
      <c r="B6438" s="3" t="str">
        <f>"00281771"</f>
        <v>00281771</v>
      </c>
    </row>
    <row r="6439" spans="1:2" x14ac:dyDescent="0.25">
      <c r="A6439" s="2">
        <v>6434</v>
      </c>
      <c r="B6439" s="3" t="str">
        <f>"00281794"</f>
        <v>00281794</v>
      </c>
    </row>
    <row r="6440" spans="1:2" x14ac:dyDescent="0.25">
      <c r="A6440" s="2">
        <v>6435</v>
      </c>
      <c r="B6440" s="3" t="str">
        <f>"00281873"</f>
        <v>00281873</v>
      </c>
    </row>
    <row r="6441" spans="1:2" x14ac:dyDescent="0.25">
      <c r="A6441" s="2">
        <v>6436</v>
      </c>
      <c r="B6441" s="3" t="str">
        <f>"00281902"</f>
        <v>00281902</v>
      </c>
    </row>
    <row r="6442" spans="1:2" x14ac:dyDescent="0.25">
      <c r="A6442" s="2">
        <v>6437</v>
      </c>
      <c r="B6442" s="3" t="str">
        <f>"00282037"</f>
        <v>00282037</v>
      </c>
    </row>
    <row r="6443" spans="1:2" x14ac:dyDescent="0.25">
      <c r="A6443" s="2">
        <v>6438</v>
      </c>
      <c r="B6443" s="3" t="str">
        <f>"00282077"</f>
        <v>00282077</v>
      </c>
    </row>
    <row r="6444" spans="1:2" x14ac:dyDescent="0.25">
      <c r="A6444" s="2">
        <v>6439</v>
      </c>
      <c r="B6444" s="3" t="str">
        <f>"00282121"</f>
        <v>00282121</v>
      </c>
    </row>
    <row r="6445" spans="1:2" x14ac:dyDescent="0.25">
      <c r="A6445" s="2">
        <v>6440</v>
      </c>
      <c r="B6445" s="3" t="str">
        <f>"00282154"</f>
        <v>00282154</v>
      </c>
    </row>
    <row r="6446" spans="1:2" x14ac:dyDescent="0.25">
      <c r="A6446" s="2">
        <v>6441</v>
      </c>
      <c r="B6446" s="3" t="str">
        <f>"00282176"</f>
        <v>00282176</v>
      </c>
    </row>
    <row r="6447" spans="1:2" x14ac:dyDescent="0.25">
      <c r="A6447" s="2">
        <v>6442</v>
      </c>
      <c r="B6447" s="3" t="str">
        <f>"00282179"</f>
        <v>00282179</v>
      </c>
    </row>
    <row r="6448" spans="1:2" x14ac:dyDescent="0.25">
      <c r="A6448" s="2">
        <v>6443</v>
      </c>
      <c r="B6448" s="3" t="str">
        <f>"00282183"</f>
        <v>00282183</v>
      </c>
    </row>
    <row r="6449" spans="1:2" x14ac:dyDescent="0.25">
      <c r="A6449" s="2">
        <v>6444</v>
      </c>
      <c r="B6449" s="3" t="str">
        <f>"00282236"</f>
        <v>00282236</v>
      </c>
    </row>
    <row r="6450" spans="1:2" x14ac:dyDescent="0.25">
      <c r="A6450" s="2">
        <v>6445</v>
      </c>
      <c r="B6450" s="3" t="str">
        <f>"00282281"</f>
        <v>00282281</v>
      </c>
    </row>
    <row r="6451" spans="1:2" x14ac:dyDescent="0.25">
      <c r="A6451" s="2">
        <v>6446</v>
      </c>
      <c r="B6451" s="3" t="str">
        <f>"00282369"</f>
        <v>00282369</v>
      </c>
    </row>
    <row r="6452" spans="1:2" x14ac:dyDescent="0.25">
      <c r="A6452" s="2">
        <v>6447</v>
      </c>
      <c r="B6452" s="3" t="str">
        <f>"00282387"</f>
        <v>00282387</v>
      </c>
    </row>
    <row r="6453" spans="1:2" x14ac:dyDescent="0.25">
      <c r="A6453" s="2">
        <v>6448</v>
      </c>
      <c r="B6453" s="3" t="str">
        <f>"00282441"</f>
        <v>00282441</v>
      </c>
    </row>
    <row r="6454" spans="1:2" x14ac:dyDescent="0.25">
      <c r="A6454" s="2">
        <v>6449</v>
      </c>
      <c r="B6454" s="3" t="str">
        <f>"00282486"</f>
        <v>00282486</v>
      </c>
    </row>
    <row r="6455" spans="1:2" x14ac:dyDescent="0.25">
      <c r="A6455" s="2">
        <v>6450</v>
      </c>
      <c r="B6455" s="3" t="str">
        <f>"00282502"</f>
        <v>00282502</v>
      </c>
    </row>
    <row r="6456" spans="1:2" x14ac:dyDescent="0.25">
      <c r="A6456" s="2">
        <v>6451</v>
      </c>
      <c r="B6456" s="3" t="str">
        <f>"00282563"</f>
        <v>00282563</v>
      </c>
    </row>
    <row r="6457" spans="1:2" x14ac:dyDescent="0.25">
      <c r="A6457" s="2">
        <v>6452</v>
      </c>
      <c r="B6457" s="3" t="str">
        <f>"00282568"</f>
        <v>00282568</v>
      </c>
    </row>
    <row r="6458" spans="1:2" x14ac:dyDescent="0.25">
      <c r="A6458" s="2">
        <v>6453</v>
      </c>
      <c r="B6458" s="3" t="str">
        <f>"00282608"</f>
        <v>00282608</v>
      </c>
    </row>
    <row r="6459" spans="1:2" x14ac:dyDescent="0.25">
      <c r="A6459" s="2">
        <v>6454</v>
      </c>
      <c r="B6459" s="3" t="str">
        <f>"00282632"</f>
        <v>00282632</v>
      </c>
    </row>
    <row r="6460" spans="1:2" x14ac:dyDescent="0.25">
      <c r="A6460" s="2">
        <v>6455</v>
      </c>
      <c r="B6460" s="3" t="str">
        <f>"00282654"</f>
        <v>00282654</v>
      </c>
    </row>
    <row r="6461" spans="1:2" x14ac:dyDescent="0.25">
      <c r="A6461" s="2">
        <v>6456</v>
      </c>
      <c r="B6461" s="3" t="str">
        <f>"00282659"</f>
        <v>00282659</v>
      </c>
    </row>
    <row r="6462" spans="1:2" x14ac:dyDescent="0.25">
      <c r="A6462" s="2">
        <v>6457</v>
      </c>
      <c r="B6462" s="3" t="str">
        <f>"00282661"</f>
        <v>00282661</v>
      </c>
    </row>
    <row r="6463" spans="1:2" x14ac:dyDescent="0.25">
      <c r="A6463" s="2">
        <v>6458</v>
      </c>
      <c r="B6463" s="3" t="str">
        <f>"00282672"</f>
        <v>00282672</v>
      </c>
    </row>
    <row r="6464" spans="1:2" x14ac:dyDescent="0.25">
      <c r="A6464" s="2">
        <v>6459</v>
      </c>
      <c r="B6464" s="3" t="str">
        <f>"00282687"</f>
        <v>00282687</v>
      </c>
    </row>
    <row r="6465" spans="1:2" x14ac:dyDescent="0.25">
      <c r="A6465" s="2">
        <v>6460</v>
      </c>
      <c r="B6465" s="3" t="str">
        <f>"00282714"</f>
        <v>00282714</v>
      </c>
    </row>
    <row r="6466" spans="1:2" x14ac:dyDescent="0.25">
      <c r="A6466" s="2">
        <v>6461</v>
      </c>
      <c r="B6466" s="3" t="str">
        <f>"00282718"</f>
        <v>00282718</v>
      </c>
    </row>
    <row r="6467" spans="1:2" x14ac:dyDescent="0.25">
      <c r="A6467" s="2">
        <v>6462</v>
      </c>
      <c r="B6467" s="3" t="str">
        <f>"00282722"</f>
        <v>00282722</v>
      </c>
    </row>
    <row r="6468" spans="1:2" x14ac:dyDescent="0.25">
      <c r="A6468" s="2">
        <v>6463</v>
      </c>
      <c r="B6468" s="3" t="str">
        <f>"00282743"</f>
        <v>00282743</v>
      </c>
    </row>
    <row r="6469" spans="1:2" x14ac:dyDescent="0.25">
      <c r="A6469" s="2">
        <v>6464</v>
      </c>
      <c r="B6469" s="3" t="str">
        <f>"00282750"</f>
        <v>00282750</v>
      </c>
    </row>
    <row r="6470" spans="1:2" x14ac:dyDescent="0.25">
      <c r="A6470" s="2">
        <v>6465</v>
      </c>
      <c r="B6470" s="3" t="str">
        <f>"00282762"</f>
        <v>00282762</v>
      </c>
    </row>
    <row r="6471" spans="1:2" x14ac:dyDescent="0.25">
      <c r="A6471" s="2">
        <v>6466</v>
      </c>
      <c r="B6471" s="3" t="str">
        <f>"00282764"</f>
        <v>00282764</v>
      </c>
    </row>
    <row r="6472" spans="1:2" x14ac:dyDescent="0.25">
      <c r="A6472" s="2">
        <v>6467</v>
      </c>
      <c r="B6472" s="3" t="str">
        <f>"00282787"</f>
        <v>00282787</v>
      </c>
    </row>
    <row r="6473" spans="1:2" x14ac:dyDescent="0.25">
      <c r="A6473" s="2">
        <v>6468</v>
      </c>
      <c r="B6473" s="3" t="str">
        <f>"00282813"</f>
        <v>00282813</v>
      </c>
    </row>
    <row r="6474" spans="1:2" x14ac:dyDescent="0.25">
      <c r="A6474" s="2">
        <v>6469</v>
      </c>
      <c r="B6474" s="3" t="str">
        <f>"00282833"</f>
        <v>00282833</v>
      </c>
    </row>
    <row r="6475" spans="1:2" x14ac:dyDescent="0.25">
      <c r="A6475" s="2">
        <v>6470</v>
      </c>
      <c r="B6475" s="3" t="str">
        <f>"00282839"</f>
        <v>00282839</v>
      </c>
    </row>
    <row r="6476" spans="1:2" x14ac:dyDescent="0.25">
      <c r="A6476" s="2">
        <v>6471</v>
      </c>
      <c r="B6476" s="3" t="str">
        <f>"00282872"</f>
        <v>00282872</v>
      </c>
    </row>
    <row r="6477" spans="1:2" x14ac:dyDescent="0.25">
      <c r="A6477" s="2">
        <v>6472</v>
      </c>
      <c r="B6477" s="3" t="str">
        <f>"00282884"</f>
        <v>00282884</v>
      </c>
    </row>
    <row r="6478" spans="1:2" x14ac:dyDescent="0.25">
      <c r="A6478" s="2">
        <v>6473</v>
      </c>
      <c r="B6478" s="3" t="str">
        <f>"00282898"</f>
        <v>00282898</v>
      </c>
    </row>
    <row r="6479" spans="1:2" x14ac:dyDescent="0.25">
      <c r="A6479" s="2">
        <v>6474</v>
      </c>
      <c r="B6479" s="3" t="str">
        <f>"00282901"</f>
        <v>00282901</v>
      </c>
    </row>
    <row r="6480" spans="1:2" x14ac:dyDescent="0.25">
      <c r="A6480" s="2">
        <v>6475</v>
      </c>
      <c r="B6480" s="3" t="str">
        <f>"00282921"</f>
        <v>00282921</v>
      </c>
    </row>
    <row r="6481" spans="1:2" x14ac:dyDescent="0.25">
      <c r="A6481" s="2">
        <v>6476</v>
      </c>
      <c r="B6481" s="3" t="str">
        <f>"00282935"</f>
        <v>00282935</v>
      </c>
    </row>
    <row r="6482" spans="1:2" x14ac:dyDescent="0.25">
      <c r="A6482" s="2">
        <v>6477</v>
      </c>
      <c r="B6482" s="3" t="str">
        <f>"00283074"</f>
        <v>00283074</v>
      </c>
    </row>
    <row r="6483" spans="1:2" x14ac:dyDescent="0.25">
      <c r="A6483" s="2">
        <v>6478</v>
      </c>
      <c r="B6483" s="3" t="str">
        <f>"00283080"</f>
        <v>00283080</v>
      </c>
    </row>
    <row r="6484" spans="1:2" x14ac:dyDescent="0.25">
      <c r="A6484" s="2">
        <v>6479</v>
      </c>
      <c r="B6484" s="3" t="str">
        <f>"00283085"</f>
        <v>00283085</v>
      </c>
    </row>
    <row r="6485" spans="1:2" x14ac:dyDescent="0.25">
      <c r="A6485" s="2">
        <v>6480</v>
      </c>
      <c r="B6485" s="3" t="str">
        <f>"00283086"</f>
        <v>00283086</v>
      </c>
    </row>
    <row r="6486" spans="1:2" x14ac:dyDescent="0.25">
      <c r="A6486" s="2">
        <v>6481</v>
      </c>
      <c r="B6486" s="3" t="str">
        <f>"00283087"</f>
        <v>00283087</v>
      </c>
    </row>
    <row r="6487" spans="1:2" x14ac:dyDescent="0.25">
      <c r="A6487" s="2">
        <v>6482</v>
      </c>
      <c r="B6487" s="3" t="str">
        <f>"00283088"</f>
        <v>00283088</v>
      </c>
    </row>
    <row r="6488" spans="1:2" x14ac:dyDescent="0.25">
      <c r="A6488" s="2">
        <v>6483</v>
      </c>
      <c r="B6488" s="3" t="str">
        <f>"00283150"</f>
        <v>00283150</v>
      </c>
    </row>
    <row r="6489" spans="1:2" x14ac:dyDescent="0.25">
      <c r="A6489" s="2">
        <v>6484</v>
      </c>
      <c r="B6489" s="3" t="str">
        <f>"00283174"</f>
        <v>00283174</v>
      </c>
    </row>
    <row r="6490" spans="1:2" x14ac:dyDescent="0.25">
      <c r="A6490" s="2">
        <v>6485</v>
      </c>
      <c r="B6490" s="3" t="str">
        <f>"00283192"</f>
        <v>00283192</v>
      </c>
    </row>
    <row r="6491" spans="1:2" x14ac:dyDescent="0.25">
      <c r="A6491" s="2">
        <v>6486</v>
      </c>
      <c r="B6491" s="3" t="str">
        <f>"00283201"</f>
        <v>00283201</v>
      </c>
    </row>
    <row r="6492" spans="1:2" x14ac:dyDescent="0.25">
      <c r="A6492" s="2">
        <v>6487</v>
      </c>
      <c r="B6492" s="3" t="str">
        <f>"00283207"</f>
        <v>00283207</v>
      </c>
    </row>
    <row r="6493" spans="1:2" x14ac:dyDescent="0.25">
      <c r="A6493" s="2">
        <v>6488</v>
      </c>
      <c r="B6493" s="3" t="str">
        <f>"00283217"</f>
        <v>00283217</v>
      </c>
    </row>
    <row r="6494" spans="1:2" x14ac:dyDescent="0.25">
      <c r="A6494" s="2">
        <v>6489</v>
      </c>
      <c r="B6494" s="3" t="str">
        <f>"00283220"</f>
        <v>00283220</v>
      </c>
    </row>
    <row r="6495" spans="1:2" x14ac:dyDescent="0.25">
      <c r="A6495" s="2">
        <v>6490</v>
      </c>
      <c r="B6495" s="3" t="str">
        <f>"00283223"</f>
        <v>00283223</v>
      </c>
    </row>
    <row r="6496" spans="1:2" x14ac:dyDescent="0.25">
      <c r="A6496" s="2">
        <v>6491</v>
      </c>
      <c r="B6496" s="3" t="str">
        <f>"00283236"</f>
        <v>00283236</v>
      </c>
    </row>
    <row r="6497" spans="1:2" x14ac:dyDescent="0.25">
      <c r="A6497" s="2">
        <v>6492</v>
      </c>
      <c r="B6497" s="3" t="str">
        <f>"00283263"</f>
        <v>00283263</v>
      </c>
    </row>
    <row r="6498" spans="1:2" x14ac:dyDescent="0.25">
      <c r="A6498" s="2">
        <v>6493</v>
      </c>
      <c r="B6498" s="3" t="str">
        <f>"00283307"</f>
        <v>00283307</v>
      </c>
    </row>
    <row r="6499" spans="1:2" x14ac:dyDescent="0.25">
      <c r="A6499" s="2">
        <v>6494</v>
      </c>
      <c r="B6499" s="3" t="str">
        <f>"00283327"</f>
        <v>00283327</v>
      </c>
    </row>
    <row r="6500" spans="1:2" x14ac:dyDescent="0.25">
      <c r="A6500" s="2">
        <v>6495</v>
      </c>
      <c r="B6500" s="3" t="str">
        <f>"00283347"</f>
        <v>00283347</v>
      </c>
    </row>
    <row r="6501" spans="1:2" x14ac:dyDescent="0.25">
      <c r="A6501" s="2">
        <v>6496</v>
      </c>
      <c r="B6501" s="3" t="str">
        <f>"00283396"</f>
        <v>00283396</v>
      </c>
    </row>
    <row r="6502" spans="1:2" x14ac:dyDescent="0.25">
      <c r="A6502" s="2">
        <v>6497</v>
      </c>
      <c r="B6502" s="3" t="str">
        <f>"00283429"</f>
        <v>00283429</v>
      </c>
    </row>
    <row r="6503" spans="1:2" x14ac:dyDescent="0.25">
      <c r="A6503" s="2">
        <v>6498</v>
      </c>
      <c r="B6503" s="3" t="str">
        <f>"00283433"</f>
        <v>00283433</v>
      </c>
    </row>
    <row r="6504" spans="1:2" x14ac:dyDescent="0.25">
      <c r="A6504" s="2">
        <v>6499</v>
      </c>
      <c r="B6504" s="3" t="str">
        <f>"00283500"</f>
        <v>00283500</v>
      </c>
    </row>
    <row r="6505" spans="1:2" x14ac:dyDescent="0.25">
      <c r="A6505" s="2">
        <v>6500</v>
      </c>
      <c r="B6505" s="3" t="str">
        <f>"00283506"</f>
        <v>00283506</v>
      </c>
    </row>
    <row r="6506" spans="1:2" x14ac:dyDescent="0.25">
      <c r="A6506" s="2">
        <v>6501</v>
      </c>
      <c r="B6506" s="3" t="str">
        <f>"00283513"</f>
        <v>00283513</v>
      </c>
    </row>
    <row r="6507" spans="1:2" x14ac:dyDescent="0.25">
      <c r="A6507" s="2">
        <v>6502</v>
      </c>
      <c r="B6507" s="3" t="str">
        <f>"00283522"</f>
        <v>00283522</v>
      </c>
    </row>
    <row r="6508" spans="1:2" x14ac:dyDescent="0.25">
      <c r="A6508" s="2">
        <v>6503</v>
      </c>
      <c r="B6508" s="3" t="str">
        <f>"00283642"</f>
        <v>00283642</v>
      </c>
    </row>
    <row r="6509" spans="1:2" x14ac:dyDescent="0.25">
      <c r="A6509" s="2">
        <v>6504</v>
      </c>
      <c r="B6509" s="3" t="str">
        <f>"00283676"</f>
        <v>00283676</v>
      </c>
    </row>
    <row r="6510" spans="1:2" x14ac:dyDescent="0.25">
      <c r="A6510" s="2">
        <v>6505</v>
      </c>
      <c r="B6510" s="3" t="str">
        <f>"00283691"</f>
        <v>00283691</v>
      </c>
    </row>
    <row r="6511" spans="1:2" x14ac:dyDescent="0.25">
      <c r="A6511" s="2">
        <v>6506</v>
      </c>
      <c r="B6511" s="3" t="str">
        <f>"00283693"</f>
        <v>00283693</v>
      </c>
    </row>
    <row r="6512" spans="1:2" x14ac:dyDescent="0.25">
      <c r="A6512" s="2">
        <v>6507</v>
      </c>
      <c r="B6512" s="3" t="str">
        <f>"00283700"</f>
        <v>00283700</v>
      </c>
    </row>
    <row r="6513" spans="1:2" x14ac:dyDescent="0.25">
      <c r="A6513" s="2">
        <v>6508</v>
      </c>
      <c r="B6513" s="3" t="str">
        <f>"00283720"</f>
        <v>00283720</v>
      </c>
    </row>
    <row r="6514" spans="1:2" x14ac:dyDescent="0.25">
      <c r="A6514" s="2">
        <v>6509</v>
      </c>
      <c r="B6514" s="3" t="str">
        <f>"00283728"</f>
        <v>00283728</v>
      </c>
    </row>
    <row r="6515" spans="1:2" x14ac:dyDescent="0.25">
      <c r="A6515" s="2">
        <v>6510</v>
      </c>
      <c r="B6515" s="3" t="str">
        <f>"00283737"</f>
        <v>00283737</v>
      </c>
    </row>
    <row r="6516" spans="1:2" x14ac:dyDescent="0.25">
      <c r="A6516" s="2">
        <v>6511</v>
      </c>
      <c r="B6516" s="3" t="str">
        <f>"00283845"</f>
        <v>00283845</v>
      </c>
    </row>
    <row r="6517" spans="1:2" x14ac:dyDescent="0.25">
      <c r="A6517" s="2">
        <v>6512</v>
      </c>
      <c r="B6517" s="3" t="str">
        <f>"00283936"</f>
        <v>00283936</v>
      </c>
    </row>
    <row r="6518" spans="1:2" x14ac:dyDescent="0.25">
      <c r="A6518" s="2">
        <v>6513</v>
      </c>
      <c r="B6518" s="3" t="str">
        <f>"00283942"</f>
        <v>00283942</v>
      </c>
    </row>
    <row r="6519" spans="1:2" x14ac:dyDescent="0.25">
      <c r="A6519" s="2">
        <v>6514</v>
      </c>
      <c r="B6519" s="3" t="str">
        <f>"00283994"</f>
        <v>00283994</v>
      </c>
    </row>
    <row r="6520" spans="1:2" x14ac:dyDescent="0.25">
      <c r="A6520" s="2">
        <v>6515</v>
      </c>
      <c r="B6520" s="3" t="str">
        <f>"00284068"</f>
        <v>00284068</v>
      </c>
    </row>
    <row r="6521" spans="1:2" x14ac:dyDescent="0.25">
      <c r="A6521" s="2">
        <v>6516</v>
      </c>
      <c r="B6521" s="3" t="str">
        <f>"00284080"</f>
        <v>00284080</v>
      </c>
    </row>
    <row r="6522" spans="1:2" x14ac:dyDescent="0.25">
      <c r="A6522" s="2">
        <v>6517</v>
      </c>
      <c r="B6522" s="3" t="str">
        <f>"00284086"</f>
        <v>00284086</v>
      </c>
    </row>
    <row r="6523" spans="1:2" x14ac:dyDescent="0.25">
      <c r="A6523" s="2">
        <v>6518</v>
      </c>
      <c r="B6523" s="3" t="str">
        <f>"00284096"</f>
        <v>00284096</v>
      </c>
    </row>
    <row r="6524" spans="1:2" x14ac:dyDescent="0.25">
      <c r="A6524" s="2">
        <v>6519</v>
      </c>
      <c r="B6524" s="3" t="str">
        <f>"00284100"</f>
        <v>00284100</v>
      </c>
    </row>
    <row r="6525" spans="1:2" x14ac:dyDescent="0.25">
      <c r="A6525" s="2">
        <v>6520</v>
      </c>
      <c r="B6525" s="3" t="str">
        <f>"00284102"</f>
        <v>00284102</v>
      </c>
    </row>
    <row r="6526" spans="1:2" x14ac:dyDescent="0.25">
      <c r="A6526" s="2">
        <v>6521</v>
      </c>
      <c r="B6526" s="3" t="str">
        <f>"00284115"</f>
        <v>00284115</v>
      </c>
    </row>
    <row r="6527" spans="1:2" x14ac:dyDescent="0.25">
      <c r="A6527" s="2">
        <v>6522</v>
      </c>
      <c r="B6527" s="3" t="str">
        <f>"00284141"</f>
        <v>00284141</v>
      </c>
    </row>
    <row r="6528" spans="1:2" x14ac:dyDescent="0.25">
      <c r="A6528" s="2">
        <v>6523</v>
      </c>
      <c r="B6528" s="3" t="str">
        <f>"00284162"</f>
        <v>00284162</v>
      </c>
    </row>
    <row r="6529" spans="1:2" x14ac:dyDescent="0.25">
      <c r="A6529" s="2">
        <v>6524</v>
      </c>
      <c r="B6529" s="3" t="str">
        <f>"00284174"</f>
        <v>00284174</v>
      </c>
    </row>
    <row r="6530" spans="1:2" x14ac:dyDescent="0.25">
      <c r="A6530" s="2">
        <v>6525</v>
      </c>
      <c r="B6530" s="3" t="str">
        <f>"00284180"</f>
        <v>00284180</v>
      </c>
    </row>
    <row r="6531" spans="1:2" x14ac:dyDescent="0.25">
      <c r="A6531" s="2">
        <v>6526</v>
      </c>
      <c r="B6531" s="3" t="str">
        <f>"00284193"</f>
        <v>00284193</v>
      </c>
    </row>
    <row r="6532" spans="1:2" x14ac:dyDescent="0.25">
      <c r="A6532" s="2">
        <v>6527</v>
      </c>
      <c r="B6532" s="3" t="str">
        <f>"00284231"</f>
        <v>00284231</v>
      </c>
    </row>
    <row r="6533" spans="1:2" x14ac:dyDescent="0.25">
      <c r="A6533" s="2">
        <v>6528</v>
      </c>
      <c r="B6533" s="3" t="str">
        <f>"00284244"</f>
        <v>00284244</v>
      </c>
    </row>
    <row r="6534" spans="1:2" x14ac:dyDescent="0.25">
      <c r="A6534" s="2">
        <v>6529</v>
      </c>
      <c r="B6534" s="3" t="str">
        <f>"00284268"</f>
        <v>00284268</v>
      </c>
    </row>
    <row r="6535" spans="1:2" x14ac:dyDescent="0.25">
      <c r="A6535" s="2">
        <v>6530</v>
      </c>
      <c r="B6535" s="3" t="str">
        <f>"00284310"</f>
        <v>00284310</v>
      </c>
    </row>
    <row r="6536" spans="1:2" x14ac:dyDescent="0.25">
      <c r="A6536" s="2">
        <v>6531</v>
      </c>
      <c r="B6536" s="3" t="str">
        <f>"00284317"</f>
        <v>00284317</v>
      </c>
    </row>
    <row r="6537" spans="1:2" x14ac:dyDescent="0.25">
      <c r="A6537" s="2">
        <v>6532</v>
      </c>
      <c r="B6537" s="3" t="str">
        <f>"00284338"</f>
        <v>00284338</v>
      </c>
    </row>
    <row r="6538" spans="1:2" x14ac:dyDescent="0.25">
      <c r="A6538" s="2">
        <v>6533</v>
      </c>
      <c r="B6538" s="3" t="str">
        <f>"00284367"</f>
        <v>00284367</v>
      </c>
    </row>
    <row r="6539" spans="1:2" x14ac:dyDescent="0.25">
      <c r="A6539" s="2">
        <v>6534</v>
      </c>
      <c r="B6539" s="3" t="str">
        <f>"00284633"</f>
        <v>00284633</v>
      </c>
    </row>
    <row r="6540" spans="1:2" x14ac:dyDescent="0.25">
      <c r="A6540" s="2">
        <v>6535</v>
      </c>
      <c r="B6540" s="3" t="str">
        <f>"00284653"</f>
        <v>00284653</v>
      </c>
    </row>
    <row r="6541" spans="1:2" x14ac:dyDescent="0.25">
      <c r="A6541" s="2">
        <v>6536</v>
      </c>
      <c r="B6541" s="3" t="str">
        <f>"00284663"</f>
        <v>00284663</v>
      </c>
    </row>
    <row r="6542" spans="1:2" x14ac:dyDescent="0.25">
      <c r="A6542" s="2">
        <v>6537</v>
      </c>
      <c r="B6542" s="3" t="str">
        <f>"00284730"</f>
        <v>00284730</v>
      </c>
    </row>
    <row r="6543" spans="1:2" x14ac:dyDescent="0.25">
      <c r="A6543" s="2">
        <v>6538</v>
      </c>
      <c r="B6543" s="3" t="str">
        <f>"00284736"</f>
        <v>00284736</v>
      </c>
    </row>
    <row r="6544" spans="1:2" x14ac:dyDescent="0.25">
      <c r="A6544" s="2">
        <v>6539</v>
      </c>
      <c r="B6544" s="3" t="str">
        <f>"00284745"</f>
        <v>00284745</v>
      </c>
    </row>
    <row r="6545" spans="1:2" x14ac:dyDescent="0.25">
      <c r="A6545" s="2">
        <v>6540</v>
      </c>
      <c r="B6545" s="3" t="str">
        <f>"00284761"</f>
        <v>00284761</v>
      </c>
    </row>
    <row r="6546" spans="1:2" x14ac:dyDescent="0.25">
      <c r="A6546" s="2">
        <v>6541</v>
      </c>
      <c r="B6546" s="3" t="str">
        <f>"00284797"</f>
        <v>00284797</v>
      </c>
    </row>
    <row r="6547" spans="1:2" x14ac:dyDescent="0.25">
      <c r="A6547" s="2">
        <v>6542</v>
      </c>
      <c r="B6547" s="3" t="str">
        <f>"00284820"</f>
        <v>00284820</v>
      </c>
    </row>
    <row r="6548" spans="1:2" x14ac:dyDescent="0.25">
      <c r="A6548" s="2">
        <v>6543</v>
      </c>
      <c r="B6548" s="3" t="str">
        <f>"00284850"</f>
        <v>00284850</v>
      </c>
    </row>
    <row r="6549" spans="1:2" x14ac:dyDescent="0.25">
      <c r="A6549" s="2">
        <v>6544</v>
      </c>
      <c r="B6549" s="3" t="str">
        <f>"00284874"</f>
        <v>00284874</v>
      </c>
    </row>
    <row r="6550" spans="1:2" x14ac:dyDescent="0.25">
      <c r="A6550" s="2">
        <v>6545</v>
      </c>
      <c r="B6550" s="3" t="str">
        <f>"00284942"</f>
        <v>00284942</v>
      </c>
    </row>
    <row r="6551" spans="1:2" x14ac:dyDescent="0.25">
      <c r="A6551" s="2">
        <v>6546</v>
      </c>
      <c r="B6551" s="3" t="str">
        <f>"00284977"</f>
        <v>00284977</v>
      </c>
    </row>
    <row r="6552" spans="1:2" x14ac:dyDescent="0.25">
      <c r="A6552" s="2">
        <v>6547</v>
      </c>
      <c r="B6552" s="3" t="str">
        <f>"00285013"</f>
        <v>00285013</v>
      </c>
    </row>
    <row r="6553" spans="1:2" x14ac:dyDescent="0.25">
      <c r="A6553" s="2">
        <v>6548</v>
      </c>
      <c r="B6553" s="3" t="str">
        <f>"00285058"</f>
        <v>00285058</v>
      </c>
    </row>
    <row r="6554" spans="1:2" x14ac:dyDescent="0.25">
      <c r="A6554" s="2">
        <v>6549</v>
      </c>
      <c r="B6554" s="3" t="str">
        <f>"00285069"</f>
        <v>00285069</v>
      </c>
    </row>
    <row r="6555" spans="1:2" x14ac:dyDescent="0.25">
      <c r="A6555" s="2">
        <v>6550</v>
      </c>
      <c r="B6555" s="3" t="str">
        <f>"00285079"</f>
        <v>00285079</v>
      </c>
    </row>
    <row r="6556" spans="1:2" x14ac:dyDescent="0.25">
      <c r="A6556" s="2">
        <v>6551</v>
      </c>
      <c r="B6556" s="3" t="str">
        <f>"00285096"</f>
        <v>00285096</v>
      </c>
    </row>
    <row r="6557" spans="1:2" x14ac:dyDescent="0.25">
      <c r="A6557" s="2">
        <v>6552</v>
      </c>
      <c r="B6557" s="3" t="str">
        <f>"00285125"</f>
        <v>00285125</v>
      </c>
    </row>
    <row r="6558" spans="1:2" x14ac:dyDescent="0.25">
      <c r="A6558" s="2">
        <v>6553</v>
      </c>
      <c r="B6558" s="3" t="str">
        <f>"00285156"</f>
        <v>00285156</v>
      </c>
    </row>
    <row r="6559" spans="1:2" x14ac:dyDescent="0.25">
      <c r="A6559" s="2">
        <v>6554</v>
      </c>
      <c r="B6559" s="3" t="str">
        <f>"00285167"</f>
        <v>00285167</v>
      </c>
    </row>
    <row r="6560" spans="1:2" x14ac:dyDescent="0.25">
      <c r="A6560" s="2">
        <v>6555</v>
      </c>
      <c r="B6560" s="3" t="str">
        <f>"00285201"</f>
        <v>00285201</v>
      </c>
    </row>
    <row r="6561" spans="1:2" x14ac:dyDescent="0.25">
      <c r="A6561" s="2">
        <v>6556</v>
      </c>
      <c r="B6561" s="3" t="str">
        <f>"00285256"</f>
        <v>00285256</v>
      </c>
    </row>
    <row r="6562" spans="1:2" x14ac:dyDescent="0.25">
      <c r="A6562" s="2">
        <v>6557</v>
      </c>
      <c r="B6562" s="3" t="str">
        <f>"00285290"</f>
        <v>00285290</v>
      </c>
    </row>
    <row r="6563" spans="1:2" x14ac:dyDescent="0.25">
      <c r="A6563" s="2">
        <v>6558</v>
      </c>
      <c r="B6563" s="3" t="str">
        <f>"00285419"</f>
        <v>00285419</v>
      </c>
    </row>
    <row r="6564" spans="1:2" x14ac:dyDescent="0.25">
      <c r="A6564" s="2">
        <v>6559</v>
      </c>
      <c r="B6564" s="3" t="str">
        <f>"00285497"</f>
        <v>00285497</v>
      </c>
    </row>
    <row r="6565" spans="1:2" x14ac:dyDescent="0.25">
      <c r="A6565" s="2">
        <v>6560</v>
      </c>
      <c r="B6565" s="3" t="str">
        <f>"00285509"</f>
        <v>00285509</v>
      </c>
    </row>
    <row r="6566" spans="1:2" x14ac:dyDescent="0.25">
      <c r="A6566" s="2">
        <v>6561</v>
      </c>
      <c r="B6566" s="3" t="str">
        <f>"00285513"</f>
        <v>00285513</v>
      </c>
    </row>
    <row r="6567" spans="1:2" x14ac:dyDescent="0.25">
      <c r="A6567" s="2">
        <v>6562</v>
      </c>
      <c r="B6567" s="3" t="str">
        <f>"00285557"</f>
        <v>00285557</v>
      </c>
    </row>
    <row r="6568" spans="1:2" x14ac:dyDescent="0.25">
      <c r="A6568" s="2">
        <v>6563</v>
      </c>
      <c r="B6568" s="3" t="str">
        <f>"00285647"</f>
        <v>00285647</v>
      </c>
    </row>
    <row r="6569" spans="1:2" x14ac:dyDescent="0.25">
      <c r="A6569" s="2">
        <v>6564</v>
      </c>
      <c r="B6569" s="3" t="str">
        <f>"00285686"</f>
        <v>00285686</v>
      </c>
    </row>
    <row r="6570" spans="1:2" x14ac:dyDescent="0.25">
      <c r="A6570" s="2">
        <v>6565</v>
      </c>
      <c r="B6570" s="3" t="str">
        <f>"00285709"</f>
        <v>00285709</v>
      </c>
    </row>
    <row r="6571" spans="1:2" x14ac:dyDescent="0.25">
      <c r="A6571" s="2">
        <v>6566</v>
      </c>
      <c r="B6571" s="3" t="str">
        <f>"00285713"</f>
        <v>00285713</v>
      </c>
    </row>
    <row r="6572" spans="1:2" x14ac:dyDescent="0.25">
      <c r="A6572" s="2">
        <v>6567</v>
      </c>
      <c r="B6572" s="3" t="str">
        <f>"00285798"</f>
        <v>00285798</v>
      </c>
    </row>
    <row r="6573" spans="1:2" x14ac:dyDescent="0.25">
      <c r="A6573" s="2">
        <v>6568</v>
      </c>
      <c r="B6573" s="3" t="str">
        <f>"00285824"</f>
        <v>00285824</v>
      </c>
    </row>
    <row r="6574" spans="1:2" x14ac:dyDescent="0.25">
      <c r="A6574" s="2">
        <v>6569</v>
      </c>
      <c r="B6574" s="3" t="str">
        <f>"00285845"</f>
        <v>00285845</v>
      </c>
    </row>
    <row r="6575" spans="1:2" x14ac:dyDescent="0.25">
      <c r="A6575" s="2">
        <v>6570</v>
      </c>
      <c r="B6575" s="3" t="str">
        <f>"00285864"</f>
        <v>00285864</v>
      </c>
    </row>
    <row r="6576" spans="1:2" x14ac:dyDescent="0.25">
      <c r="A6576" s="2">
        <v>6571</v>
      </c>
      <c r="B6576" s="3" t="str">
        <f>"00285917"</f>
        <v>00285917</v>
      </c>
    </row>
    <row r="6577" spans="1:2" x14ac:dyDescent="0.25">
      <c r="A6577" s="2">
        <v>6572</v>
      </c>
      <c r="B6577" s="3" t="str">
        <f>"00285946"</f>
        <v>00285946</v>
      </c>
    </row>
    <row r="6578" spans="1:2" x14ac:dyDescent="0.25">
      <c r="A6578" s="2">
        <v>6573</v>
      </c>
      <c r="B6578" s="3" t="str">
        <f>"00285968"</f>
        <v>00285968</v>
      </c>
    </row>
    <row r="6579" spans="1:2" x14ac:dyDescent="0.25">
      <c r="A6579" s="2">
        <v>6574</v>
      </c>
      <c r="B6579" s="3" t="str">
        <f>"00286060"</f>
        <v>00286060</v>
      </c>
    </row>
    <row r="6580" spans="1:2" x14ac:dyDescent="0.25">
      <c r="A6580" s="2">
        <v>6575</v>
      </c>
      <c r="B6580" s="3" t="str">
        <f>"00286076"</f>
        <v>00286076</v>
      </c>
    </row>
    <row r="6581" spans="1:2" x14ac:dyDescent="0.25">
      <c r="A6581" s="2">
        <v>6576</v>
      </c>
      <c r="B6581" s="3" t="str">
        <f>"00286113"</f>
        <v>00286113</v>
      </c>
    </row>
    <row r="6582" spans="1:2" x14ac:dyDescent="0.25">
      <c r="A6582" s="2">
        <v>6577</v>
      </c>
      <c r="B6582" s="3" t="str">
        <f>"00286118"</f>
        <v>00286118</v>
      </c>
    </row>
    <row r="6583" spans="1:2" x14ac:dyDescent="0.25">
      <c r="A6583" s="2">
        <v>6578</v>
      </c>
      <c r="B6583" s="3" t="str">
        <f>"00286172"</f>
        <v>00286172</v>
      </c>
    </row>
    <row r="6584" spans="1:2" x14ac:dyDescent="0.25">
      <c r="A6584" s="2">
        <v>6579</v>
      </c>
      <c r="B6584" s="3" t="str">
        <f>"00286184"</f>
        <v>00286184</v>
      </c>
    </row>
    <row r="6585" spans="1:2" x14ac:dyDescent="0.25">
      <c r="A6585" s="2">
        <v>6580</v>
      </c>
      <c r="B6585" s="3" t="str">
        <f>"00286265"</f>
        <v>00286265</v>
      </c>
    </row>
    <row r="6586" spans="1:2" x14ac:dyDescent="0.25">
      <c r="A6586" s="2">
        <v>6581</v>
      </c>
      <c r="B6586" s="3" t="str">
        <f>"00286294"</f>
        <v>00286294</v>
      </c>
    </row>
    <row r="6587" spans="1:2" x14ac:dyDescent="0.25">
      <c r="A6587" s="2">
        <v>6582</v>
      </c>
      <c r="B6587" s="3" t="str">
        <f>"00286342"</f>
        <v>00286342</v>
      </c>
    </row>
    <row r="6588" spans="1:2" x14ac:dyDescent="0.25">
      <c r="A6588" s="2">
        <v>6583</v>
      </c>
      <c r="B6588" s="3" t="str">
        <f>"00286348"</f>
        <v>00286348</v>
      </c>
    </row>
    <row r="6589" spans="1:2" x14ac:dyDescent="0.25">
      <c r="A6589" s="2">
        <v>6584</v>
      </c>
      <c r="B6589" s="3" t="str">
        <f>"00286516"</f>
        <v>00286516</v>
      </c>
    </row>
    <row r="6590" spans="1:2" x14ac:dyDescent="0.25">
      <c r="A6590" s="2">
        <v>6585</v>
      </c>
      <c r="B6590" s="3" t="str">
        <f>"00286517"</f>
        <v>00286517</v>
      </c>
    </row>
    <row r="6591" spans="1:2" x14ac:dyDescent="0.25">
      <c r="A6591" s="2">
        <v>6586</v>
      </c>
      <c r="B6591" s="3" t="str">
        <f>"00286583"</f>
        <v>00286583</v>
      </c>
    </row>
    <row r="6592" spans="1:2" x14ac:dyDescent="0.25">
      <c r="A6592" s="2">
        <v>6587</v>
      </c>
      <c r="B6592" s="3" t="str">
        <f>"00286619"</f>
        <v>00286619</v>
      </c>
    </row>
    <row r="6593" spans="1:2" x14ac:dyDescent="0.25">
      <c r="A6593" s="2">
        <v>6588</v>
      </c>
      <c r="B6593" s="3" t="str">
        <f>"00286646"</f>
        <v>00286646</v>
      </c>
    </row>
    <row r="6594" spans="1:2" x14ac:dyDescent="0.25">
      <c r="A6594" s="2">
        <v>6589</v>
      </c>
      <c r="B6594" s="3" t="str">
        <f>"00286680"</f>
        <v>00286680</v>
      </c>
    </row>
    <row r="6595" spans="1:2" x14ac:dyDescent="0.25">
      <c r="A6595" s="2">
        <v>6590</v>
      </c>
      <c r="B6595" s="3" t="str">
        <f>"00286826"</f>
        <v>00286826</v>
      </c>
    </row>
    <row r="6596" spans="1:2" x14ac:dyDescent="0.25">
      <c r="A6596" s="2">
        <v>6591</v>
      </c>
      <c r="B6596" s="3" t="str">
        <f>"00286828"</f>
        <v>00286828</v>
      </c>
    </row>
    <row r="6597" spans="1:2" x14ac:dyDescent="0.25">
      <c r="A6597" s="2">
        <v>6592</v>
      </c>
      <c r="B6597" s="3" t="str">
        <f>"00286854"</f>
        <v>00286854</v>
      </c>
    </row>
    <row r="6598" spans="1:2" x14ac:dyDescent="0.25">
      <c r="A6598" s="2">
        <v>6593</v>
      </c>
      <c r="B6598" s="3" t="str">
        <f>"00286856"</f>
        <v>00286856</v>
      </c>
    </row>
    <row r="6599" spans="1:2" x14ac:dyDescent="0.25">
      <c r="A6599" s="2">
        <v>6594</v>
      </c>
      <c r="B6599" s="3" t="str">
        <f>"00286863"</f>
        <v>00286863</v>
      </c>
    </row>
    <row r="6600" spans="1:2" x14ac:dyDescent="0.25">
      <c r="A6600" s="2">
        <v>6595</v>
      </c>
      <c r="B6600" s="3" t="str">
        <f>"00286882"</f>
        <v>00286882</v>
      </c>
    </row>
    <row r="6601" spans="1:2" x14ac:dyDescent="0.25">
      <c r="A6601" s="2">
        <v>6596</v>
      </c>
      <c r="B6601" s="3" t="str">
        <f>"00286989"</f>
        <v>00286989</v>
      </c>
    </row>
    <row r="6602" spans="1:2" x14ac:dyDescent="0.25">
      <c r="A6602" s="2">
        <v>6597</v>
      </c>
      <c r="B6602" s="3" t="str">
        <f>"00286991"</f>
        <v>00286991</v>
      </c>
    </row>
    <row r="6603" spans="1:2" x14ac:dyDescent="0.25">
      <c r="A6603" s="2">
        <v>6598</v>
      </c>
      <c r="B6603" s="3" t="str">
        <f>"00287001"</f>
        <v>00287001</v>
      </c>
    </row>
    <row r="6604" spans="1:2" x14ac:dyDescent="0.25">
      <c r="A6604" s="2">
        <v>6599</v>
      </c>
      <c r="B6604" s="3" t="str">
        <f>"00287010"</f>
        <v>00287010</v>
      </c>
    </row>
    <row r="6605" spans="1:2" x14ac:dyDescent="0.25">
      <c r="A6605" s="2">
        <v>6600</v>
      </c>
      <c r="B6605" s="3" t="str">
        <f>"00287015"</f>
        <v>00287015</v>
      </c>
    </row>
    <row r="6606" spans="1:2" x14ac:dyDescent="0.25">
      <c r="A6606" s="2">
        <v>6601</v>
      </c>
      <c r="B6606" s="3" t="str">
        <f>"00287027"</f>
        <v>00287027</v>
      </c>
    </row>
    <row r="6607" spans="1:2" x14ac:dyDescent="0.25">
      <c r="A6607" s="2">
        <v>6602</v>
      </c>
      <c r="B6607" s="3" t="str">
        <f>"00287067"</f>
        <v>00287067</v>
      </c>
    </row>
    <row r="6608" spans="1:2" x14ac:dyDescent="0.25">
      <c r="A6608" s="2">
        <v>6603</v>
      </c>
      <c r="B6608" s="3" t="str">
        <f>"00287086"</f>
        <v>00287086</v>
      </c>
    </row>
    <row r="6609" spans="1:2" x14ac:dyDescent="0.25">
      <c r="A6609" s="2">
        <v>6604</v>
      </c>
      <c r="B6609" s="3" t="str">
        <f>"00287088"</f>
        <v>00287088</v>
      </c>
    </row>
    <row r="6610" spans="1:2" x14ac:dyDescent="0.25">
      <c r="A6610" s="2">
        <v>6605</v>
      </c>
      <c r="B6610" s="3" t="str">
        <f>"00287098"</f>
        <v>00287098</v>
      </c>
    </row>
    <row r="6611" spans="1:2" x14ac:dyDescent="0.25">
      <c r="A6611" s="2">
        <v>6606</v>
      </c>
      <c r="B6611" s="3" t="str">
        <f>"00287104"</f>
        <v>00287104</v>
      </c>
    </row>
    <row r="6612" spans="1:2" x14ac:dyDescent="0.25">
      <c r="A6612" s="2">
        <v>6607</v>
      </c>
      <c r="B6612" s="3" t="str">
        <f>"00287164"</f>
        <v>00287164</v>
      </c>
    </row>
    <row r="6613" spans="1:2" x14ac:dyDescent="0.25">
      <c r="A6613" s="2">
        <v>6608</v>
      </c>
      <c r="B6613" s="3" t="str">
        <f>"00287176"</f>
        <v>00287176</v>
      </c>
    </row>
    <row r="6614" spans="1:2" x14ac:dyDescent="0.25">
      <c r="A6614" s="2">
        <v>6609</v>
      </c>
      <c r="B6614" s="3" t="str">
        <f>"00287188"</f>
        <v>00287188</v>
      </c>
    </row>
    <row r="6615" spans="1:2" x14ac:dyDescent="0.25">
      <c r="A6615" s="2">
        <v>6610</v>
      </c>
      <c r="B6615" s="3" t="str">
        <f>"00287194"</f>
        <v>00287194</v>
      </c>
    </row>
    <row r="6616" spans="1:2" x14ac:dyDescent="0.25">
      <c r="A6616" s="2">
        <v>6611</v>
      </c>
      <c r="B6616" s="3" t="str">
        <f>"00287230"</f>
        <v>00287230</v>
      </c>
    </row>
    <row r="6617" spans="1:2" x14ac:dyDescent="0.25">
      <c r="A6617" s="2">
        <v>6612</v>
      </c>
      <c r="B6617" s="3" t="str">
        <f>"00287278"</f>
        <v>00287278</v>
      </c>
    </row>
    <row r="6618" spans="1:2" x14ac:dyDescent="0.25">
      <c r="A6618" s="2">
        <v>6613</v>
      </c>
      <c r="B6618" s="3" t="str">
        <f>"00287283"</f>
        <v>00287283</v>
      </c>
    </row>
    <row r="6619" spans="1:2" x14ac:dyDescent="0.25">
      <c r="A6619" s="2">
        <v>6614</v>
      </c>
      <c r="B6619" s="3" t="str">
        <f>"00287333"</f>
        <v>00287333</v>
      </c>
    </row>
    <row r="6620" spans="1:2" x14ac:dyDescent="0.25">
      <c r="A6620" s="2">
        <v>6615</v>
      </c>
      <c r="B6620" s="3" t="str">
        <f>"00287335"</f>
        <v>00287335</v>
      </c>
    </row>
    <row r="6621" spans="1:2" x14ac:dyDescent="0.25">
      <c r="A6621" s="2">
        <v>6616</v>
      </c>
      <c r="B6621" s="3" t="str">
        <f>"00287382"</f>
        <v>00287382</v>
      </c>
    </row>
    <row r="6622" spans="1:2" x14ac:dyDescent="0.25">
      <c r="A6622" s="2">
        <v>6617</v>
      </c>
      <c r="B6622" s="3" t="str">
        <f>"00287422"</f>
        <v>00287422</v>
      </c>
    </row>
    <row r="6623" spans="1:2" x14ac:dyDescent="0.25">
      <c r="A6623" s="2">
        <v>6618</v>
      </c>
      <c r="B6623" s="3" t="str">
        <f>"00287450"</f>
        <v>00287450</v>
      </c>
    </row>
    <row r="6624" spans="1:2" x14ac:dyDescent="0.25">
      <c r="A6624" s="2">
        <v>6619</v>
      </c>
      <c r="B6624" s="3" t="str">
        <f>"00287481"</f>
        <v>00287481</v>
      </c>
    </row>
    <row r="6625" spans="1:2" x14ac:dyDescent="0.25">
      <c r="A6625" s="2">
        <v>6620</v>
      </c>
      <c r="B6625" s="3" t="str">
        <f>"00287484"</f>
        <v>00287484</v>
      </c>
    </row>
    <row r="6626" spans="1:2" x14ac:dyDescent="0.25">
      <c r="A6626" s="2">
        <v>6621</v>
      </c>
      <c r="B6626" s="3" t="str">
        <f>"00287492"</f>
        <v>00287492</v>
      </c>
    </row>
    <row r="6627" spans="1:2" x14ac:dyDescent="0.25">
      <c r="A6627" s="2">
        <v>6622</v>
      </c>
      <c r="B6627" s="3" t="str">
        <f>"00287542"</f>
        <v>00287542</v>
      </c>
    </row>
    <row r="6628" spans="1:2" x14ac:dyDescent="0.25">
      <c r="A6628" s="2">
        <v>6623</v>
      </c>
      <c r="B6628" s="3" t="str">
        <f>"00287552"</f>
        <v>00287552</v>
      </c>
    </row>
    <row r="6629" spans="1:2" x14ac:dyDescent="0.25">
      <c r="A6629" s="2">
        <v>6624</v>
      </c>
      <c r="B6629" s="3" t="str">
        <f>"00287596"</f>
        <v>00287596</v>
      </c>
    </row>
    <row r="6630" spans="1:2" x14ac:dyDescent="0.25">
      <c r="A6630" s="2">
        <v>6625</v>
      </c>
      <c r="B6630" s="3" t="str">
        <f>"00287629"</f>
        <v>00287629</v>
      </c>
    </row>
    <row r="6631" spans="1:2" x14ac:dyDescent="0.25">
      <c r="A6631" s="2">
        <v>6626</v>
      </c>
      <c r="B6631" s="3" t="str">
        <f>"00287668"</f>
        <v>00287668</v>
      </c>
    </row>
    <row r="6632" spans="1:2" x14ac:dyDescent="0.25">
      <c r="A6632" s="2">
        <v>6627</v>
      </c>
      <c r="B6632" s="3" t="str">
        <f>"00287791"</f>
        <v>00287791</v>
      </c>
    </row>
    <row r="6633" spans="1:2" x14ac:dyDescent="0.25">
      <c r="A6633" s="2">
        <v>6628</v>
      </c>
      <c r="B6633" s="3" t="str">
        <f>"00287803"</f>
        <v>00287803</v>
      </c>
    </row>
    <row r="6634" spans="1:2" x14ac:dyDescent="0.25">
      <c r="A6634" s="2">
        <v>6629</v>
      </c>
      <c r="B6634" s="3" t="str">
        <f>"00287807"</f>
        <v>00287807</v>
      </c>
    </row>
    <row r="6635" spans="1:2" x14ac:dyDescent="0.25">
      <c r="A6635" s="2">
        <v>6630</v>
      </c>
      <c r="B6635" s="3" t="str">
        <f>"00287827"</f>
        <v>00287827</v>
      </c>
    </row>
    <row r="6636" spans="1:2" x14ac:dyDescent="0.25">
      <c r="A6636" s="2">
        <v>6631</v>
      </c>
      <c r="B6636" s="3" t="str">
        <f>"00287839"</f>
        <v>00287839</v>
      </c>
    </row>
    <row r="6637" spans="1:2" x14ac:dyDescent="0.25">
      <c r="A6637" s="2">
        <v>6632</v>
      </c>
      <c r="B6637" s="3" t="str">
        <f>"00287863"</f>
        <v>00287863</v>
      </c>
    </row>
    <row r="6638" spans="1:2" x14ac:dyDescent="0.25">
      <c r="A6638" s="2">
        <v>6633</v>
      </c>
      <c r="B6638" s="3" t="str">
        <f>"00287871"</f>
        <v>00287871</v>
      </c>
    </row>
    <row r="6639" spans="1:2" x14ac:dyDescent="0.25">
      <c r="A6639" s="2">
        <v>6634</v>
      </c>
      <c r="B6639" s="3" t="str">
        <f>"00287898"</f>
        <v>00287898</v>
      </c>
    </row>
    <row r="6640" spans="1:2" x14ac:dyDescent="0.25">
      <c r="A6640" s="2">
        <v>6635</v>
      </c>
      <c r="B6640" s="3" t="str">
        <f>"00287905"</f>
        <v>00287905</v>
      </c>
    </row>
    <row r="6641" spans="1:2" x14ac:dyDescent="0.25">
      <c r="A6641" s="2">
        <v>6636</v>
      </c>
      <c r="B6641" s="3" t="str">
        <f>"00287925"</f>
        <v>00287925</v>
      </c>
    </row>
    <row r="6642" spans="1:2" x14ac:dyDescent="0.25">
      <c r="A6642" s="2">
        <v>6637</v>
      </c>
      <c r="B6642" s="3" t="str">
        <f>"00287945"</f>
        <v>00287945</v>
      </c>
    </row>
    <row r="6643" spans="1:2" x14ac:dyDescent="0.25">
      <c r="A6643" s="2">
        <v>6638</v>
      </c>
      <c r="B6643" s="3" t="str">
        <f>"00287952"</f>
        <v>00287952</v>
      </c>
    </row>
    <row r="6644" spans="1:2" x14ac:dyDescent="0.25">
      <c r="A6644" s="2">
        <v>6639</v>
      </c>
      <c r="B6644" s="3" t="str">
        <f>"00287962"</f>
        <v>00287962</v>
      </c>
    </row>
    <row r="6645" spans="1:2" x14ac:dyDescent="0.25">
      <c r="A6645" s="2">
        <v>6640</v>
      </c>
      <c r="B6645" s="3" t="str">
        <f>"00288036"</f>
        <v>00288036</v>
      </c>
    </row>
    <row r="6646" spans="1:2" x14ac:dyDescent="0.25">
      <c r="A6646" s="2">
        <v>6641</v>
      </c>
      <c r="B6646" s="3" t="str">
        <f>"00288121"</f>
        <v>00288121</v>
      </c>
    </row>
    <row r="6647" spans="1:2" x14ac:dyDescent="0.25">
      <c r="A6647" s="2">
        <v>6642</v>
      </c>
      <c r="B6647" s="3" t="str">
        <f>"00288169"</f>
        <v>00288169</v>
      </c>
    </row>
    <row r="6648" spans="1:2" x14ac:dyDescent="0.25">
      <c r="A6648" s="2">
        <v>6643</v>
      </c>
      <c r="B6648" s="3" t="str">
        <f>"00288207"</f>
        <v>00288207</v>
      </c>
    </row>
    <row r="6649" spans="1:2" x14ac:dyDescent="0.25">
      <c r="A6649" s="2">
        <v>6644</v>
      </c>
      <c r="B6649" s="3" t="str">
        <f>"00288213"</f>
        <v>00288213</v>
      </c>
    </row>
    <row r="6650" spans="1:2" x14ac:dyDescent="0.25">
      <c r="A6650" s="2">
        <v>6645</v>
      </c>
      <c r="B6650" s="3" t="str">
        <f>"00288238"</f>
        <v>00288238</v>
      </c>
    </row>
    <row r="6651" spans="1:2" x14ac:dyDescent="0.25">
      <c r="A6651" s="2">
        <v>6646</v>
      </c>
      <c r="B6651" s="3" t="str">
        <f>"00288310"</f>
        <v>00288310</v>
      </c>
    </row>
    <row r="6652" spans="1:2" x14ac:dyDescent="0.25">
      <c r="A6652" s="2">
        <v>6647</v>
      </c>
      <c r="B6652" s="3" t="str">
        <f>"00288335"</f>
        <v>00288335</v>
      </c>
    </row>
    <row r="6653" spans="1:2" x14ac:dyDescent="0.25">
      <c r="A6653" s="2">
        <v>6648</v>
      </c>
      <c r="B6653" s="3" t="str">
        <f>"00288361"</f>
        <v>00288361</v>
      </c>
    </row>
    <row r="6654" spans="1:2" x14ac:dyDescent="0.25">
      <c r="A6654" s="2">
        <v>6649</v>
      </c>
      <c r="B6654" s="3" t="str">
        <f>"00288386"</f>
        <v>00288386</v>
      </c>
    </row>
    <row r="6655" spans="1:2" x14ac:dyDescent="0.25">
      <c r="A6655" s="2">
        <v>6650</v>
      </c>
      <c r="B6655" s="3" t="str">
        <f>"00288472"</f>
        <v>00288472</v>
      </c>
    </row>
    <row r="6656" spans="1:2" x14ac:dyDescent="0.25">
      <c r="A6656" s="2">
        <v>6651</v>
      </c>
      <c r="B6656" s="3" t="str">
        <f>"00288474"</f>
        <v>00288474</v>
      </c>
    </row>
    <row r="6657" spans="1:2" x14ac:dyDescent="0.25">
      <c r="A6657" s="2">
        <v>6652</v>
      </c>
      <c r="B6657" s="3" t="str">
        <f>"00288552"</f>
        <v>00288552</v>
      </c>
    </row>
    <row r="6658" spans="1:2" x14ac:dyDescent="0.25">
      <c r="A6658" s="2">
        <v>6653</v>
      </c>
      <c r="B6658" s="3" t="str">
        <f>"00288565"</f>
        <v>00288565</v>
      </c>
    </row>
    <row r="6659" spans="1:2" x14ac:dyDescent="0.25">
      <c r="A6659" s="2">
        <v>6654</v>
      </c>
      <c r="B6659" s="3" t="str">
        <f>"00288591"</f>
        <v>00288591</v>
      </c>
    </row>
    <row r="6660" spans="1:2" x14ac:dyDescent="0.25">
      <c r="A6660" s="2">
        <v>6655</v>
      </c>
      <c r="B6660" s="3" t="str">
        <f>"00288602"</f>
        <v>00288602</v>
      </c>
    </row>
    <row r="6661" spans="1:2" x14ac:dyDescent="0.25">
      <c r="A6661" s="2">
        <v>6656</v>
      </c>
      <c r="B6661" s="3" t="str">
        <f>"00288606"</f>
        <v>00288606</v>
      </c>
    </row>
    <row r="6662" spans="1:2" x14ac:dyDescent="0.25">
      <c r="A6662" s="2">
        <v>6657</v>
      </c>
      <c r="B6662" s="3" t="str">
        <f>"00288653"</f>
        <v>00288653</v>
      </c>
    </row>
    <row r="6663" spans="1:2" x14ac:dyDescent="0.25">
      <c r="A6663" s="2">
        <v>6658</v>
      </c>
      <c r="B6663" s="3" t="str">
        <f>"00288670"</f>
        <v>00288670</v>
      </c>
    </row>
    <row r="6664" spans="1:2" x14ac:dyDescent="0.25">
      <c r="A6664" s="2">
        <v>6659</v>
      </c>
      <c r="B6664" s="3" t="str">
        <f>"00288709"</f>
        <v>00288709</v>
      </c>
    </row>
    <row r="6665" spans="1:2" x14ac:dyDescent="0.25">
      <c r="A6665" s="2">
        <v>6660</v>
      </c>
      <c r="B6665" s="3" t="str">
        <f>"00288715"</f>
        <v>00288715</v>
      </c>
    </row>
    <row r="6666" spans="1:2" x14ac:dyDescent="0.25">
      <c r="A6666" s="2">
        <v>6661</v>
      </c>
      <c r="B6666" s="3" t="str">
        <f>"00288742"</f>
        <v>00288742</v>
      </c>
    </row>
    <row r="6667" spans="1:2" x14ac:dyDescent="0.25">
      <c r="A6667" s="2">
        <v>6662</v>
      </c>
      <c r="B6667" s="3" t="str">
        <f>"00288765"</f>
        <v>00288765</v>
      </c>
    </row>
    <row r="6668" spans="1:2" x14ac:dyDescent="0.25">
      <c r="A6668" s="2">
        <v>6663</v>
      </c>
      <c r="B6668" s="3" t="str">
        <f>"00288773"</f>
        <v>00288773</v>
      </c>
    </row>
    <row r="6669" spans="1:2" x14ac:dyDescent="0.25">
      <c r="A6669" s="2">
        <v>6664</v>
      </c>
      <c r="B6669" s="3" t="str">
        <f>"00288831"</f>
        <v>00288831</v>
      </c>
    </row>
    <row r="6670" spans="1:2" x14ac:dyDescent="0.25">
      <c r="A6670" s="2">
        <v>6665</v>
      </c>
      <c r="B6670" s="3" t="str">
        <f>"00288841"</f>
        <v>00288841</v>
      </c>
    </row>
    <row r="6671" spans="1:2" x14ac:dyDescent="0.25">
      <c r="A6671" s="2">
        <v>6666</v>
      </c>
      <c r="B6671" s="3" t="str">
        <f>"00288846"</f>
        <v>00288846</v>
      </c>
    </row>
    <row r="6672" spans="1:2" x14ac:dyDescent="0.25">
      <c r="A6672" s="2">
        <v>6667</v>
      </c>
      <c r="B6672" s="3" t="str">
        <f>"00288847"</f>
        <v>00288847</v>
      </c>
    </row>
    <row r="6673" spans="1:2" x14ac:dyDescent="0.25">
      <c r="A6673" s="2">
        <v>6668</v>
      </c>
      <c r="B6673" s="3" t="str">
        <f>"00288880"</f>
        <v>00288880</v>
      </c>
    </row>
    <row r="6674" spans="1:2" x14ac:dyDescent="0.25">
      <c r="A6674" s="2">
        <v>6669</v>
      </c>
      <c r="B6674" s="3" t="str">
        <f>"00288894"</f>
        <v>00288894</v>
      </c>
    </row>
    <row r="6675" spans="1:2" x14ac:dyDescent="0.25">
      <c r="A6675" s="2">
        <v>6670</v>
      </c>
      <c r="B6675" s="3" t="str">
        <f>"00288907"</f>
        <v>00288907</v>
      </c>
    </row>
    <row r="6676" spans="1:2" x14ac:dyDescent="0.25">
      <c r="A6676" s="2">
        <v>6671</v>
      </c>
      <c r="B6676" s="3" t="str">
        <f>"00288927"</f>
        <v>00288927</v>
      </c>
    </row>
    <row r="6677" spans="1:2" x14ac:dyDescent="0.25">
      <c r="A6677" s="2">
        <v>6672</v>
      </c>
      <c r="B6677" s="3" t="str">
        <f>"00288936"</f>
        <v>00288936</v>
      </c>
    </row>
    <row r="6678" spans="1:2" x14ac:dyDescent="0.25">
      <c r="A6678" s="2">
        <v>6673</v>
      </c>
      <c r="B6678" s="3" t="str">
        <f>"00288959"</f>
        <v>00288959</v>
      </c>
    </row>
    <row r="6679" spans="1:2" x14ac:dyDescent="0.25">
      <c r="A6679" s="2">
        <v>6674</v>
      </c>
      <c r="B6679" s="3" t="str">
        <f>"00288989"</f>
        <v>00288989</v>
      </c>
    </row>
    <row r="6680" spans="1:2" x14ac:dyDescent="0.25">
      <c r="A6680" s="2">
        <v>6675</v>
      </c>
      <c r="B6680" s="3" t="str">
        <f>"00289017"</f>
        <v>00289017</v>
      </c>
    </row>
    <row r="6681" spans="1:2" x14ac:dyDescent="0.25">
      <c r="A6681" s="2">
        <v>6676</v>
      </c>
      <c r="B6681" s="3" t="str">
        <f>"00289171"</f>
        <v>00289171</v>
      </c>
    </row>
    <row r="6682" spans="1:2" x14ac:dyDescent="0.25">
      <c r="A6682" s="2">
        <v>6677</v>
      </c>
      <c r="B6682" s="3" t="str">
        <f>"00289184"</f>
        <v>00289184</v>
      </c>
    </row>
    <row r="6683" spans="1:2" x14ac:dyDescent="0.25">
      <c r="A6683" s="2">
        <v>6678</v>
      </c>
      <c r="B6683" s="3" t="str">
        <f>"00289188"</f>
        <v>00289188</v>
      </c>
    </row>
    <row r="6684" spans="1:2" x14ac:dyDescent="0.25">
      <c r="A6684" s="2">
        <v>6679</v>
      </c>
      <c r="B6684" s="3" t="str">
        <f>"00289228"</f>
        <v>00289228</v>
      </c>
    </row>
    <row r="6685" spans="1:2" x14ac:dyDescent="0.25">
      <c r="A6685" s="2">
        <v>6680</v>
      </c>
      <c r="B6685" s="3" t="str">
        <f>"00289237"</f>
        <v>00289237</v>
      </c>
    </row>
    <row r="6686" spans="1:2" x14ac:dyDescent="0.25">
      <c r="A6686" s="2">
        <v>6681</v>
      </c>
      <c r="B6686" s="3" t="str">
        <f>"00289308"</f>
        <v>00289308</v>
      </c>
    </row>
    <row r="6687" spans="1:2" x14ac:dyDescent="0.25">
      <c r="A6687" s="2">
        <v>6682</v>
      </c>
      <c r="B6687" s="3" t="str">
        <f>"00289316"</f>
        <v>00289316</v>
      </c>
    </row>
    <row r="6688" spans="1:2" x14ac:dyDescent="0.25">
      <c r="A6688" s="2">
        <v>6683</v>
      </c>
      <c r="B6688" s="3" t="str">
        <f>"00289329"</f>
        <v>00289329</v>
      </c>
    </row>
    <row r="6689" spans="1:2" x14ac:dyDescent="0.25">
      <c r="A6689" s="2">
        <v>6684</v>
      </c>
      <c r="B6689" s="3" t="str">
        <f>"00289347"</f>
        <v>00289347</v>
      </c>
    </row>
    <row r="6690" spans="1:2" x14ac:dyDescent="0.25">
      <c r="A6690" s="2">
        <v>6685</v>
      </c>
      <c r="B6690" s="3" t="str">
        <f>"00289357"</f>
        <v>00289357</v>
      </c>
    </row>
    <row r="6691" spans="1:2" x14ac:dyDescent="0.25">
      <c r="A6691" s="2">
        <v>6686</v>
      </c>
      <c r="B6691" s="3" t="str">
        <f>"00289358"</f>
        <v>00289358</v>
      </c>
    </row>
    <row r="6692" spans="1:2" x14ac:dyDescent="0.25">
      <c r="A6692" s="2">
        <v>6687</v>
      </c>
      <c r="B6692" s="3" t="str">
        <f>"00289408"</f>
        <v>00289408</v>
      </c>
    </row>
    <row r="6693" spans="1:2" x14ac:dyDescent="0.25">
      <c r="A6693" s="2">
        <v>6688</v>
      </c>
      <c r="B6693" s="3" t="str">
        <f>"00289433"</f>
        <v>00289433</v>
      </c>
    </row>
    <row r="6694" spans="1:2" x14ac:dyDescent="0.25">
      <c r="A6694" s="2">
        <v>6689</v>
      </c>
      <c r="B6694" s="3" t="str">
        <f>"00289441"</f>
        <v>00289441</v>
      </c>
    </row>
    <row r="6695" spans="1:2" x14ac:dyDescent="0.25">
      <c r="A6695" s="2">
        <v>6690</v>
      </c>
      <c r="B6695" s="3" t="str">
        <f>"00289443"</f>
        <v>00289443</v>
      </c>
    </row>
    <row r="6696" spans="1:2" x14ac:dyDescent="0.25">
      <c r="A6696" s="2">
        <v>6691</v>
      </c>
      <c r="B6696" s="3" t="str">
        <f>"00289444"</f>
        <v>00289444</v>
      </c>
    </row>
    <row r="6697" spans="1:2" x14ac:dyDescent="0.25">
      <c r="A6697" s="2">
        <v>6692</v>
      </c>
      <c r="B6697" s="3" t="str">
        <f>"00289454"</f>
        <v>00289454</v>
      </c>
    </row>
    <row r="6698" spans="1:2" x14ac:dyDescent="0.25">
      <c r="A6698" s="2">
        <v>6693</v>
      </c>
      <c r="B6698" s="3" t="str">
        <f>"00289462"</f>
        <v>00289462</v>
      </c>
    </row>
    <row r="6699" spans="1:2" x14ac:dyDescent="0.25">
      <c r="A6699" s="2">
        <v>6694</v>
      </c>
      <c r="B6699" s="3" t="str">
        <f>"00289474"</f>
        <v>00289474</v>
      </c>
    </row>
    <row r="6700" spans="1:2" x14ac:dyDescent="0.25">
      <c r="A6700" s="2">
        <v>6695</v>
      </c>
      <c r="B6700" s="3" t="str">
        <f>"00289480"</f>
        <v>00289480</v>
      </c>
    </row>
    <row r="6701" spans="1:2" x14ac:dyDescent="0.25">
      <c r="A6701" s="2">
        <v>6696</v>
      </c>
      <c r="B6701" s="3" t="str">
        <f>"00289486"</f>
        <v>00289486</v>
      </c>
    </row>
    <row r="6702" spans="1:2" x14ac:dyDescent="0.25">
      <c r="A6702" s="2">
        <v>6697</v>
      </c>
      <c r="B6702" s="3" t="str">
        <f>"00289489"</f>
        <v>00289489</v>
      </c>
    </row>
    <row r="6703" spans="1:2" x14ac:dyDescent="0.25">
      <c r="A6703" s="2">
        <v>6698</v>
      </c>
      <c r="B6703" s="3" t="str">
        <f>"00289508"</f>
        <v>00289508</v>
      </c>
    </row>
    <row r="6704" spans="1:2" x14ac:dyDescent="0.25">
      <c r="A6704" s="2">
        <v>6699</v>
      </c>
      <c r="B6704" s="3" t="str">
        <f>"00289516"</f>
        <v>00289516</v>
      </c>
    </row>
    <row r="6705" spans="1:2" x14ac:dyDescent="0.25">
      <c r="A6705" s="2">
        <v>6700</v>
      </c>
      <c r="B6705" s="3" t="str">
        <f>"00289542"</f>
        <v>00289542</v>
      </c>
    </row>
    <row r="6706" spans="1:2" x14ac:dyDescent="0.25">
      <c r="A6706" s="2">
        <v>6701</v>
      </c>
      <c r="B6706" s="3" t="str">
        <f>"00289553"</f>
        <v>00289553</v>
      </c>
    </row>
    <row r="6707" spans="1:2" x14ac:dyDescent="0.25">
      <c r="A6707" s="2">
        <v>6702</v>
      </c>
      <c r="B6707" s="3" t="str">
        <f>"00289556"</f>
        <v>00289556</v>
      </c>
    </row>
    <row r="6708" spans="1:2" x14ac:dyDescent="0.25">
      <c r="A6708" s="2">
        <v>6703</v>
      </c>
      <c r="B6708" s="3" t="str">
        <f>"00289569"</f>
        <v>00289569</v>
      </c>
    </row>
    <row r="6709" spans="1:2" x14ac:dyDescent="0.25">
      <c r="A6709" s="2">
        <v>6704</v>
      </c>
      <c r="B6709" s="3" t="str">
        <f>"00289575"</f>
        <v>00289575</v>
      </c>
    </row>
    <row r="6710" spans="1:2" x14ac:dyDescent="0.25">
      <c r="A6710" s="2">
        <v>6705</v>
      </c>
      <c r="B6710" s="3" t="str">
        <f>"00289754"</f>
        <v>00289754</v>
      </c>
    </row>
    <row r="6711" spans="1:2" x14ac:dyDescent="0.25">
      <c r="A6711" s="2">
        <v>6706</v>
      </c>
      <c r="B6711" s="3" t="str">
        <f>"00289863"</f>
        <v>00289863</v>
      </c>
    </row>
    <row r="6712" spans="1:2" x14ac:dyDescent="0.25">
      <c r="A6712" s="2">
        <v>6707</v>
      </c>
      <c r="B6712" s="3" t="str">
        <f>"00289893"</f>
        <v>00289893</v>
      </c>
    </row>
    <row r="6713" spans="1:2" x14ac:dyDescent="0.25">
      <c r="A6713" s="2">
        <v>6708</v>
      </c>
      <c r="B6713" s="3" t="str">
        <f>"00289898"</f>
        <v>00289898</v>
      </c>
    </row>
    <row r="6714" spans="1:2" x14ac:dyDescent="0.25">
      <c r="A6714" s="2">
        <v>6709</v>
      </c>
      <c r="B6714" s="3" t="str">
        <f>"00289933"</f>
        <v>00289933</v>
      </c>
    </row>
    <row r="6715" spans="1:2" x14ac:dyDescent="0.25">
      <c r="A6715" s="2">
        <v>6710</v>
      </c>
      <c r="B6715" s="3" t="str">
        <f>"00289941"</f>
        <v>00289941</v>
      </c>
    </row>
    <row r="6716" spans="1:2" x14ac:dyDescent="0.25">
      <c r="A6716" s="2">
        <v>6711</v>
      </c>
      <c r="B6716" s="3" t="str">
        <f>"00289944"</f>
        <v>00289944</v>
      </c>
    </row>
    <row r="6717" spans="1:2" x14ac:dyDescent="0.25">
      <c r="A6717" s="2">
        <v>6712</v>
      </c>
      <c r="B6717" s="3" t="str">
        <f>"00289947"</f>
        <v>00289947</v>
      </c>
    </row>
    <row r="6718" spans="1:2" x14ac:dyDescent="0.25">
      <c r="A6718" s="2">
        <v>6713</v>
      </c>
      <c r="B6718" s="3" t="str">
        <f>"00289948"</f>
        <v>00289948</v>
      </c>
    </row>
    <row r="6719" spans="1:2" x14ac:dyDescent="0.25">
      <c r="A6719" s="2">
        <v>6714</v>
      </c>
      <c r="B6719" s="3" t="str">
        <f>"00289961"</f>
        <v>00289961</v>
      </c>
    </row>
    <row r="6720" spans="1:2" x14ac:dyDescent="0.25">
      <c r="A6720" s="2">
        <v>6715</v>
      </c>
      <c r="B6720" s="3" t="str">
        <f>"00289977"</f>
        <v>00289977</v>
      </c>
    </row>
    <row r="6721" spans="1:2" x14ac:dyDescent="0.25">
      <c r="A6721" s="2">
        <v>6716</v>
      </c>
      <c r="B6721" s="3" t="str">
        <f>"00290076"</f>
        <v>00290076</v>
      </c>
    </row>
    <row r="6722" spans="1:2" x14ac:dyDescent="0.25">
      <c r="A6722" s="2">
        <v>6717</v>
      </c>
      <c r="B6722" s="3" t="str">
        <f>"00290117"</f>
        <v>00290117</v>
      </c>
    </row>
    <row r="6723" spans="1:2" x14ac:dyDescent="0.25">
      <c r="A6723" s="2">
        <v>6718</v>
      </c>
      <c r="B6723" s="3" t="str">
        <f>"00290245"</f>
        <v>00290245</v>
      </c>
    </row>
    <row r="6724" spans="1:2" x14ac:dyDescent="0.25">
      <c r="A6724" s="2">
        <v>6719</v>
      </c>
      <c r="B6724" s="3" t="str">
        <f>"00290248"</f>
        <v>00290248</v>
      </c>
    </row>
    <row r="6725" spans="1:2" x14ac:dyDescent="0.25">
      <c r="A6725" s="2">
        <v>6720</v>
      </c>
      <c r="B6725" s="3" t="str">
        <f>"00290278"</f>
        <v>00290278</v>
      </c>
    </row>
    <row r="6726" spans="1:2" x14ac:dyDescent="0.25">
      <c r="A6726" s="2">
        <v>6721</v>
      </c>
      <c r="B6726" s="3" t="str">
        <f>"00290279"</f>
        <v>00290279</v>
      </c>
    </row>
    <row r="6727" spans="1:2" x14ac:dyDescent="0.25">
      <c r="A6727" s="2">
        <v>6722</v>
      </c>
      <c r="B6727" s="3" t="str">
        <f>"00290293"</f>
        <v>00290293</v>
      </c>
    </row>
    <row r="6728" spans="1:2" x14ac:dyDescent="0.25">
      <c r="A6728" s="2">
        <v>6723</v>
      </c>
      <c r="B6728" s="3" t="str">
        <f>"00290309"</f>
        <v>00290309</v>
      </c>
    </row>
    <row r="6729" spans="1:2" x14ac:dyDescent="0.25">
      <c r="A6729" s="2">
        <v>6724</v>
      </c>
      <c r="B6729" s="3" t="str">
        <f>"00290331"</f>
        <v>00290331</v>
      </c>
    </row>
    <row r="6730" spans="1:2" x14ac:dyDescent="0.25">
      <c r="A6730" s="2">
        <v>6725</v>
      </c>
      <c r="B6730" s="3" t="str">
        <f>"00290343"</f>
        <v>00290343</v>
      </c>
    </row>
    <row r="6731" spans="1:2" x14ac:dyDescent="0.25">
      <c r="A6731" s="2">
        <v>6726</v>
      </c>
      <c r="B6731" s="3" t="str">
        <f>"00290482"</f>
        <v>00290482</v>
      </c>
    </row>
    <row r="6732" spans="1:2" x14ac:dyDescent="0.25">
      <c r="A6732" s="2">
        <v>6727</v>
      </c>
      <c r="B6732" s="3" t="str">
        <f>"00290483"</f>
        <v>00290483</v>
      </c>
    </row>
    <row r="6733" spans="1:2" x14ac:dyDescent="0.25">
      <c r="A6733" s="2">
        <v>6728</v>
      </c>
      <c r="B6733" s="3" t="str">
        <f>"00290501"</f>
        <v>00290501</v>
      </c>
    </row>
    <row r="6734" spans="1:2" x14ac:dyDescent="0.25">
      <c r="A6734" s="2">
        <v>6729</v>
      </c>
      <c r="B6734" s="3" t="str">
        <f>"00290512"</f>
        <v>00290512</v>
      </c>
    </row>
    <row r="6735" spans="1:2" x14ac:dyDescent="0.25">
      <c r="A6735" s="2">
        <v>6730</v>
      </c>
      <c r="B6735" s="3" t="str">
        <f>"00290530"</f>
        <v>00290530</v>
      </c>
    </row>
    <row r="6736" spans="1:2" x14ac:dyDescent="0.25">
      <c r="A6736" s="2">
        <v>6731</v>
      </c>
      <c r="B6736" s="3" t="str">
        <f>"00290537"</f>
        <v>00290537</v>
      </c>
    </row>
    <row r="6737" spans="1:2" x14ac:dyDescent="0.25">
      <c r="A6737" s="2">
        <v>6732</v>
      </c>
      <c r="B6737" s="3" t="str">
        <f>"00290548"</f>
        <v>00290548</v>
      </c>
    </row>
    <row r="6738" spans="1:2" x14ac:dyDescent="0.25">
      <c r="A6738" s="2">
        <v>6733</v>
      </c>
      <c r="B6738" s="3" t="str">
        <f>"00290602"</f>
        <v>00290602</v>
      </c>
    </row>
    <row r="6739" spans="1:2" x14ac:dyDescent="0.25">
      <c r="A6739" s="2">
        <v>6734</v>
      </c>
      <c r="B6739" s="3" t="str">
        <f>"00290612"</f>
        <v>00290612</v>
      </c>
    </row>
    <row r="6740" spans="1:2" x14ac:dyDescent="0.25">
      <c r="A6740" s="2">
        <v>6735</v>
      </c>
      <c r="B6740" s="3" t="str">
        <f>"00290820"</f>
        <v>00290820</v>
      </c>
    </row>
    <row r="6741" spans="1:2" x14ac:dyDescent="0.25">
      <c r="A6741" s="2">
        <v>6736</v>
      </c>
      <c r="B6741" s="3" t="str">
        <f>"00290833"</f>
        <v>00290833</v>
      </c>
    </row>
    <row r="6742" spans="1:2" x14ac:dyDescent="0.25">
      <c r="A6742" s="2">
        <v>6737</v>
      </c>
      <c r="B6742" s="3" t="str">
        <f>"00290865"</f>
        <v>00290865</v>
      </c>
    </row>
    <row r="6743" spans="1:2" x14ac:dyDescent="0.25">
      <c r="A6743" s="2">
        <v>6738</v>
      </c>
      <c r="B6743" s="3" t="str">
        <f>"00290871"</f>
        <v>00290871</v>
      </c>
    </row>
    <row r="6744" spans="1:2" x14ac:dyDescent="0.25">
      <c r="A6744" s="2">
        <v>6739</v>
      </c>
      <c r="B6744" s="3" t="str">
        <f>"00290875"</f>
        <v>00290875</v>
      </c>
    </row>
    <row r="6745" spans="1:2" x14ac:dyDescent="0.25">
      <c r="A6745" s="2">
        <v>6740</v>
      </c>
      <c r="B6745" s="3" t="str">
        <f>"00290879"</f>
        <v>00290879</v>
      </c>
    </row>
    <row r="6746" spans="1:2" x14ac:dyDescent="0.25">
      <c r="A6746" s="2">
        <v>6741</v>
      </c>
      <c r="B6746" s="3" t="str">
        <f>"00290885"</f>
        <v>00290885</v>
      </c>
    </row>
    <row r="6747" spans="1:2" x14ac:dyDescent="0.25">
      <c r="A6747" s="2">
        <v>6742</v>
      </c>
      <c r="B6747" s="3" t="str">
        <f>"00290896"</f>
        <v>00290896</v>
      </c>
    </row>
    <row r="6748" spans="1:2" x14ac:dyDescent="0.25">
      <c r="A6748" s="2">
        <v>6743</v>
      </c>
      <c r="B6748" s="3" t="str">
        <f>"00290903"</f>
        <v>00290903</v>
      </c>
    </row>
    <row r="6749" spans="1:2" x14ac:dyDescent="0.25">
      <c r="A6749" s="2">
        <v>6744</v>
      </c>
      <c r="B6749" s="3" t="str">
        <f>"00290909"</f>
        <v>00290909</v>
      </c>
    </row>
    <row r="6750" spans="1:2" x14ac:dyDescent="0.25">
      <c r="A6750" s="2">
        <v>6745</v>
      </c>
      <c r="B6750" s="3" t="str">
        <f>"00290917"</f>
        <v>00290917</v>
      </c>
    </row>
    <row r="6751" spans="1:2" x14ac:dyDescent="0.25">
      <c r="A6751" s="2">
        <v>6746</v>
      </c>
      <c r="B6751" s="3" t="str">
        <f>"00291007"</f>
        <v>00291007</v>
      </c>
    </row>
    <row r="6752" spans="1:2" x14ac:dyDescent="0.25">
      <c r="A6752" s="2">
        <v>6747</v>
      </c>
      <c r="B6752" s="3" t="str">
        <f>"00291010"</f>
        <v>00291010</v>
      </c>
    </row>
    <row r="6753" spans="1:2" x14ac:dyDescent="0.25">
      <c r="A6753" s="2">
        <v>6748</v>
      </c>
      <c r="B6753" s="3" t="str">
        <f>"00291080"</f>
        <v>00291080</v>
      </c>
    </row>
    <row r="6754" spans="1:2" x14ac:dyDescent="0.25">
      <c r="A6754" s="2">
        <v>6749</v>
      </c>
      <c r="B6754" s="3" t="str">
        <f>"00291096"</f>
        <v>00291096</v>
      </c>
    </row>
    <row r="6755" spans="1:2" x14ac:dyDescent="0.25">
      <c r="A6755" s="2">
        <v>6750</v>
      </c>
      <c r="B6755" s="3" t="str">
        <f>"00291131"</f>
        <v>00291131</v>
      </c>
    </row>
    <row r="6756" spans="1:2" x14ac:dyDescent="0.25">
      <c r="A6756" s="2">
        <v>6751</v>
      </c>
      <c r="B6756" s="3" t="str">
        <f>"00291147"</f>
        <v>00291147</v>
      </c>
    </row>
    <row r="6757" spans="1:2" x14ac:dyDescent="0.25">
      <c r="A6757" s="2">
        <v>6752</v>
      </c>
      <c r="B6757" s="3" t="str">
        <f>"00291163"</f>
        <v>00291163</v>
      </c>
    </row>
    <row r="6758" spans="1:2" x14ac:dyDescent="0.25">
      <c r="A6758" s="2">
        <v>6753</v>
      </c>
      <c r="B6758" s="3" t="str">
        <f>"00291188"</f>
        <v>00291188</v>
      </c>
    </row>
    <row r="6759" spans="1:2" x14ac:dyDescent="0.25">
      <c r="A6759" s="2">
        <v>6754</v>
      </c>
      <c r="B6759" s="3" t="str">
        <f>"00291192"</f>
        <v>00291192</v>
      </c>
    </row>
    <row r="6760" spans="1:2" x14ac:dyDescent="0.25">
      <c r="A6760" s="2">
        <v>6755</v>
      </c>
      <c r="B6760" s="3" t="str">
        <f>"00291207"</f>
        <v>00291207</v>
      </c>
    </row>
    <row r="6761" spans="1:2" x14ac:dyDescent="0.25">
      <c r="A6761" s="2">
        <v>6756</v>
      </c>
      <c r="B6761" s="3" t="str">
        <f>"00291210"</f>
        <v>00291210</v>
      </c>
    </row>
    <row r="6762" spans="1:2" x14ac:dyDescent="0.25">
      <c r="A6762" s="2">
        <v>6757</v>
      </c>
      <c r="B6762" s="3" t="str">
        <f>"00291218"</f>
        <v>00291218</v>
      </c>
    </row>
    <row r="6763" spans="1:2" x14ac:dyDescent="0.25">
      <c r="A6763" s="2">
        <v>6758</v>
      </c>
      <c r="B6763" s="3" t="str">
        <f>"00291299"</f>
        <v>00291299</v>
      </c>
    </row>
    <row r="6764" spans="1:2" x14ac:dyDescent="0.25">
      <c r="A6764" s="2">
        <v>6759</v>
      </c>
      <c r="B6764" s="3" t="str">
        <f>"00291383"</f>
        <v>00291383</v>
      </c>
    </row>
    <row r="6765" spans="1:2" x14ac:dyDescent="0.25">
      <c r="A6765" s="2">
        <v>6760</v>
      </c>
      <c r="B6765" s="3" t="str">
        <f>"00291444"</f>
        <v>00291444</v>
      </c>
    </row>
    <row r="6766" spans="1:2" x14ac:dyDescent="0.25">
      <c r="A6766" s="2">
        <v>6761</v>
      </c>
      <c r="B6766" s="3" t="str">
        <f>"00291471"</f>
        <v>00291471</v>
      </c>
    </row>
    <row r="6767" spans="1:2" x14ac:dyDescent="0.25">
      <c r="A6767" s="2">
        <v>6762</v>
      </c>
      <c r="B6767" s="3" t="str">
        <f>"00291503"</f>
        <v>00291503</v>
      </c>
    </row>
    <row r="6768" spans="1:2" x14ac:dyDescent="0.25">
      <c r="A6768" s="2">
        <v>6763</v>
      </c>
      <c r="B6768" s="3" t="str">
        <f>"00291505"</f>
        <v>00291505</v>
      </c>
    </row>
    <row r="6769" spans="1:2" x14ac:dyDescent="0.25">
      <c r="A6769" s="2">
        <v>6764</v>
      </c>
      <c r="B6769" s="3" t="str">
        <f>"00291508"</f>
        <v>00291508</v>
      </c>
    </row>
    <row r="6770" spans="1:2" x14ac:dyDescent="0.25">
      <c r="A6770" s="2">
        <v>6765</v>
      </c>
      <c r="B6770" s="3" t="str">
        <f>"00291530"</f>
        <v>00291530</v>
      </c>
    </row>
    <row r="6771" spans="1:2" x14ac:dyDescent="0.25">
      <c r="A6771" s="2">
        <v>6766</v>
      </c>
      <c r="B6771" s="3" t="str">
        <f>"00291583"</f>
        <v>00291583</v>
      </c>
    </row>
    <row r="6772" spans="1:2" x14ac:dyDescent="0.25">
      <c r="A6772" s="2">
        <v>6767</v>
      </c>
      <c r="B6772" s="3" t="str">
        <f>"00291584"</f>
        <v>00291584</v>
      </c>
    </row>
    <row r="6773" spans="1:2" x14ac:dyDescent="0.25">
      <c r="A6773" s="2">
        <v>6768</v>
      </c>
      <c r="B6773" s="3" t="str">
        <f>"00291586"</f>
        <v>00291586</v>
      </c>
    </row>
    <row r="6774" spans="1:2" x14ac:dyDescent="0.25">
      <c r="A6774" s="2">
        <v>6769</v>
      </c>
      <c r="B6774" s="3" t="str">
        <f>"00291592"</f>
        <v>00291592</v>
      </c>
    </row>
    <row r="6775" spans="1:2" x14ac:dyDescent="0.25">
      <c r="A6775" s="2">
        <v>6770</v>
      </c>
      <c r="B6775" s="3" t="str">
        <f>"00291598"</f>
        <v>00291598</v>
      </c>
    </row>
    <row r="6776" spans="1:2" x14ac:dyDescent="0.25">
      <c r="A6776" s="2">
        <v>6771</v>
      </c>
      <c r="B6776" s="3" t="str">
        <f>"00291611"</f>
        <v>00291611</v>
      </c>
    </row>
    <row r="6777" spans="1:2" x14ac:dyDescent="0.25">
      <c r="A6777" s="2">
        <v>6772</v>
      </c>
      <c r="B6777" s="3" t="str">
        <f>"00291627"</f>
        <v>00291627</v>
      </c>
    </row>
    <row r="6778" spans="1:2" x14ac:dyDescent="0.25">
      <c r="A6778" s="2">
        <v>6773</v>
      </c>
      <c r="B6778" s="3" t="str">
        <f>"00291682"</f>
        <v>00291682</v>
      </c>
    </row>
    <row r="6779" spans="1:2" x14ac:dyDescent="0.25">
      <c r="A6779" s="2">
        <v>6774</v>
      </c>
      <c r="B6779" s="3" t="str">
        <f>"00291704"</f>
        <v>00291704</v>
      </c>
    </row>
    <row r="6780" spans="1:2" x14ac:dyDescent="0.25">
      <c r="A6780" s="2">
        <v>6775</v>
      </c>
      <c r="B6780" s="3" t="str">
        <f>"00291749"</f>
        <v>00291749</v>
      </c>
    </row>
    <row r="6781" spans="1:2" x14ac:dyDescent="0.25">
      <c r="A6781" s="2">
        <v>6776</v>
      </c>
      <c r="B6781" s="3" t="str">
        <f>"00291768"</f>
        <v>00291768</v>
      </c>
    </row>
    <row r="6782" spans="1:2" x14ac:dyDescent="0.25">
      <c r="A6782" s="2">
        <v>6777</v>
      </c>
      <c r="B6782" s="3" t="str">
        <f>"00291780"</f>
        <v>00291780</v>
      </c>
    </row>
    <row r="6783" spans="1:2" x14ac:dyDescent="0.25">
      <c r="A6783" s="2">
        <v>6778</v>
      </c>
      <c r="B6783" s="3" t="str">
        <f>"00291804"</f>
        <v>00291804</v>
      </c>
    </row>
    <row r="6784" spans="1:2" x14ac:dyDescent="0.25">
      <c r="A6784" s="2">
        <v>6779</v>
      </c>
      <c r="B6784" s="3" t="str">
        <f>"00291827"</f>
        <v>00291827</v>
      </c>
    </row>
    <row r="6785" spans="1:2" x14ac:dyDescent="0.25">
      <c r="A6785" s="2">
        <v>6780</v>
      </c>
      <c r="B6785" s="3" t="str">
        <f>"00291861"</f>
        <v>00291861</v>
      </c>
    </row>
    <row r="6786" spans="1:2" x14ac:dyDescent="0.25">
      <c r="A6786" s="2">
        <v>6781</v>
      </c>
      <c r="B6786" s="3" t="str">
        <f>"00291867"</f>
        <v>00291867</v>
      </c>
    </row>
    <row r="6787" spans="1:2" x14ac:dyDescent="0.25">
      <c r="A6787" s="2">
        <v>6782</v>
      </c>
      <c r="B6787" s="3" t="str">
        <f>"00291887"</f>
        <v>00291887</v>
      </c>
    </row>
    <row r="6788" spans="1:2" x14ac:dyDescent="0.25">
      <c r="A6788" s="2">
        <v>6783</v>
      </c>
      <c r="B6788" s="3" t="str">
        <f>"00291904"</f>
        <v>00291904</v>
      </c>
    </row>
    <row r="6789" spans="1:2" x14ac:dyDescent="0.25">
      <c r="A6789" s="2">
        <v>6784</v>
      </c>
      <c r="B6789" s="3" t="str">
        <f>"00291916"</f>
        <v>00291916</v>
      </c>
    </row>
    <row r="6790" spans="1:2" x14ac:dyDescent="0.25">
      <c r="A6790" s="2">
        <v>6785</v>
      </c>
      <c r="B6790" s="3" t="str">
        <f>"00291947"</f>
        <v>00291947</v>
      </c>
    </row>
    <row r="6791" spans="1:2" x14ac:dyDescent="0.25">
      <c r="A6791" s="2">
        <v>6786</v>
      </c>
      <c r="B6791" s="3" t="str">
        <f>"00291973"</f>
        <v>00291973</v>
      </c>
    </row>
    <row r="6792" spans="1:2" x14ac:dyDescent="0.25">
      <c r="A6792" s="2">
        <v>6787</v>
      </c>
      <c r="B6792" s="3" t="str">
        <f>"00291993"</f>
        <v>00291993</v>
      </c>
    </row>
    <row r="6793" spans="1:2" x14ac:dyDescent="0.25">
      <c r="A6793" s="2">
        <v>6788</v>
      </c>
      <c r="B6793" s="3" t="str">
        <f>"00292021"</f>
        <v>00292021</v>
      </c>
    </row>
    <row r="6794" spans="1:2" x14ac:dyDescent="0.25">
      <c r="A6794" s="2">
        <v>6789</v>
      </c>
      <c r="B6794" s="3" t="str">
        <f>"00292047"</f>
        <v>00292047</v>
      </c>
    </row>
    <row r="6795" spans="1:2" x14ac:dyDescent="0.25">
      <c r="A6795" s="2">
        <v>6790</v>
      </c>
      <c r="B6795" s="3" t="str">
        <f>"00292109"</f>
        <v>00292109</v>
      </c>
    </row>
    <row r="6796" spans="1:2" x14ac:dyDescent="0.25">
      <c r="A6796" s="2">
        <v>6791</v>
      </c>
      <c r="B6796" s="3" t="str">
        <f>"00292110"</f>
        <v>00292110</v>
      </c>
    </row>
    <row r="6797" spans="1:2" x14ac:dyDescent="0.25">
      <c r="A6797" s="2">
        <v>6792</v>
      </c>
      <c r="B6797" s="3" t="str">
        <f>"00292125"</f>
        <v>00292125</v>
      </c>
    </row>
    <row r="6798" spans="1:2" x14ac:dyDescent="0.25">
      <c r="A6798" s="2">
        <v>6793</v>
      </c>
      <c r="B6798" s="3" t="str">
        <f>"00292143"</f>
        <v>00292143</v>
      </c>
    </row>
    <row r="6799" spans="1:2" x14ac:dyDescent="0.25">
      <c r="A6799" s="2">
        <v>6794</v>
      </c>
      <c r="B6799" s="3" t="str">
        <f>"00292148"</f>
        <v>00292148</v>
      </c>
    </row>
    <row r="6800" spans="1:2" x14ac:dyDescent="0.25">
      <c r="A6800" s="2">
        <v>6795</v>
      </c>
      <c r="B6800" s="3" t="str">
        <f>"00292193"</f>
        <v>00292193</v>
      </c>
    </row>
    <row r="6801" spans="1:2" x14ac:dyDescent="0.25">
      <c r="A6801" s="2">
        <v>6796</v>
      </c>
      <c r="B6801" s="3" t="str">
        <f>"00292275"</f>
        <v>00292275</v>
      </c>
    </row>
    <row r="6802" spans="1:2" x14ac:dyDescent="0.25">
      <c r="A6802" s="2">
        <v>6797</v>
      </c>
      <c r="B6802" s="3" t="str">
        <f>"00292291"</f>
        <v>00292291</v>
      </c>
    </row>
    <row r="6803" spans="1:2" x14ac:dyDescent="0.25">
      <c r="A6803" s="2">
        <v>6798</v>
      </c>
      <c r="B6803" s="3" t="str">
        <f>"00292292"</f>
        <v>00292292</v>
      </c>
    </row>
    <row r="6804" spans="1:2" x14ac:dyDescent="0.25">
      <c r="A6804" s="2">
        <v>6799</v>
      </c>
      <c r="B6804" s="3" t="str">
        <f>"00292297"</f>
        <v>00292297</v>
      </c>
    </row>
    <row r="6805" spans="1:2" x14ac:dyDescent="0.25">
      <c r="A6805" s="2">
        <v>6800</v>
      </c>
      <c r="B6805" s="3" t="str">
        <f>"00292328"</f>
        <v>00292328</v>
      </c>
    </row>
    <row r="6806" spans="1:2" x14ac:dyDescent="0.25">
      <c r="A6806" s="2">
        <v>6801</v>
      </c>
      <c r="B6806" s="3" t="str">
        <f>"00292339"</f>
        <v>00292339</v>
      </c>
    </row>
    <row r="6807" spans="1:2" x14ac:dyDescent="0.25">
      <c r="A6807" s="2">
        <v>6802</v>
      </c>
      <c r="B6807" s="3" t="str">
        <f>"00292340"</f>
        <v>00292340</v>
      </c>
    </row>
    <row r="6808" spans="1:2" x14ac:dyDescent="0.25">
      <c r="A6808" s="2">
        <v>6803</v>
      </c>
      <c r="B6808" s="3" t="str">
        <f>"00292347"</f>
        <v>00292347</v>
      </c>
    </row>
    <row r="6809" spans="1:2" x14ac:dyDescent="0.25">
      <c r="A6809" s="2">
        <v>6804</v>
      </c>
      <c r="B6809" s="3" t="str">
        <f>"00292365"</f>
        <v>00292365</v>
      </c>
    </row>
    <row r="6810" spans="1:2" x14ac:dyDescent="0.25">
      <c r="A6810" s="2">
        <v>6805</v>
      </c>
      <c r="B6810" s="3" t="str">
        <f>"00292391"</f>
        <v>00292391</v>
      </c>
    </row>
    <row r="6811" spans="1:2" x14ac:dyDescent="0.25">
      <c r="A6811" s="2">
        <v>6806</v>
      </c>
      <c r="B6811" s="3" t="str">
        <f>"00292394"</f>
        <v>00292394</v>
      </c>
    </row>
    <row r="6812" spans="1:2" x14ac:dyDescent="0.25">
      <c r="A6812" s="2">
        <v>6807</v>
      </c>
      <c r="B6812" s="3" t="str">
        <f>"00292452"</f>
        <v>00292452</v>
      </c>
    </row>
    <row r="6813" spans="1:2" x14ac:dyDescent="0.25">
      <c r="A6813" s="2">
        <v>6808</v>
      </c>
      <c r="B6813" s="3" t="str">
        <f>"00292464"</f>
        <v>00292464</v>
      </c>
    </row>
    <row r="6814" spans="1:2" x14ac:dyDescent="0.25">
      <c r="A6814" s="2">
        <v>6809</v>
      </c>
      <c r="B6814" s="3" t="str">
        <f>"00292496"</f>
        <v>00292496</v>
      </c>
    </row>
    <row r="6815" spans="1:2" x14ac:dyDescent="0.25">
      <c r="A6815" s="2">
        <v>6810</v>
      </c>
      <c r="B6815" s="3" t="str">
        <f>"00292534"</f>
        <v>00292534</v>
      </c>
    </row>
    <row r="6816" spans="1:2" x14ac:dyDescent="0.25">
      <c r="A6816" s="2">
        <v>6811</v>
      </c>
      <c r="B6816" s="3" t="str">
        <f>"00292670"</f>
        <v>00292670</v>
      </c>
    </row>
    <row r="6817" spans="1:2" x14ac:dyDescent="0.25">
      <c r="A6817" s="2">
        <v>6812</v>
      </c>
      <c r="B6817" s="3" t="str">
        <f>"00292712"</f>
        <v>00292712</v>
      </c>
    </row>
    <row r="6818" spans="1:2" x14ac:dyDescent="0.25">
      <c r="A6818" s="2">
        <v>6813</v>
      </c>
      <c r="B6818" s="3" t="str">
        <f>"00292744"</f>
        <v>00292744</v>
      </c>
    </row>
    <row r="6819" spans="1:2" x14ac:dyDescent="0.25">
      <c r="A6819" s="2">
        <v>6814</v>
      </c>
      <c r="B6819" s="3" t="str">
        <f>"00292746"</f>
        <v>00292746</v>
      </c>
    </row>
    <row r="6820" spans="1:2" x14ac:dyDescent="0.25">
      <c r="A6820" s="2">
        <v>6815</v>
      </c>
      <c r="B6820" s="3" t="str">
        <f>"00292800"</f>
        <v>00292800</v>
      </c>
    </row>
    <row r="6821" spans="1:2" x14ac:dyDescent="0.25">
      <c r="A6821" s="2">
        <v>6816</v>
      </c>
      <c r="B6821" s="3" t="str">
        <f>"00292923"</f>
        <v>00292923</v>
      </c>
    </row>
    <row r="6822" spans="1:2" x14ac:dyDescent="0.25">
      <c r="A6822" s="2">
        <v>6817</v>
      </c>
      <c r="B6822" s="3" t="str">
        <f>"00292930"</f>
        <v>00292930</v>
      </c>
    </row>
    <row r="6823" spans="1:2" x14ac:dyDescent="0.25">
      <c r="A6823" s="2">
        <v>6818</v>
      </c>
      <c r="B6823" s="3" t="str">
        <f>"00292964"</f>
        <v>00292964</v>
      </c>
    </row>
    <row r="6824" spans="1:2" x14ac:dyDescent="0.25">
      <c r="A6824" s="2">
        <v>6819</v>
      </c>
      <c r="B6824" s="3" t="str">
        <f>"00292971"</f>
        <v>00292971</v>
      </c>
    </row>
    <row r="6825" spans="1:2" x14ac:dyDescent="0.25">
      <c r="A6825" s="2">
        <v>6820</v>
      </c>
      <c r="B6825" s="3" t="str">
        <f>"00292992"</f>
        <v>00292992</v>
      </c>
    </row>
    <row r="6826" spans="1:2" x14ac:dyDescent="0.25">
      <c r="A6826" s="2">
        <v>6821</v>
      </c>
      <c r="B6826" s="3" t="str">
        <f>"00293039"</f>
        <v>00293039</v>
      </c>
    </row>
    <row r="6827" spans="1:2" x14ac:dyDescent="0.25">
      <c r="A6827" s="2">
        <v>6822</v>
      </c>
      <c r="B6827" s="3" t="str">
        <f>"00293044"</f>
        <v>00293044</v>
      </c>
    </row>
    <row r="6828" spans="1:2" x14ac:dyDescent="0.25">
      <c r="A6828" s="2">
        <v>6823</v>
      </c>
      <c r="B6828" s="3" t="str">
        <f>"00293064"</f>
        <v>00293064</v>
      </c>
    </row>
    <row r="6829" spans="1:2" x14ac:dyDescent="0.25">
      <c r="A6829" s="2">
        <v>6824</v>
      </c>
      <c r="B6829" s="3" t="str">
        <f>"00293162"</f>
        <v>00293162</v>
      </c>
    </row>
    <row r="6830" spans="1:2" x14ac:dyDescent="0.25">
      <c r="A6830" s="2">
        <v>6825</v>
      </c>
      <c r="B6830" s="3" t="str">
        <f>"00293165"</f>
        <v>00293165</v>
      </c>
    </row>
    <row r="6831" spans="1:2" x14ac:dyDescent="0.25">
      <c r="A6831" s="2">
        <v>6826</v>
      </c>
      <c r="B6831" s="3" t="str">
        <f>"00293173"</f>
        <v>00293173</v>
      </c>
    </row>
    <row r="6832" spans="1:2" x14ac:dyDescent="0.25">
      <c r="A6832" s="2">
        <v>6827</v>
      </c>
      <c r="B6832" s="3" t="str">
        <f>"00293234"</f>
        <v>00293234</v>
      </c>
    </row>
    <row r="6833" spans="1:2" x14ac:dyDescent="0.25">
      <c r="A6833" s="2">
        <v>6828</v>
      </c>
      <c r="B6833" s="3" t="str">
        <f>"00293276"</f>
        <v>00293276</v>
      </c>
    </row>
    <row r="6834" spans="1:2" x14ac:dyDescent="0.25">
      <c r="A6834" s="2">
        <v>6829</v>
      </c>
      <c r="B6834" s="3" t="str">
        <f>"00293278"</f>
        <v>00293278</v>
      </c>
    </row>
    <row r="6835" spans="1:2" x14ac:dyDescent="0.25">
      <c r="A6835" s="2">
        <v>6830</v>
      </c>
      <c r="B6835" s="3" t="str">
        <f>"00293312"</f>
        <v>00293312</v>
      </c>
    </row>
    <row r="6836" spans="1:2" x14ac:dyDescent="0.25">
      <c r="A6836" s="2">
        <v>6831</v>
      </c>
      <c r="B6836" s="3" t="str">
        <f>"00293329"</f>
        <v>00293329</v>
      </c>
    </row>
    <row r="6837" spans="1:2" x14ac:dyDescent="0.25">
      <c r="A6837" s="2">
        <v>6832</v>
      </c>
      <c r="B6837" s="3" t="str">
        <f>"00293354"</f>
        <v>00293354</v>
      </c>
    </row>
    <row r="6838" spans="1:2" x14ac:dyDescent="0.25">
      <c r="A6838" s="2">
        <v>6833</v>
      </c>
      <c r="B6838" s="3" t="str">
        <f>"00293500"</f>
        <v>00293500</v>
      </c>
    </row>
    <row r="6839" spans="1:2" x14ac:dyDescent="0.25">
      <c r="A6839" s="2">
        <v>6834</v>
      </c>
      <c r="B6839" s="3" t="str">
        <f>"00293537"</f>
        <v>00293537</v>
      </c>
    </row>
    <row r="6840" spans="1:2" x14ac:dyDescent="0.25">
      <c r="A6840" s="2">
        <v>6835</v>
      </c>
      <c r="B6840" s="3" t="str">
        <f>"00293676"</f>
        <v>00293676</v>
      </c>
    </row>
    <row r="6841" spans="1:2" x14ac:dyDescent="0.25">
      <c r="A6841" s="2">
        <v>6836</v>
      </c>
      <c r="B6841" s="3" t="str">
        <f>"00293690"</f>
        <v>00293690</v>
      </c>
    </row>
    <row r="6842" spans="1:2" x14ac:dyDescent="0.25">
      <c r="A6842" s="2">
        <v>6837</v>
      </c>
      <c r="B6842" s="3" t="str">
        <f>"00293718"</f>
        <v>00293718</v>
      </c>
    </row>
    <row r="6843" spans="1:2" x14ac:dyDescent="0.25">
      <c r="A6843" s="2">
        <v>6838</v>
      </c>
      <c r="B6843" s="3" t="str">
        <f>"00293722"</f>
        <v>00293722</v>
      </c>
    </row>
    <row r="6844" spans="1:2" x14ac:dyDescent="0.25">
      <c r="A6844" s="2">
        <v>6839</v>
      </c>
      <c r="B6844" s="3" t="str">
        <f>"00293733"</f>
        <v>00293733</v>
      </c>
    </row>
    <row r="6845" spans="1:2" x14ac:dyDescent="0.25">
      <c r="A6845" s="2">
        <v>6840</v>
      </c>
      <c r="B6845" s="3" t="str">
        <f>"00293815"</f>
        <v>00293815</v>
      </c>
    </row>
    <row r="6846" spans="1:2" x14ac:dyDescent="0.25">
      <c r="A6846" s="2">
        <v>6841</v>
      </c>
      <c r="B6846" s="3" t="str">
        <f>"00293844"</f>
        <v>00293844</v>
      </c>
    </row>
    <row r="6847" spans="1:2" x14ac:dyDescent="0.25">
      <c r="A6847" s="2">
        <v>6842</v>
      </c>
      <c r="B6847" s="3" t="str">
        <f>"00293873"</f>
        <v>00293873</v>
      </c>
    </row>
    <row r="6848" spans="1:2" x14ac:dyDescent="0.25">
      <c r="A6848" s="2">
        <v>6843</v>
      </c>
      <c r="B6848" s="3" t="str">
        <f>"00293894"</f>
        <v>00293894</v>
      </c>
    </row>
    <row r="6849" spans="1:2" x14ac:dyDescent="0.25">
      <c r="A6849" s="2">
        <v>6844</v>
      </c>
      <c r="B6849" s="3" t="str">
        <f>"00293909"</f>
        <v>00293909</v>
      </c>
    </row>
    <row r="6850" spans="1:2" x14ac:dyDescent="0.25">
      <c r="A6850" s="2">
        <v>6845</v>
      </c>
      <c r="B6850" s="3" t="str">
        <f>"00293916"</f>
        <v>00293916</v>
      </c>
    </row>
    <row r="6851" spans="1:2" x14ac:dyDescent="0.25">
      <c r="A6851" s="2">
        <v>6846</v>
      </c>
      <c r="B6851" s="3" t="str">
        <f>"00293922"</f>
        <v>00293922</v>
      </c>
    </row>
    <row r="6852" spans="1:2" x14ac:dyDescent="0.25">
      <c r="A6852" s="2">
        <v>6847</v>
      </c>
      <c r="B6852" s="3" t="str">
        <f>"00293927"</f>
        <v>00293927</v>
      </c>
    </row>
    <row r="6853" spans="1:2" x14ac:dyDescent="0.25">
      <c r="A6853" s="2">
        <v>6848</v>
      </c>
      <c r="B6853" s="3" t="str">
        <f>"00293952"</f>
        <v>00293952</v>
      </c>
    </row>
    <row r="6854" spans="1:2" x14ac:dyDescent="0.25">
      <c r="A6854" s="2">
        <v>6849</v>
      </c>
      <c r="B6854" s="3" t="str">
        <f>"00293954"</f>
        <v>00293954</v>
      </c>
    </row>
    <row r="6855" spans="1:2" x14ac:dyDescent="0.25">
      <c r="A6855" s="2">
        <v>6850</v>
      </c>
      <c r="B6855" s="3" t="str">
        <f>"00293992"</f>
        <v>00293992</v>
      </c>
    </row>
    <row r="6856" spans="1:2" x14ac:dyDescent="0.25">
      <c r="A6856" s="2">
        <v>6851</v>
      </c>
      <c r="B6856" s="3" t="str">
        <f>"00294003"</f>
        <v>00294003</v>
      </c>
    </row>
    <row r="6857" spans="1:2" x14ac:dyDescent="0.25">
      <c r="A6857" s="2">
        <v>6852</v>
      </c>
      <c r="B6857" s="3" t="str">
        <f>"00294092"</f>
        <v>00294092</v>
      </c>
    </row>
    <row r="6858" spans="1:2" x14ac:dyDescent="0.25">
      <c r="A6858" s="2">
        <v>6853</v>
      </c>
      <c r="B6858" s="3" t="str">
        <f>"00294175"</f>
        <v>00294175</v>
      </c>
    </row>
    <row r="6859" spans="1:2" x14ac:dyDescent="0.25">
      <c r="A6859" s="2">
        <v>6854</v>
      </c>
      <c r="B6859" s="3" t="str">
        <f>"00294316"</f>
        <v>00294316</v>
      </c>
    </row>
    <row r="6860" spans="1:2" x14ac:dyDescent="0.25">
      <c r="A6860" s="2">
        <v>6855</v>
      </c>
      <c r="B6860" s="3" t="str">
        <f>"00294336"</f>
        <v>00294336</v>
      </c>
    </row>
    <row r="6861" spans="1:2" x14ac:dyDescent="0.25">
      <c r="A6861" s="2">
        <v>6856</v>
      </c>
      <c r="B6861" s="3" t="str">
        <f>"00294374"</f>
        <v>00294374</v>
      </c>
    </row>
    <row r="6862" spans="1:2" x14ac:dyDescent="0.25">
      <c r="A6862" s="2">
        <v>6857</v>
      </c>
      <c r="B6862" s="3" t="str">
        <f>"00294392"</f>
        <v>00294392</v>
      </c>
    </row>
    <row r="6863" spans="1:2" x14ac:dyDescent="0.25">
      <c r="A6863" s="2">
        <v>6858</v>
      </c>
      <c r="B6863" s="3" t="str">
        <f>"00294399"</f>
        <v>00294399</v>
      </c>
    </row>
    <row r="6864" spans="1:2" x14ac:dyDescent="0.25">
      <c r="A6864" s="2">
        <v>6859</v>
      </c>
      <c r="B6864" s="3" t="str">
        <f>"00294451"</f>
        <v>00294451</v>
      </c>
    </row>
    <row r="6865" spans="1:2" x14ac:dyDescent="0.25">
      <c r="A6865" s="2">
        <v>6860</v>
      </c>
      <c r="B6865" s="3" t="str">
        <f>"00294512"</f>
        <v>00294512</v>
      </c>
    </row>
    <row r="6866" spans="1:2" x14ac:dyDescent="0.25">
      <c r="A6866" s="2">
        <v>6861</v>
      </c>
      <c r="B6866" s="3" t="str">
        <f>"00294515"</f>
        <v>00294515</v>
      </c>
    </row>
    <row r="6867" spans="1:2" x14ac:dyDescent="0.25">
      <c r="A6867" s="2">
        <v>6862</v>
      </c>
      <c r="B6867" s="3" t="str">
        <f>"00294516"</f>
        <v>00294516</v>
      </c>
    </row>
    <row r="6868" spans="1:2" x14ac:dyDescent="0.25">
      <c r="A6868" s="2">
        <v>6863</v>
      </c>
      <c r="B6868" s="3" t="str">
        <f>"00294527"</f>
        <v>00294527</v>
      </c>
    </row>
    <row r="6869" spans="1:2" x14ac:dyDescent="0.25">
      <c r="A6869" s="2">
        <v>6864</v>
      </c>
      <c r="B6869" s="3" t="str">
        <f>"00294536"</f>
        <v>00294536</v>
      </c>
    </row>
    <row r="6870" spans="1:2" x14ac:dyDescent="0.25">
      <c r="A6870" s="2">
        <v>6865</v>
      </c>
      <c r="B6870" s="3" t="str">
        <f>"00294576"</f>
        <v>00294576</v>
      </c>
    </row>
    <row r="6871" spans="1:2" x14ac:dyDescent="0.25">
      <c r="A6871" s="2">
        <v>6866</v>
      </c>
      <c r="B6871" s="3" t="str">
        <f>"00294620"</f>
        <v>00294620</v>
      </c>
    </row>
    <row r="6872" spans="1:2" x14ac:dyDescent="0.25">
      <c r="A6872" s="2">
        <v>6867</v>
      </c>
      <c r="B6872" s="3" t="str">
        <f>"00294653"</f>
        <v>00294653</v>
      </c>
    </row>
    <row r="6873" spans="1:2" x14ac:dyDescent="0.25">
      <c r="A6873" s="2">
        <v>6868</v>
      </c>
      <c r="B6873" s="3" t="str">
        <f>"00294724"</f>
        <v>00294724</v>
      </c>
    </row>
    <row r="6874" spans="1:2" x14ac:dyDescent="0.25">
      <c r="A6874" s="2">
        <v>6869</v>
      </c>
      <c r="B6874" s="3" t="str">
        <f>"00294738"</f>
        <v>00294738</v>
      </c>
    </row>
    <row r="6875" spans="1:2" x14ac:dyDescent="0.25">
      <c r="A6875" s="2">
        <v>6870</v>
      </c>
      <c r="B6875" s="3" t="str">
        <f>"00294782"</f>
        <v>00294782</v>
      </c>
    </row>
    <row r="6876" spans="1:2" x14ac:dyDescent="0.25">
      <c r="A6876" s="2">
        <v>6871</v>
      </c>
      <c r="B6876" s="3" t="str">
        <f>"00294791"</f>
        <v>00294791</v>
      </c>
    </row>
    <row r="6877" spans="1:2" x14ac:dyDescent="0.25">
      <c r="A6877" s="2">
        <v>6872</v>
      </c>
      <c r="B6877" s="3" t="str">
        <f>"00294799"</f>
        <v>00294799</v>
      </c>
    </row>
    <row r="6878" spans="1:2" x14ac:dyDescent="0.25">
      <c r="A6878" s="2">
        <v>6873</v>
      </c>
      <c r="B6878" s="3" t="str">
        <f>"00294802"</f>
        <v>00294802</v>
      </c>
    </row>
    <row r="6879" spans="1:2" x14ac:dyDescent="0.25">
      <c r="A6879" s="2">
        <v>6874</v>
      </c>
      <c r="B6879" s="3" t="str">
        <f>"00294820"</f>
        <v>00294820</v>
      </c>
    </row>
    <row r="6880" spans="1:2" x14ac:dyDescent="0.25">
      <c r="A6880" s="2">
        <v>6875</v>
      </c>
      <c r="B6880" s="3" t="str">
        <f>"00294845"</f>
        <v>00294845</v>
      </c>
    </row>
    <row r="6881" spans="1:2" x14ac:dyDescent="0.25">
      <c r="A6881" s="2">
        <v>6876</v>
      </c>
      <c r="B6881" s="3" t="str">
        <f>"00294859"</f>
        <v>00294859</v>
      </c>
    </row>
    <row r="6882" spans="1:2" x14ac:dyDescent="0.25">
      <c r="A6882" s="2">
        <v>6877</v>
      </c>
      <c r="B6882" s="3" t="str">
        <f>"00294913"</f>
        <v>00294913</v>
      </c>
    </row>
    <row r="6883" spans="1:2" x14ac:dyDescent="0.25">
      <c r="A6883" s="2">
        <v>6878</v>
      </c>
      <c r="B6883" s="3" t="str">
        <f>"00294955"</f>
        <v>00294955</v>
      </c>
    </row>
    <row r="6884" spans="1:2" x14ac:dyDescent="0.25">
      <c r="A6884" s="2">
        <v>6879</v>
      </c>
      <c r="B6884" s="3" t="str">
        <f>"00294975"</f>
        <v>00294975</v>
      </c>
    </row>
    <row r="6885" spans="1:2" x14ac:dyDescent="0.25">
      <c r="A6885" s="2">
        <v>6880</v>
      </c>
      <c r="B6885" s="3" t="str">
        <f>"00295015"</f>
        <v>00295015</v>
      </c>
    </row>
    <row r="6886" spans="1:2" x14ac:dyDescent="0.25">
      <c r="A6886" s="2">
        <v>6881</v>
      </c>
      <c r="B6886" s="3" t="str">
        <f>"00295029"</f>
        <v>00295029</v>
      </c>
    </row>
    <row r="6887" spans="1:2" x14ac:dyDescent="0.25">
      <c r="A6887" s="2">
        <v>6882</v>
      </c>
      <c r="B6887" s="3" t="str">
        <f>"00295067"</f>
        <v>00295067</v>
      </c>
    </row>
    <row r="6888" spans="1:2" x14ac:dyDescent="0.25">
      <c r="A6888" s="2">
        <v>6883</v>
      </c>
      <c r="B6888" s="3" t="str">
        <f>"00295071"</f>
        <v>00295071</v>
      </c>
    </row>
    <row r="6889" spans="1:2" x14ac:dyDescent="0.25">
      <c r="A6889" s="2">
        <v>6884</v>
      </c>
      <c r="B6889" s="3" t="str">
        <f>"00295083"</f>
        <v>00295083</v>
      </c>
    </row>
    <row r="6890" spans="1:2" x14ac:dyDescent="0.25">
      <c r="A6890" s="2">
        <v>6885</v>
      </c>
      <c r="B6890" s="3" t="str">
        <f>"00295084"</f>
        <v>00295084</v>
      </c>
    </row>
    <row r="6891" spans="1:2" x14ac:dyDescent="0.25">
      <c r="A6891" s="2">
        <v>6886</v>
      </c>
      <c r="B6891" s="3" t="str">
        <f>"00295089"</f>
        <v>00295089</v>
      </c>
    </row>
    <row r="6892" spans="1:2" x14ac:dyDescent="0.25">
      <c r="A6892" s="2">
        <v>6887</v>
      </c>
      <c r="B6892" s="3" t="str">
        <f>"00295096"</f>
        <v>00295096</v>
      </c>
    </row>
    <row r="6893" spans="1:2" x14ac:dyDescent="0.25">
      <c r="A6893" s="2">
        <v>6888</v>
      </c>
      <c r="B6893" s="3" t="str">
        <f>"00295111"</f>
        <v>00295111</v>
      </c>
    </row>
    <row r="6894" spans="1:2" x14ac:dyDescent="0.25">
      <c r="A6894" s="2">
        <v>6889</v>
      </c>
      <c r="B6894" s="3" t="str">
        <f>"00295151"</f>
        <v>00295151</v>
      </c>
    </row>
    <row r="6895" spans="1:2" x14ac:dyDescent="0.25">
      <c r="A6895" s="2">
        <v>6890</v>
      </c>
      <c r="B6895" s="3" t="str">
        <f>"00295168"</f>
        <v>00295168</v>
      </c>
    </row>
    <row r="6896" spans="1:2" x14ac:dyDescent="0.25">
      <c r="A6896" s="2">
        <v>6891</v>
      </c>
      <c r="B6896" s="3" t="str">
        <f>"00295215"</f>
        <v>00295215</v>
      </c>
    </row>
    <row r="6897" spans="1:2" x14ac:dyDescent="0.25">
      <c r="A6897" s="2">
        <v>6892</v>
      </c>
      <c r="B6897" s="3" t="str">
        <f>"00295234"</f>
        <v>00295234</v>
      </c>
    </row>
    <row r="6898" spans="1:2" x14ac:dyDescent="0.25">
      <c r="A6898" s="2">
        <v>6893</v>
      </c>
      <c r="B6898" s="3" t="str">
        <f>"00295300"</f>
        <v>00295300</v>
      </c>
    </row>
    <row r="6899" spans="1:2" x14ac:dyDescent="0.25">
      <c r="A6899" s="2">
        <v>6894</v>
      </c>
      <c r="B6899" s="3" t="str">
        <f>"00295306"</f>
        <v>00295306</v>
      </c>
    </row>
    <row r="6900" spans="1:2" x14ac:dyDescent="0.25">
      <c r="A6900" s="2">
        <v>6895</v>
      </c>
      <c r="B6900" s="3" t="str">
        <f>"00295330"</f>
        <v>00295330</v>
      </c>
    </row>
    <row r="6901" spans="1:2" x14ac:dyDescent="0.25">
      <c r="A6901" s="2">
        <v>6896</v>
      </c>
      <c r="B6901" s="3" t="str">
        <f>"00295331"</f>
        <v>00295331</v>
      </c>
    </row>
    <row r="6902" spans="1:2" x14ac:dyDescent="0.25">
      <c r="A6902" s="2">
        <v>6897</v>
      </c>
      <c r="B6902" s="3" t="str">
        <f>"00295341"</f>
        <v>00295341</v>
      </c>
    </row>
    <row r="6903" spans="1:2" x14ac:dyDescent="0.25">
      <c r="A6903" s="2">
        <v>6898</v>
      </c>
      <c r="B6903" s="3" t="str">
        <f>"00295426"</f>
        <v>00295426</v>
      </c>
    </row>
    <row r="6904" spans="1:2" x14ac:dyDescent="0.25">
      <c r="A6904" s="2">
        <v>6899</v>
      </c>
      <c r="B6904" s="3" t="str">
        <f>"00295458"</f>
        <v>00295458</v>
      </c>
    </row>
    <row r="6905" spans="1:2" x14ac:dyDescent="0.25">
      <c r="A6905" s="2">
        <v>6900</v>
      </c>
      <c r="B6905" s="3" t="str">
        <f>"00295463"</f>
        <v>00295463</v>
      </c>
    </row>
    <row r="6906" spans="1:2" x14ac:dyDescent="0.25">
      <c r="A6906" s="2">
        <v>6901</v>
      </c>
      <c r="B6906" s="3" t="str">
        <f>"00295470"</f>
        <v>00295470</v>
      </c>
    </row>
    <row r="6907" spans="1:2" x14ac:dyDescent="0.25">
      <c r="A6907" s="2">
        <v>6902</v>
      </c>
      <c r="B6907" s="3" t="str">
        <f>"00295476"</f>
        <v>00295476</v>
      </c>
    </row>
    <row r="6908" spans="1:2" x14ac:dyDescent="0.25">
      <c r="A6908" s="2">
        <v>6903</v>
      </c>
      <c r="B6908" s="3" t="str">
        <f>"00295521"</f>
        <v>00295521</v>
      </c>
    </row>
    <row r="6909" spans="1:2" x14ac:dyDescent="0.25">
      <c r="A6909" s="2">
        <v>6904</v>
      </c>
      <c r="B6909" s="3" t="str">
        <f>"00295564"</f>
        <v>00295564</v>
      </c>
    </row>
    <row r="6910" spans="1:2" x14ac:dyDescent="0.25">
      <c r="A6910" s="2">
        <v>6905</v>
      </c>
      <c r="B6910" s="3" t="str">
        <f>"00295575"</f>
        <v>00295575</v>
      </c>
    </row>
    <row r="6911" spans="1:2" x14ac:dyDescent="0.25">
      <c r="A6911" s="2">
        <v>6906</v>
      </c>
      <c r="B6911" s="3" t="str">
        <f>"00295609"</f>
        <v>00295609</v>
      </c>
    </row>
    <row r="6912" spans="1:2" x14ac:dyDescent="0.25">
      <c r="A6912" s="2">
        <v>6907</v>
      </c>
      <c r="B6912" s="3" t="str">
        <f>"00295611"</f>
        <v>00295611</v>
      </c>
    </row>
    <row r="6913" spans="1:2" x14ac:dyDescent="0.25">
      <c r="A6913" s="2">
        <v>6908</v>
      </c>
      <c r="B6913" s="3" t="str">
        <f>"00295785"</f>
        <v>00295785</v>
      </c>
    </row>
    <row r="6914" spans="1:2" x14ac:dyDescent="0.25">
      <c r="A6914" s="2">
        <v>6909</v>
      </c>
      <c r="B6914" s="3" t="str">
        <f>"00295831"</f>
        <v>00295831</v>
      </c>
    </row>
    <row r="6915" spans="1:2" x14ac:dyDescent="0.25">
      <c r="A6915" s="2">
        <v>6910</v>
      </c>
      <c r="B6915" s="3" t="str">
        <f>"00295922"</f>
        <v>00295922</v>
      </c>
    </row>
    <row r="6916" spans="1:2" x14ac:dyDescent="0.25">
      <c r="A6916" s="2">
        <v>6911</v>
      </c>
      <c r="B6916" s="3" t="str">
        <f>"00295934"</f>
        <v>00295934</v>
      </c>
    </row>
    <row r="6917" spans="1:2" x14ac:dyDescent="0.25">
      <c r="A6917" s="2">
        <v>6912</v>
      </c>
      <c r="B6917" s="3" t="str">
        <f>"00296009"</f>
        <v>00296009</v>
      </c>
    </row>
    <row r="6918" spans="1:2" x14ac:dyDescent="0.25">
      <c r="A6918" s="2">
        <v>6913</v>
      </c>
      <c r="B6918" s="3" t="str">
        <f>"00296043"</f>
        <v>00296043</v>
      </c>
    </row>
    <row r="6919" spans="1:2" x14ac:dyDescent="0.25">
      <c r="A6919" s="2">
        <v>6914</v>
      </c>
      <c r="B6919" s="3" t="str">
        <f>"00296071"</f>
        <v>00296071</v>
      </c>
    </row>
    <row r="6920" spans="1:2" x14ac:dyDescent="0.25">
      <c r="A6920" s="2">
        <v>6915</v>
      </c>
      <c r="B6920" s="3" t="str">
        <f>"00296124"</f>
        <v>00296124</v>
      </c>
    </row>
    <row r="6921" spans="1:2" x14ac:dyDescent="0.25">
      <c r="A6921" s="2">
        <v>6916</v>
      </c>
      <c r="B6921" s="3" t="str">
        <f>"00296151"</f>
        <v>00296151</v>
      </c>
    </row>
    <row r="6922" spans="1:2" x14ac:dyDescent="0.25">
      <c r="A6922" s="2">
        <v>6917</v>
      </c>
      <c r="B6922" s="3" t="str">
        <f>"00296164"</f>
        <v>00296164</v>
      </c>
    </row>
    <row r="6923" spans="1:2" x14ac:dyDescent="0.25">
      <c r="A6923" s="2">
        <v>6918</v>
      </c>
      <c r="B6923" s="3" t="str">
        <f>"00296174"</f>
        <v>00296174</v>
      </c>
    </row>
    <row r="6924" spans="1:2" x14ac:dyDescent="0.25">
      <c r="A6924" s="2">
        <v>6919</v>
      </c>
      <c r="B6924" s="3" t="str">
        <f>"00296179"</f>
        <v>00296179</v>
      </c>
    </row>
    <row r="6925" spans="1:2" x14ac:dyDescent="0.25">
      <c r="A6925" s="2">
        <v>6920</v>
      </c>
      <c r="B6925" s="3" t="str">
        <f>"00296289"</f>
        <v>00296289</v>
      </c>
    </row>
    <row r="6926" spans="1:2" x14ac:dyDescent="0.25">
      <c r="A6926" s="2">
        <v>6921</v>
      </c>
      <c r="B6926" s="3" t="str">
        <f>"00296315"</f>
        <v>00296315</v>
      </c>
    </row>
    <row r="6927" spans="1:2" x14ac:dyDescent="0.25">
      <c r="A6927" s="2">
        <v>6922</v>
      </c>
      <c r="B6927" s="3" t="str">
        <f>"00296322"</f>
        <v>00296322</v>
      </c>
    </row>
    <row r="6928" spans="1:2" x14ac:dyDescent="0.25">
      <c r="A6928" s="2">
        <v>6923</v>
      </c>
      <c r="B6928" s="3" t="str">
        <f>"00296324"</f>
        <v>00296324</v>
      </c>
    </row>
    <row r="6929" spans="1:2" x14ac:dyDescent="0.25">
      <c r="A6929" s="2">
        <v>6924</v>
      </c>
      <c r="B6929" s="3" t="str">
        <f>"00296331"</f>
        <v>00296331</v>
      </c>
    </row>
    <row r="6930" spans="1:2" x14ac:dyDescent="0.25">
      <c r="A6930" s="2">
        <v>6925</v>
      </c>
      <c r="B6930" s="3" t="str">
        <f>"00296379"</f>
        <v>00296379</v>
      </c>
    </row>
    <row r="6931" spans="1:2" x14ac:dyDescent="0.25">
      <c r="A6931" s="2">
        <v>6926</v>
      </c>
      <c r="B6931" s="3" t="str">
        <f>"00296386"</f>
        <v>00296386</v>
      </c>
    </row>
    <row r="6932" spans="1:2" x14ac:dyDescent="0.25">
      <c r="A6932" s="2">
        <v>6927</v>
      </c>
      <c r="B6932" s="3" t="str">
        <f>"00296396"</f>
        <v>00296396</v>
      </c>
    </row>
    <row r="6933" spans="1:2" x14ac:dyDescent="0.25">
      <c r="A6933" s="2">
        <v>6928</v>
      </c>
      <c r="B6933" s="3" t="str">
        <f>"00296469"</f>
        <v>00296469</v>
      </c>
    </row>
    <row r="6934" spans="1:2" x14ac:dyDescent="0.25">
      <c r="A6934" s="2">
        <v>6929</v>
      </c>
      <c r="B6934" s="3" t="str">
        <f>"00296472"</f>
        <v>00296472</v>
      </c>
    </row>
    <row r="6935" spans="1:2" x14ac:dyDescent="0.25">
      <c r="A6935" s="2">
        <v>6930</v>
      </c>
      <c r="B6935" s="3" t="str">
        <f>"00296481"</f>
        <v>00296481</v>
      </c>
    </row>
    <row r="6936" spans="1:2" x14ac:dyDescent="0.25">
      <c r="A6936" s="2">
        <v>6931</v>
      </c>
      <c r="B6936" s="3" t="str">
        <f>"00296501"</f>
        <v>00296501</v>
      </c>
    </row>
    <row r="6937" spans="1:2" x14ac:dyDescent="0.25">
      <c r="A6937" s="2">
        <v>6932</v>
      </c>
      <c r="B6937" s="3" t="str">
        <f>"00296559"</f>
        <v>00296559</v>
      </c>
    </row>
    <row r="6938" spans="1:2" x14ac:dyDescent="0.25">
      <c r="A6938" s="2">
        <v>6933</v>
      </c>
      <c r="B6938" s="3" t="str">
        <f>"00296589"</f>
        <v>00296589</v>
      </c>
    </row>
    <row r="6939" spans="1:2" x14ac:dyDescent="0.25">
      <c r="A6939" s="2">
        <v>6934</v>
      </c>
      <c r="B6939" s="3" t="str">
        <f>"00296634"</f>
        <v>00296634</v>
      </c>
    </row>
    <row r="6940" spans="1:2" x14ac:dyDescent="0.25">
      <c r="A6940" s="2">
        <v>6935</v>
      </c>
      <c r="B6940" s="3" t="str">
        <f>"00296661"</f>
        <v>00296661</v>
      </c>
    </row>
    <row r="6941" spans="1:2" x14ac:dyDescent="0.25">
      <c r="A6941" s="2">
        <v>6936</v>
      </c>
      <c r="B6941" s="3" t="str">
        <f>"00296671"</f>
        <v>00296671</v>
      </c>
    </row>
    <row r="6942" spans="1:2" x14ac:dyDescent="0.25">
      <c r="A6942" s="2">
        <v>6937</v>
      </c>
      <c r="B6942" s="3" t="str">
        <f>"00296683"</f>
        <v>00296683</v>
      </c>
    </row>
    <row r="6943" spans="1:2" x14ac:dyDescent="0.25">
      <c r="A6943" s="2">
        <v>6938</v>
      </c>
      <c r="B6943" s="3" t="str">
        <f>"00296724"</f>
        <v>00296724</v>
      </c>
    </row>
    <row r="6944" spans="1:2" x14ac:dyDescent="0.25">
      <c r="A6944" s="2">
        <v>6939</v>
      </c>
      <c r="B6944" s="3" t="str">
        <f>"00296780"</f>
        <v>00296780</v>
      </c>
    </row>
    <row r="6945" spans="1:2" x14ac:dyDescent="0.25">
      <c r="A6945" s="2">
        <v>6940</v>
      </c>
      <c r="B6945" s="3" t="str">
        <f>"00296826"</f>
        <v>00296826</v>
      </c>
    </row>
    <row r="6946" spans="1:2" x14ac:dyDescent="0.25">
      <c r="A6946" s="2">
        <v>6941</v>
      </c>
      <c r="B6946" s="3" t="str">
        <f>"00296827"</f>
        <v>00296827</v>
      </c>
    </row>
    <row r="6947" spans="1:2" x14ac:dyDescent="0.25">
      <c r="A6947" s="2">
        <v>6942</v>
      </c>
      <c r="B6947" s="3" t="str">
        <f>"00296861"</f>
        <v>00296861</v>
      </c>
    </row>
    <row r="6948" spans="1:2" x14ac:dyDescent="0.25">
      <c r="A6948" s="2">
        <v>6943</v>
      </c>
      <c r="B6948" s="3" t="str">
        <f>"00296882"</f>
        <v>00296882</v>
      </c>
    </row>
    <row r="6949" spans="1:2" x14ac:dyDescent="0.25">
      <c r="A6949" s="2">
        <v>6944</v>
      </c>
      <c r="B6949" s="3" t="str">
        <f>"00296915"</f>
        <v>00296915</v>
      </c>
    </row>
    <row r="6950" spans="1:2" x14ac:dyDescent="0.25">
      <c r="A6950" s="2">
        <v>6945</v>
      </c>
      <c r="B6950" s="3" t="str">
        <f>"00296968"</f>
        <v>00296968</v>
      </c>
    </row>
    <row r="6951" spans="1:2" x14ac:dyDescent="0.25">
      <c r="A6951" s="2">
        <v>6946</v>
      </c>
      <c r="B6951" s="3" t="str">
        <f>"00296977"</f>
        <v>00296977</v>
      </c>
    </row>
    <row r="6952" spans="1:2" x14ac:dyDescent="0.25">
      <c r="A6952" s="2">
        <v>6947</v>
      </c>
      <c r="B6952" s="3" t="str">
        <f>"00296984"</f>
        <v>00296984</v>
      </c>
    </row>
    <row r="6953" spans="1:2" x14ac:dyDescent="0.25">
      <c r="A6953" s="2">
        <v>6948</v>
      </c>
      <c r="B6953" s="3" t="str">
        <f>"00296994"</f>
        <v>00296994</v>
      </c>
    </row>
    <row r="6954" spans="1:2" x14ac:dyDescent="0.25">
      <c r="A6954" s="2">
        <v>6949</v>
      </c>
      <c r="B6954" s="3" t="str">
        <f>"00296999"</f>
        <v>00296999</v>
      </c>
    </row>
    <row r="6955" spans="1:2" x14ac:dyDescent="0.25">
      <c r="A6955" s="2">
        <v>6950</v>
      </c>
      <c r="B6955" s="3" t="str">
        <f>"00297049"</f>
        <v>00297049</v>
      </c>
    </row>
    <row r="6956" spans="1:2" x14ac:dyDescent="0.25">
      <c r="A6956" s="2">
        <v>6951</v>
      </c>
      <c r="B6956" s="3" t="str">
        <f>"00297125"</f>
        <v>00297125</v>
      </c>
    </row>
    <row r="6957" spans="1:2" x14ac:dyDescent="0.25">
      <c r="A6957" s="2">
        <v>6952</v>
      </c>
      <c r="B6957" s="3" t="str">
        <f>"00297200"</f>
        <v>00297200</v>
      </c>
    </row>
    <row r="6958" spans="1:2" x14ac:dyDescent="0.25">
      <c r="A6958" s="2">
        <v>6953</v>
      </c>
      <c r="B6958" s="3" t="str">
        <f>"00297306"</f>
        <v>00297306</v>
      </c>
    </row>
    <row r="6959" spans="1:2" x14ac:dyDescent="0.25">
      <c r="A6959" s="2">
        <v>6954</v>
      </c>
      <c r="B6959" s="3" t="str">
        <f>"00297312"</f>
        <v>00297312</v>
      </c>
    </row>
    <row r="6960" spans="1:2" x14ac:dyDescent="0.25">
      <c r="A6960" s="2">
        <v>6955</v>
      </c>
      <c r="B6960" s="3" t="str">
        <f>"00297389"</f>
        <v>00297389</v>
      </c>
    </row>
    <row r="6961" spans="1:2" x14ac:dyDescent="0.25">
      <c r="A6961" s="2">
        <v>6956</v>
      </c>
      <c r="B6961" s="3" t="str">
        <f>"00297405"</f>
        <v>00297405</v>
      </c>
    </row>
    <row r="6962" spans="1:2" x14ac:dyDescent="0.25">
      <c r="A6962" s="2">
        <v>6957</v>
      </c>
      <c r="B6962" s="3" t="str">
        <f>"00297436"</f>
        <v>00297436</v>
      </c>
    </row>
    <row r="6963" spans="1:2" x14ac:dyDescent="0.25">
      <c r="A6963" s="2">
        <v>6958</v>
      </c>
      <c r="B6963" s="3" t="str">
        <f>"00297440"</f>
        <v>00297440</v>
      </c>
    </row>
    <row r="6964" spans="1:2" x14ac:dyDescent="0.25">
      <c r="A6964" s="2">
        <v>6959</v>
      </c>
      <c r="B6964" s="3" t="str">
        <f>"00297441"</f>
        <v>00297441</v>
      </c>
    </row>
    <row r="6965" spans="1:2" x14ac:dyDescent="0.25">
      <c r="A6965" s="2">
        <v>6960</v>
      </c>
      <c r="B6965" s="3" t="str">
        <f>"00297444"</f>
        <v>00297444</v>
      </c>
    </row>
    <row r="6966" spans="1:2" x14ac:dyDescent="0.25">
      <c r="A6966" s="2">
        <v>6961</v>
      </c>
      <c r="B6966" s="3" t="str">
        <f>"00297529"</f>
        <v>00297529</v>
      </c>
    </row>
    <row r="6967" spans="1:2" x14ac:dyDescent="0.25">
      <c r="A6967" s="2">
        <v>6962</v>
      </c>
      <c r="B6967" s="3" t="str">
        <f>"00297537"</f>
        <v>00297537</v>
      </c>
    </row>
    <row r="6968" spans="1:2" x14ac:dyDescent="0.25">
      <c r="A6968" s="2">
        <v>6963</v>
      </c>
      <c r="B6968" s="3" t="str">
        <f>"00297545"</f>
        <v>00297545</v>
      </c>
    </row>
    <row r="6969" spans="1:2" x14ac:dyDescent="0.25">
      <c r="A6969" s="2">
        <v>6964</v>
      </c>
      <c r="B6969" s="3" t="str">
        <f>"00297550"</f>
        <v>00297550</v>
      </c>
    </row>
    <row r="6970" spans="1:2" x14ac:dyDescent="0.25">
      <c r="A6970" s="2">
        <v>6965</v>
      </c>
      <c r="B6970" s="3" t="str">
        <f>"00297551"</f>
        <v>00297551</v>
      </c>
    </row>
    <row r="6971" spans="1:2" x14ac:dyDescent="0.25">
      <c r="A6971" s="2">
        <v>6966</v>
      </c>
      <c r="B6971" s="3" t="str">
        <f>"00297610"</f>
        <v>00297610</v>
      </c>
    </row>
    <row r="6972" spans="1:2" x14ac:dyDescent="0.25">
      <c r="A6972" s="2">
        <v>6967</v>
      </c>
      <c r="B6972" s="3" t="str">
        <f>"00297661"</f>
        <v>00297661</v>
      </c>
    </row>
    <row r="6973" spans="1:2" x14ac:dyDescent="0.25">
      <c r="A6973" s="2">
        <v>6968</v>
      </c>
      <c r="B6973" s="3" t="str">
        <f>"00297678"</f>
        <v>00297678</v>
      </c>
    </row>
    <row r="6974" spans="1:2" x14ac:dyDescent="0.25">
      <c r="A6974" s="2">
        <v>6969</v>
      </c>
      <c r="B6974" s="3" t="str">
        <f>"00297698"</f>
        <v>00297698</v>
      </c>
    </row>
    <row r="6975" spans="1:2" x14ac:dyDescent="0.25">
      <c r="A6975" s="2">
        <v>6970</v>
      </c>
      <c r="B6975" s="3" t="str">
        <f>"00297725"</f>
        <v>00297725</v>
      </c>
    </row>
    <row r="6976" spans="1:2" x14ac:dyDescent="0.25">
      <c r="A6976" s="2">
        <v>6971</v>
      </c>
      <c r="B6976" s="3" t="str">
        <f>"00297820"</f>
        <v>00297820</v>
      </c>
    </row>
    <row r="6977" spans="1:2" x14ac:dyDescent="0.25">
      <c r="A6977" s="2">
        <v>6972</v>
      </c>
      <c r="B6977" s="3" t="str">
        <f>"00297831"</f>
        <v>00297831</v>
      </c>
    </row>
    <row r="6978" spans="1:2" x14ac:dyDescent="0.25">
      <c r="A6978" s="2">
        <v>6973</v>
      </c>
      <c r="B6978" s="3" t="str">
        <f>"00297902"</f>
        <v>00297902</v>
      </c>
    </row>
    <row r="6979" spans="1:2" x14ac:dyDescent="0.25">
      <c r="A6979" s="2">
        <v>6974</v>
      </c>
      <c r="B6979" s="3" t="str">
        <f>"00297909"</f>
        <v>00297909</v>
      </c>
    </row>
    <row r="6980" spans="1:2" x14ac:dyDescent="0.25">
      <c r="A6980" s="2">
        <v>6975</v>
      </c>
      <c r="B6980" s="3" t="str">
        <f>"00297933"</f>
        <v>00297933</v>
      </c>
    </row>
    <row r="6981" spans="1:2" x14ac:dyDescent="0.25">
      <c r="A6981" s="2">
        <v>6976</v>
      </c>
      <c r="B6981" s="3" t="str">
        <f>"00297946"</f>
        <v>00297946</v>
      </c>
    </row>
    <row r="6982" spans="1:2" x14ac:dyDescent="0.25">
      <c r="A6982" s="2">
        <v>6977</v>
      </c>
      <c r="B6982" s="3" t="str">
        <f>"00297951"</f>
        <v>00297951</v>
      </c>
    </row>
    <row r="6983" spans="1:2" x14ac:dyDescent="0.25">
      <c r="A6983" s="2">
        <v>6978</v>
      </c>
      <c r="B6983" s="3" t="str">
        <f>"00297954"</f>
        <v>00297954</v>
      </c>
    </row>
    <row r="6984" spans="1:2" x14ac:dyDescent="0.25">
      <c r="A6984" s="2">
        <v>6979</v>
      </c>
      <c r="B6984" s="3" t="str">
        <f>"00297970"</f>
        <v>00297970</v>
      </c>
    </row>
    <row r="6985" spans="1:2" x14ac:dyDescent="0.25">
      <c r="A6985" s="2">
        <v>6980</v>
      </c>
      <c r="B6985" s="3" t="str">
        <f>"00298010"</f>
        <v>00298010</v>
      </c>
    </row>
    <row r="6986" spans="1:2" x14ac:dyDescent="0.25">
      <c r="A6986" s="2">
        <v>6981</v>
      </c>
      <c r="B6986" s="3" t="str">
        <f>"00298013"</f>
        <v>00298013</v>
      </c>
    </row>
    <row r="6987" spans="1:2" x14ac:dyDescent="0.25">
      <c r="A6987" s="2">
        <v>6982</v>
      </c>
      <c r="B6987" s="3" t="str">
        <f>"00298023"</f>
        <v>00298023</v>
      </c>
    </row>
    <row r="6988" spans="1:2" x14ac:dyDescent="0.25">
      <c r="A6988" s="2">
        <v>6983</v>
      </c>
      <c r="B6988" s="3" t="str">
        <f>"00298025"</f>
        <v>00298025</v>
      </c>
    </row>
    <row r="6989" spans="1:2" x14ac:dyDescent="0.25">
      <c r="A6989" s="2">
        <v>6984</v>
      </c>
      <c r="B6989" s="3" t="str">
        <f>"00298054"</f>
        <v>00298054</v>
      </c>
    </row>
    <row r="6990" spans="1:2" x14ac:dyDescent="0.25">
      <c r="A6990" s="2">
        <v>6985</v>
      </c>
      <c r="B6990" s="3" t="str">
        <f>"00298065"</f>
        <v>00298065</v>
      </c>
    </row>
    <row r="6991" spans="1:2" x14ac:dyDescent="0.25">
      <c r="A6991" s="2">
        <v>6986</v>
      </c>
      <c r="B6991" s="3" t="str">
        <f>"00298089"</f>
        <v>00298089</v>
      </c>
    </row>
    <row r="6992" spans="1:2" x14ac:dyDescent="0.25">
      <c r="A6992" s="2">
        <v>6987</v>
      </c>
      <c r="B6992" s="3" t="str">
        <f>"00298090"</f>
        <v>00298090</v>
      </c>
    </row>
    <row r="6993" spans="1:2" x14ac:dyDescent="0.25">
      <c r="A6993" s="2">
        <v>6988</v>
      </c>
      <c r="B6993" s="3" t="str">
        <f>"00298093"</f>
        <v>00298093</v>
      </c>
    </row>
    <row r="6994" spans="1:2" x14ac:dyDescent="0.25">
      <c r="A6994" s="2">
        <v>6989</v>
      </c>
      <c r="B6994" s="3" t="str">
        <f>"00298116"</f>
        <v>00298116</v>
      </c>
    </row>
    <row r="6995" spans="1:2" x14ac:dyDescent="0.25">
      <c r="A6995" s="2">
        <v>6990</v>
      </c>
      <c r="B6995" s="3" t="str">
        <f>"00298133"</f>
        <v>00298133</v>
      </c>
    </row>
    <row r="6996" spans="1:2" x14ac:dyDescent="0.25">
      <c r="A6996" s="2">
        <v>6991</v>
      </c>
      <c r="B6996" s="3" t="str">
        <f>"00298229"</f>
        <v>00298229</v>
      </c>
    </row>
    <row r="6997" spans="1:2" x14ac:dyDescent="0.25">
      <c r="A6997" s="2">
        <v>6992</v>
      </c>
      <c r="B6997" s="3" t="str">
        <f>"00298266"</f>
        <v>00298266</v>
      </c>
    </row>
    <row r="6998" spans="1:2" x14ac:dyDescent="0.25">
      <c r="A6998" s="2">
        <v>6993</v>
      </c>
      <c r="B6998" s="3" t="str">
        <f>"00298269"</f>
        <v>00298269</v>
      </c>
    </row>
    <row r="6999" spans="1:2" x14ac:dyDescent="0.25">
      <c r="A6999" s="2">
        <v>6994</v>
      </c>
      <c r="B6999" s="3" t="str">
        <f>"00298377"</f>
        <v>00298377</v>
      </c>
    </row>
    <row r="7000" spans="1:2" x14ac:dyDescent="0.25">
      <c r="A7000" s="2">
        <v>6995</v>
      </c>
      <c r="B7000" s="3" t="str">
        <f>"00298432"</f>
        <v>00298432</v>
      </c>
    </row>
    <row r="7001" spans="1:2" x14ac:dyDescent="0.25">
      <c r="A7001" s="2">
        <v>6996</v>
      </c>
      <c r="B7001" s="3" t="str">
        <f>"00298504"</f>
        <v>00298504</v>
      </c>
    </row>
    <row r="7002" spans="1:2" x14ac:dyDescent="0.25">
      <c r="A7002" s="2">
        <v>6997</v>
      </c>
      <c r="B7002" s="3" t="str">
        <f>"00298512"</f>
        <v>00298512</v>
      </c>
    </row>
    <row r="7003" spans="1:2" x14ac:dyDescent="0.25">
      <c r="A7003" s="2">
        <v>6998</v>
      </c>
      <c r="B7003" s="3" t="str">
        <f>"00298519"</f>
        <v>00298519</v>
      </c>
    </row>
    <row r="7004" spans="1:2" x14ac:dyDescent="0.25">
      <c r="A7004" s="2">
        <v>6999</v>
      </c>
      <c r="B7004" s="3" t="str">
        <f>"00298521"</f>
        <v>00298521</v>
      </c>
    </row>
    <row r="7005" spans="1:2" x14ac:dyDescent="0.25">
      <c r="A7005" s="2">
        <v>7000</v>
      </c>
      <c r="B7005" s="3" t="str">
        <f>"00298558"</f>
        <v>00298558</v>
      </c>
    </row>
    <row r="7006" spans="1:2" x14ac:dyDescent="0.25">
      <c r="A7006" s="2">
        <v>7001</v>
      </c>
      <c r="B7006" s="3" t="str">
        <f>"00298580"</f>
        <v>00298580</v>
      </c>
    </row>
    <row r="7007" spans="1:2" x14ac:dyDescent="0.25">
      <c r="A7007" s="2">
        <v>7002</v>
      </c>
      <c r="B7007" s="3" t="str">
        <f>"00298640"</f>
        <v>00298640</v>
      </c>
    </row>
    <row r="7008" spans="1:2" x14ac:dyDescent="0.25">
      <c r="A7008" s="2">
        <v>7003</v>
      </c>
      <c r="B7008" s="3" t="str">
        <f>"00298644"</f>
        <v>00298644</v>
      </c>
    </row>
    <row r="7009" spans="1:2" x14ac:dyDescent="0.25">
      <c r="A7009" s="2">
        <v>7004</v>
      </c>
      <c r="B7009" s="3" t="str">
        <f>"00298690"</f>
        <v>00298690</v>
      </c>
    </row>
    <row r="7010" spans="1:2" x14ac:dyDescent="0.25">
      <c r="A7010" s="2">
        <v>7005</v>
      </c>
      <c r="B7010" s="3" t="str">
        <f>"00298692"</f>
        <v>00298692</v>
      </c>
    </row>
    <row r="7011" spans="1:2" x14ac:dyDescent="0.25">
      <c r="A7011" s="2">
        <v>7006</v>
      </c>
      <c r="B7011" s="3" t="str">
        <f>"00298726"</f>
        <v>00298726</v>
      </c>
    </row>
    <row r="7012" spans="1:2" x14ac:dyDescent="0.25">
      <c r="A7012" s="2">
        <v>7007</v>
      </c>
      <c r="B7012" s="3" t="str">
        <f>"00298727"</f>
        <v>00298727</v>
      </c>
    </row>
    <row r="7013" spans="1:2" x14ac:dyDescent="0.25">
      <c r="A7013" s="2">
        <v>7008</v>
      </c>
      <c r="B7013" s="3" t="str">
        <f>"00298779"</f>
        <v>00298779</v>
      </c>
    </row>
    <row r="7014" spans="1:2" x14ac:dyDescent="0.25">
      <c r="A7014" s="2">
        <v>7009</v>
      </c>
      <c r="B7014" s="3" t="str">
        <f>"00298812"</f>
        <v>00298812</v>
      </c>
    </row>
    <row r="7015" spans="1:2" x14ac:dyDescent="0.25">
      <c r="A7015" s="2">
        <v>7010</v>
      </c>
      <c r="B7015" s="3" t="str">
        <f>"00298819"</f>
        <v>00298819</v>
      </c>
    </row>
    <row r="7016" spans="1:2" x14ac:dyDescent="0.25">
      <c r="A7016" s="2">
        <v>7011</v>
      </c>
      <c r="B7016" s="3" t="str">
        <f>"00298869"</f>
        <v>00298869</v>
      </c>
    </row>
    <row r="7017" spans="1:2" x14ac:dyDescent="0.25">
      <c r="A7017" s="2">
        <v>7012</v>
      </c>
      <c r="B7017" s="3" t="str">
        <f>"00298872"</f>
        <v>00298872</v>
      </c>
    </row>
    <row r="7018" spans="1:2" x14ac:dyDescent="0.25">
      <c r="A7018" s="2">
        <v>7013</v>
      </c>
      <c r="B7018" s="3" t="str">
        <f>"00298912"</f>
        <v>00298912</v>
      </c>
    </row>
    <row r="7019" spans="1:2" x14ac:dyDescent="0.25">
      <c r="A7019" s="2">
        <v>7014</v>
      </c>
      <c r="B7019" s="3" t="str">
        <f>"00298922"</f>
        <v>00298922</v>
      </c>
    </row>
    <row r="7020" spans="1:2" x14ac:dyDescent="0.25">
      <c r="A7020" s="2">
        <v>7015</v>
      </c>
      <c r="B7020" s="3" t="str">
        <f>"00298978"</f>
        <v>00298978</v>
      </c>
    </row>
    <row r="7021" spans="1:2" x14ac:dyDescent="0.25">
      <c r="A7021" s="2">
        <v>7016</v>
      </c>
      <c r="B7021" s="3" t="str">
        <f>"00298983"</f>
        <v>00298983</v>
      </c>
    </row>
    <row r="7022" spans="1:2" x14ac:dyDescent="0.25">
      <c r="A7022" s="2">
        <v>7017</v>
      </c>
      <c r="B7022" s="3" t="str">
        <f>"00299027"</f>
        <v>00299027</v>
      </c>
    </row>
    <row r="7023" spans="1:2" x14ac:dyDescent="0.25">
      <c r="A7023" s="2">
        <v>7018</v>
      </c>
      <c r="B7023" s="3" t="str">
        <f>"00299028"</f>
        <v>00299028</v>
      </c>
    </row>
    <row r="7024" spans="1:2" x14ac:dyDescent="0.25">
      <c r="A7024" s="2">
        <v>7019</v>
      </c>
      <c r="B7024" s="3" t="str">
        <f>"00299032"</f>
        <v>00299032</v>
      </c>
    </row>
    <row r="7025" spans="1:2" x14ac:dyDescent="0.25">
      <c r="A7025" s="2">
        <v>7020</v>
      </c>
      <c r="B7025" s="3" t="str">
        <f>"00299034"</f>
        <v>00299034</v>
      </c>
    </row>
    <row r="7026" spans="1:2" x14ac:dyDescent="0.25">
      <c r="A7026" s="2">
        <v>7021</v>
      </c>
      <c r="B7026" s="3" t="str">
        <f>"00299091"</f>
        <v>00299091</v>
      </c>
    </row>
    <row r="7027" spans="1:2" x14ac:dyDescent="0.25">
      <c r="A7027" s="2">
        <v>7022</v>
      </c>
      <c r="B7027" s="3" t="str">
        <f>"00299108"</f>
        <v>00299108</v>
      </c>
    </row>
    <row r="7028" spans="1:2" x14ac:dyDescent="0.25">
      <c r="A7028" s="2">
        <v>7023</v>
      </c>
      <c r="B7028" s="3" t="str">
        <f>"00299169"</f>
        <v>00299169</v>
      </c>
    </row>
    <row r="7029" spans="1:2" x14ac:dyDescent="0.25">
      <c r="A7029" s="2">
        <v>7024</v>
      </c>
      <c r="B7029" s="3" t="str">
        <f>"00299221"</f>
        <v>00299221</v>
      </c>
    </row>
    <row r="7030" spans="1:2" x14ac:dyDescent="0.25">
      <c r="A7030" s="2">
        <v>7025</v>
      </c>
      <c r="B7030" s="3" t="str">
        <f>"00299233"</f>
        <v>00299233</v>
      </c>
    </row>
    <row r="7031" spans="1:2" x14ac:dyDescent="0.25">
      <c r="A7031" s="2">
        <v>7026</v>
      </c>
      <c r="B7031" s="3" t="str">
        <f>"00299241"</f>
        <v>00299241</v>
      </c>
    </row>
    <row r="7032" spans="1:2" x14ac:dyDescent="0.25">
      <c r="A7032" s="2">
        <v>7027</v>
      </c>
      <c r="B7032" s="3" t="str">
        <f>"00299248"</f>
        <v>00299248</v>
      </c>
    </row>
    <row r="7033" spans="1:2" x14ac:dyDescent="0.25">
      <c r="A7033" s="2">
        <v>7028</v>
      </c>
      <c r="B7033" s="3" t="str">
        <f>"00299279"</f>
        <v>00299279</v>
      </c>
    </row>
    <row r="7034" spans="1:2" x14ac:dyDescent="0.25">
      <c r="A7034" s="2">
        <v>7029</v>
      </c>
      <c r="B7034" s="3" t="str">
        <f>"00299349"</f>
        <v>00299349</v>
      </c>
    </row>
    <row r="7035" spans="1:2" x14ac:dyDescent="0.25">
      <c r="A7035" s="2">
        <v>7030</v>
      </c>
      <c r="B7035" s="3" t="str">
        <f>"00299357"</f>
        <v>00299357</v>
      </c>
    </row>
    <row r="7036" spans="1:2" x14ac:dyDescent="0.25">
      <c r="A7036" s="2">
        <v>7031</v>
      </c>
      <c r="B7036" s="3" t="str">
        <f>"00299398"</f>
        <v>00299398</v>
      </c>
    </row>
    <row r="7037" spans="1:2" x14ac:dyDescent="0.25">
      <c r="A7037" s="2">
        <v>7032</v>
      </c>
      <c r="B7037" s="3" t="str">
        <f>"00299401"</f>
        <v>00299401</v>
      </c>
    </row>
    <row r="7038" spans="1:2" x14ac:dyDescent="0.25">
      <c r="A7038" s="2">
        <v>7033</v>
      </c>
      <c r="B7038" s="3" t="str">
        <f>"00299428"</f>
        <v>00299428</v>
      </c>
    </row>
    <row r="7039" spans="1:2" x14ac:dyDescent="0.25">
      <c r="A7039" s="2">
        <v>7034</v>
      </c>
      <c r="B7039" s="3" t="str">
        <f>"00299443"</f>
        <v>00299443</v>
      </c>
    </row>
    <row r="7040" spans="1:2" x14ac:dyDescent="0.25">
      <c r="A7040" s="2">
        <v>7035</v>
      </c>
      <c r="B7040" s="3" t="str">
        <f>"00299450"</f>
        <v>00299450</v>
      </c>
    </row>
    <row r="7041" spans="1:2" x14ac:dyDescent="0.25">
      <c r="A7041" s="2">
        <v>7036</v>
      </c>
      <c r="B7041" s="3" t="str">
        <f>"00299461"</f>
        <v>00299461</v>
      </c>
    </row>
    <row r="7042" spans="1:2" x14ac:dyDescent="0.25">
      <c r="A7042" s="2">
        <v>7037</v>
      </c>
      <c r="B7042" s="3" t="str">
        <f>"00299476"</f>
        <v>00299476</v>
      </c>
    </row>
    <row r="7043" spans="1:2" x14ac:dyDescent="0.25">
      <c r="A7043" s="2">
        <v>7038</v>
      </c>
      <c r="B7043" s="3" t="str">
        <f>"00299513"</f>
        <v>00299513</v>
      </c>
    </row>
    <row r="7044" spans="1:2" x14ac:dyDescent="0.25">
      <c r="A7044" s="2">
        <v>7039</v>
      </c>
      <c r="B7044" s="3" t="str">
        <f>"00299555"</f>
        <v>00299555</v>
      </c>
    </row>
    <row r="7045" spans="1:2" x14ac:dyDescent="0.25">
      <c r="A7045" s="2">
        <v>7040</v>
      </c>
      <c r="B7045" s="3" t="str">
        <f>"00299598"</f>
        <v>00299598</v>
      </c>
    </row>
    <row r="7046" spans="1:2" x14ac:dyDescent="0.25">
      <c r="A7046" s="2">
        <v>7041</v>
      </c>
      <c r="B7046" s="3" t="str">
        <f>"00299607"</f>
        <v>00299607</v>
      </c>
    </row>
    <row r="7047" spans="1:2" x14ac:dyDescent="0.25">
      <c r="A7047" s="2">
        <v>7042</v>
      </c>
      <c r="B7047" s="3" t="str">
        <f>"00299610"</f>
        <v>00299610</v>
      </c>
    </row>
    <row r="7048" spans="1:2" x14ac:dyDescent="0.25">
      <c r="A7048" s="2">
        <v>7043</v>
      </c>
      <c r="B7048" s="3" t="str">
        <f>"00299614"</f>
        <v>00299614</v>
      </c>
    </row>
    <row r="7049" spans="1:2" x14ac:dyDescent="0.25">
      <c r="A7049" s="2">
        <v>7044</v>
      </c>
      <c r="B7049" s="3" t="str">
        <f>"00299673"</f>
        <v>00299673</v>
      </c>
    </row>
    <row r="7050" spans="1:2" x14ac:dyDescent="0.25">
      <c r="A7050" s="2">
        <v>7045</v>
      </c>
      <c r="B7050" s="3" t="str">
        <f>"00299707"</f>
        <v>00299707</v>
      </c>
    </row>
    <row r="7051" spans="1:2" x14ac:dyDescent="0.25">
      <c r="A7051" s="2">
        <v>7046</v>
      </c>
      <c r="B7051" s="3" t="str">
        <f>"00299725"</f>
        <v>00299725</v>
      </c>
    </row>
    <row r="7052" spans="1:2" x14ac:dyDescent="0.25">
      <c r="A7052" s="2">
        <v>7047</v>
      </c>
      <c r="B7052" s="3" t="str">
        <f>"00299767"</f>
        <v>00299767</v>
      </c>
    </row>
    <row r="7053" spans="1:2" x14ac:dyDescent="0.25">
      <c r="A7053" s="2">
        <v>7048</v>
      </c>
      <c r="B7053" s="3" t="str">
        <f>"00299778"</f>
        <v>00299778</v>
      </c>
    </row>
    <row r="7054" spans="1:2" x14ac:dyDescent="0.25">
      <c r="A7054" s="2">
        <v>7049</v>
      </c>
      <c r="B7054" s="3" t="str">
        <f>"00299791"</f>
        <v>00299791</v>
      </c>
    </row>
    <row r="7055" spans="1:2" x14ac:dyDescent="0.25">
      <c r="A7055" s="2">
        <v>7050</v>
      </c>
      <c r="B7055" s="3" t="str">
        <f>"00299799"</f>
        <v>00299799</v>
      </c>
    </row>
    <row r="7056" spans="1:2" x14ac:dyDescent="0.25">
      <c r="A7056" s="2">
        <v>7051</v>
      </c>
      <c r="B7056" s="3" t="str">
        <f>"00299801"</f>
        <v>00299801</v>
      </c>
    </row>
    <row r="7057" spans="1:2" x14ac:dyDescent="0.25">
      <c r="A7057" s="2">
        <v>7052</v>
      </c>
      <c r="B7057" s="3" t="str">
        <f>"00299810"</f>
        <v>00299810</v>
      </c>
    </row>
    <row r="7058" spans="1:2" x14ac:dyDescent="0.25">
      <c r="A7058" s="2">
        <v>7053</v>
      </c>
      <c r="B7058" s="3" t="str">
        <f>"00299887"</f>
        <v>00299887</v>
      </c>
    </row>
    <row r="7059" spans="1:2" x14ac:dyDescent="0.25">
      <c r="A7059" s="2">
        <v>7054</v>
      </c>
      <c r="B7059" s="3" t="str">
        <f>"00299934"</f>
        <v>00299934</v>
      </c>
    </row>
    <row r="7060" spans="1:2" x14ac:dyDescent="0.25">
      <c r="A7060" s="2">
        <v>7055</v>
      </c>
      <c r="B7060" s="3" t="str">
        <f>"00300040"</f>
        <v>00300040</v>
      </c>
    </row>
    <row r="7061" spans="1:2" x14ac:dyDescent="0.25">
      <c r="A7061" s="2">
        <v>7056</v>
      </c>
      <c r="B7061" s="3" t="str">
        <f>"00300055"</f>
        <v>00300055</v>
      </c>
    </row>
    <row r="7062" spans="1:2" x14ac:dyDescent="0.25">
      <c r="A7062" s="2">
        <v>7057</v>
      </c>
      <c r="B7062" s="3" t="str">
        <f>"00300116"</f>
        <v>00300116</v>
      </c>
    </row>
    <row r="7063" spans="1:2" x14ac:dyDescent="0.25">
      <c r="A7063" s="2">
        <v>7058</v>
      </c>
      <c r="B7063" s="3" t="str">
        <f>"00300130"</f>
        <v>00300130</v>
      </c>
    </row>
    <row r="7064" spans="1:2" x14ac:dyDescent="0.25">
      <c r="A7064" s="2">
        <v>7059</v>
      </c>
      <c r="B7064" s="3" t="str">
        <f>"00300161"</f>
        <v>00300161</v>
      </c>
    </row>
    <row r="7065" spans="1:2" x14ac:dyDescent="0.25">
      <c r="A7065" s="2">
        <v>7060</v>
      </c>
      <c r="B7065" s="3" t="str">
        <f>"00300230"</f>
        <v>00300230</v>
      </c>
    </row>
    <row r="7066" spans="1:2" x14ac:dyDescent="0.25">
      <c r="A7066" s="2">
        <v>7061</v>
      </c>
      <c r="B7066" s="3" t="str">
        <f>"00300233"</f>
        <v>00300233</v>
      </c>
    </row>
    <row r="7067" spans="1:2" x14ac:dyDescent="0.25">
      <c r="A7067" s="2">
        <v>7062</v>
      </c>
      <c r="B7067" s="3" t="str">
        <f>"00300303"</f>
        <v>00300303</v>
      </c>
    </row>
    <row r="7068" spans="1:2" x14ac:dyDescent="0.25">
      <c r="A7068" s="2">
        <v>7063</v>
      </c>
      <c r="B7068" s="3" t="str">
        <f>"00300305"</f>
        <v>00300305</v>
      </c>
    </row>
    <row r="7069" spans="1:2" x14ac:dyDescent="0.25">
      <c r="A7069" s="2">
        <v>7064</v>
      </c>
      <c r="B7069" s="3" t="str">
        <f>"00300325"</f>
        <v>00300325</v>
      </c>
    </row>
    <row r="7070" spans="1:2" x14ac:dyDescent="0.25">
      <c r="A7070" s="2">
        <v>7065</v>
      </c>
      <c r="B7070" s="3" t="str">
        <f>"00300338"</f>
        <v>00300338</v>
      </c>
    </row>
    <row r="7071" spans="1:2" x14ac:dyDescent="0.25">
      <c r="A7071" s="2">
        <v>7066</v>
      </c>
      <c r="B7071" s="3" t="str">
        <f>"00300344"</f>
        <v>00300344</v>
      </c>
    </row>
    <row r="7072" spans="1:2" x14ac:dyDescent="0.25">
      <c r="A7072" s="2">
        <v>7067</v>
      </c>
      <c r="B7072" s="3" t="str">
        <f>"00300468"</f>
        <v>00300468</v>
      </c>
    </row>
    <row r="7073" spans="1:2" x14ac:dyDescent="0.25">
      <c r="A7073" s="2">
        <v>7068</v>
      </c>
      <c r="B7073" s="3" t="str">
        <f>"00300470"</f>
        <v>00300470</v>
      </c>
    </row>
    <row r="7074" spans="1:2" x14ac:dyDescent="0.25">
      <c r="A7074" s="2">
        <v>7069</v>
      </c>
      <c r="B7074" s="3" t="str">
        <f>"00300493"</f>
        <v>00300493</v>
      </c>
    </row>
    <row r="7075" spans="1:2" x14ac:dyDescent="0.25">
      <c r="A7075" s="2">
        <v>7070</v>
      </c>
      <c r="B7075" s="3" t="str">
        <f>"00300497"</f>
        <v>00300497</v>
      </c>
    </row>
    <row r="7076" spans="1:2" x14ac:dyDescent="0.25">
      <c r="A7076" s="2">
        <v>7071</v>
      </c>
      <c r="B7076" s="3" t="str">
        <f>"00300505"</f>
        <v>00300505</v>
      </c>
    </row>
    <row r="7077" spans="1:2" x14ac:dyDescent="0.25">
      <c r="A7077" s="2">
        <v>7072</v>
      </c>
      <c r="B7077" s="3" t="str">
        <f>"00300509"</f>
        <v>00300509</v>
      </c>
    </row>
    <row r="7078" spans="1:2" x14ac:dyDescent="0.25">
      <c r="A7078" s="2">
        <v>7073</v>
      </c>
      <c r="B7078" s="3" t="str">
        <f>"00300522"</f>
        <v>00300522</v>
      </c>
    </row>
    <row r="7079" spans="1:2" x14ac:dyDescent="0.25">
      <c r="A7079" s="2">
        <v>7074</v>
      </c>
      <c r="B7079" s="3" t="str">
        <f>"00300543"</f>
        <v>00300543</v>
      </c>
    </row>
    <row r="7080" spans="1:2" x14ac:dyDescent="0.25">
      <c r="A7080" s="2">
        <v>7075</v>
      </c>
      <c r="B7080" s="3" t="str">
        <f>"00300545"</f>
        <v>00300545</v>
      </c>
    </row>
    <row r="7081" spans="1:2" x14ac:dyDescent="0.25">
      <c r="A7081" s="2">
        <v>7076</v>
      </c>
      <c r="B7081" s="3" t="str">
        <f>"00300550"</f>
        <v>00300550</v>
      </c>
    </row>
    <row r="7082" spans="1:2" x14ac:dyDescent="0.25">
      <c r="A7082" s="2">
        <v>7077</v>
      </c>
      <c r="B7082" s="3" t="str">
        <f>"00300575"</f>
        <v>00300575</v>
      </c>
    </row>
    <row r="7083" spans="1:2" x14ac:dyDescent="0.25">
      <c r="A7083" s="2">
        <v>7078</v>
      </c>
      <c r="B7083" s="3" t="str">
        <f>"00300579"</f>
        <v>00300579</v>
      </c>
    </row>
    <row r="7084" spans="1:2" x14ac:dyDescent="0.25">
      <c r="A7084" s="2">
        <v>7079</v>
      </c>
      <c r="B7084" s="3" t="str">
        <f>"00300605"</f>
        <v>00300605</v>
      </c>
    </row>
    <row r="7085" spans="1:2" x14ac:dyDescent="0.25">
      <c r="A7085" s="2">
        <v>7080</v>
      </c>
      <c r="B7085" s="3" t="str">
        <f>"00300607"</f>
        <v>00300607</v>
      </c>
    </row>
    <row r="7086" spans="1:2" x14ac:dyDescent="0.25">
      <c r="A7086" s="2">
        <v>7081</v>
      </c>
      <c r="B7086" s="3" t="str">
        <f>"00300622"</f>
        <v>00300622</v>
      </c>
    </row>
    <row r="7087" spans="1:2" x14ac:dyDescent="0.25">
      <c r="A7087" s="2">
        <v>7082</v>
      </c>
      <c r="B7087" s="3" t="str">
        <f>"00300627"</f>
        <v>00300627</v>
      </c>
    </row>
    <row r="7088" spans="1:2" x14ac:dyDescent="0.25">
      <c r="A7088" s="2">
        <v>7083</v>
      </c>
      <c r="B7088" s="3" t="str">
        <f>"00300641"</f>
        <v>00300641</v>
      </c>
    </row>
    <row r="7089" spans="1:2" x14ac:dyDescent="0.25">
      <c r="A7089" s="2">
        <v>7084</v>
      </c>
      <c r="B7089" s="3" t="str">
        <f>"00300662"</f>
        <v>00300662</v>
      </c>
    </row>
    <row r="7090" spans="1:2" x14ac:dyDescent="0.25">
      <c r="A7090" s="2">
        <v>7085</v>
      </c>
      <c r="B7090" s="3" t="str">
        <f>"00300778"</f>
        <v>00300778</v>
      </c>
    </row>
    <row r="7091" spans="1:2" x14ac:dyDescent="0.25">
      <c r="A7091" s="2">
        <v>7086</v>
      </c>
      <c r="B7091" s="3" t="str">
        <f>"00300897"</f>
        <v>00300897</v>
      </c>
    </row>
    <row r="7092" spans="1:2" x14ac:dyDescent="0.25">
      <c r="A7092" s="2">
        <v>7087</v>
      </c>
      <c r="B7092" s="3" t="str">
        <f>"00300900"</f>
        <v>00300900</v>
      </c>
    </row>
    <row r="7093" spans="1:2" x14ac:dyDescent="0.25">
      <c r="A7093" s="2">
        <v>7088</v>
      </c>
      <c r="B7093" s="3" t="str">
        <f>"00300934"</f>
        <v>00300934</v>
      </c>
    </row>
    <row r="7094" spans="1:2" x14ac:dyDescent="0.25">
      <c r="A7094" s="2">
        <v>7089</v>
      </c>
      <c r="B7094" s="3" t="str">
        <f>"00300968"</f>
        <v>00300968</v>
      </c>
    </row>
    <row r="7095" spans="1:2" x14ac:dyDescent="0.25">
      <c r="A7095" s="2">
        <v>7090</v>
      </c>
      <c r="B7095" s="3" t="str">
        <f>"00300975"</f>
        <v>00300975</v>
      </c>
    </row>
    <row r="7096" spans="1:2" x14ac:dyDescent="0.25">
      <c r="A7096" s="2">
        <v>7091</v>
      </c>
      <c r="B7096" s="3" t="str">
        <f>"00300982"</f>
        <v>00300982</v>
      </c>
    </row>
    <row r="7097" spans="1:2" x14ac:dyDescent="0.25">
      <c r="A7097" s="2">
        <v>7092</v>
      </c>
      <c r="B7097" s="3" t="str">
        <f>"00301005"</f>
        <v>00301005</v>
      </c>
    </row>
    <row r="7098" spans="1:2" x14ac:dyDescent="0.25">
      <c r="A7098" s="2">
        <v>7093</v>
      </c>
      <c r="B7098" s="3" t="str">
        <f>"00301018"</f>
        <v>00301018</v>
      </c>
    </row>
    <row r="7099" spans="1:2" x14ac:dyDescent="0.25">
      <c r="A7099" s="2">
        <v>7094</v>
      </c>
      <c r="B7099" s="3" t="str">
        <f>"00301025"</f>
        <v>00301025</v>
      </c>
    </row>
    <row r="7100" spans="1:2" x14ac:dyDescent="0.25">
      <c r="A7100" s="2">
        <v>7095</v>
      </c>
      <c r="B7100" s="3" t="str">
        <f>"00301056"</f>
        <v>00301056</v>
      </c>
    </row>
    <row r="7101" spans="1:2" x14ac:dyDescent="0.25">
      <c r="A7101" s="2">
        <v>7096</v>
      </c>
      <c r="B7101" s="3" t="str">
        <f>"00301072"</f>
        <v>00301072</v>
      </c>
    </row>
    <row r="7102" spans="1:2" x14ac:dyDescent="0.25">
      <c r="A7102" s="2">
        <v>7097</v>
      </c>
      <c r="B7102" s="3" t="str">
        <f>"00301083"</f>
        <v>00301083</v>
      </c>
    </row>
    <row r="7103" spans="1:2" x14ac:dyDescent="0.25">
      <c r="A7103" s="2">
        <v>7098</v>
      </c>
      <c r="B7103" s="3" t="str">
        <f>"00301104"</f>
        <v>00301104</v>
      </c>
    </row>
    <row r="7104" spans="1:2" x14ac:dyDescent="0.25">
      <c r="A7104" s="2">
        <v>7099</v>
      </c>
      <c r="B7104" s="3" t="str">
        <f>"00301105"</f>
        <v>00301105</v>
      </c>
    </row>
    <row r="7105" spans="1:2" x14ac:dyDescent="0.25">
      <c r="A7105" s="2">
        <v>7100</v>
      </c>
      <c r="B7105" s="3" t="str">
        <f>"00301150"</f>
        <v>00301150</v>
      </c>
    </row>
    <row r="7106" spans="1:2" x14ac:dyDescent="0.25">
      <c r="A7106" s="2">
        <v>7101</v>
      </c>
      <c r="B7106" s="3" t="str">
        <f>"00301152"</f>
        <v>00301152</v>
      </c>
    </row>
    <row r="7107" spans="1:2" x14ac:dyDescent="0.25">
      <c r="A7107" s="2">
        <v>7102</v>
      </c>
      <c r="B7107" s="3" t="str">
        <f>"00301180"</f>
        <v>00301180</v>
      </c>
    </row>
    <row r="7108" spans="1:2" x14ac:dyDescent="0.25">
      <c r="A7108" s="2">
        <v>7103</v>
      </c>
      <c r="B7108" s="3" t="str">
        <f>"00301220"</f>
        <v>00301220</v>
      </c>
    </row>
    <row r="7109" spans="1:2" x14ac:dyDescent="0.25">
      <c r="A7109" s="2">
        <v>7104</v>
      </c>
      <c r="B7109" s="3" t="str">
        <f>"00301239"</f>
        <v>00301239</v>
      </c>
    </row>
    <row r="7110" spans="1:2" x14ac:dyDescent="0.25">
      <c r="A7110" s="2">
        <v>7105</v>
      </c>
      <c r="B7110" s="3" t="str">
        <f>"00301246"</f>
        <v>00301246</v>
      </c>
    </row>
    <row r="7111" spans="1:2" x14ac:dyDescent="0.25">
      <c r="A7111" s="2">
        <v>7106</v>
      </c>
      <c r="B7111" s="3" t="str">
        <f>"00301342"</f>
        <v>00301342</v>
      </c>
    </row>
    <row r="7112" spans="1:2" x14ac:dyDescent="0.25">
      <c r="A7112" s="2">
        <v>7107</v>
      </c>
      <c r="B7112" s="3" t="str">
        <f>"00301359"</f>
        <v>00301359</v>
      </c>
    </row>
    <row r="7113" spans="1:2" x14ac:dyDescent="0.25">
      <c r="A7113" s="2">
        <v>7108</v>
      </c>
      <c r="B7113" s="3" t="str">
        <f>"00301380"</f>
        <v>00301380</v>
      </c>
    </row>
    <row r="7114" spans="1:2" x14ac:dyDescent="0.25">
      <c r="A7114" s="2">
        <v>7109</v>
      </c>
      <c r="B7114" s="3" t="str">
        <f>"00301384"</f>
        <v>00301384</v>
      </c>
    </row>
    <row r="7115" spans="1:2" x14ac:dyDescent="0.25">
      <c r="A7115" s="2">
        <v>7110</v>
      </c>
      <c r="B7115" s="3" t="str">
        <f>"00301462"</f>
        <v>00301462</v>
      </c>
    </row>
    <row r="7116" spans="1:2" x14ac:dyDescent="0.25">
      <c r="A7116" s="2">
        <v>7111</v>
      </c>
      <c r="B7116" s="3" t="str">
        <f>"00301475"</f>
        <v>00301475</v>
      </c>
    </row>
    <row r="7117" spans="1:2" x14ac:dyDescent="0.25">
      <c r="A7117" s="2">
        <v>7112</v>
      </c>
      <c r="B7117" s="3" t="str">
        <f>"00301500"</f>
        <v>00301500</v>
      </c>
    </row>
    <row r="7118" spans="1:2" x14ac:dyDescent="0.25">
      <c r="A7118" s="2">
        <v>7113</v>
      </c>
      <c r="B7118" s="3" t="str">
        <f>"00301557"</f>
        <v>00301557</v>
      </c>
    </row>
    <row r="7119" spans="1:2" x14ac:dyDescent="0.25">
      <c r="A7119" s="2">
        <v>7114</v>
      </c>
      <c r="B7119" s="3" t="str">
        <f>"00301565"</f>
        <v>00301565</v>
      </c>
    </row>
    <row r="7120" spans="1:2" x14ac:dyDescent="0.25">
      <c r="A7120" s="2">
        <v>7115</v>
      </c>
      <c r="B7120" s="3" t="str">
        <f>"00301568"</f>
        <v>00301568</v>
      </c>
    </row>
    <row r="7121" spans="1:2" x14ac:dyDescent="0.25">
      <c r="A7121" s="2">
        <v>7116</v>
      </c>
      <c r="B7121" s="3" t="str">
        <f>"00301582"</f>
        <v>00301582</v>
      </c>
    </row>
    <row r="7122" spans="1:2" x14ac:dyDescent="0.25">
      <c r="A7122" s="2">
        <v>7117</v>
      </c>
      <c r="B7122" s="3" t="str">
        <f>"00301604"</f>
        <v>00301604</v>
      </c>
    </row>
    <row r="7123" spans="1:2" x14ac:dyDescent="0.25">
      <c r="A7123" s="2">
        <v>7118</v>
      </c>
      <c r="B7123" s="3" t="str">
        <f>"00301626"</f>
        <v>00301626</v>
      </c>
    </row>
    <row r="7124" spans="1:2" x14ac:dyDescent="0.25">
      <c r="A7124" s="2">
        <v>7119</v>
      </c>
      <c r="B7124" s="3" t="str">
        <f>"00301627"</f>
        <v>00301627</v>
      </c>
    </row>
    <row r="7125" spans="1:2" x14ac:dyDescent="0.25">
      <c r="A7125" s="2">
        <v>7120</v>
      </c>
      <c r="B7125" s="3" t="str">
        <f>"00301648"</f>
        <v>00301648</v>
      </c>
    </row>
    <row r="7126" spans="1:2" x14ac:dyDescent="0.25">
      <c r="A7126" s="2">
        <v>7121</v>
      </c>
      <c r="B7126" s="3" t="str">
        <f>"00301688"</f>
        <v>00301688</v>
      </c>
    </row>
    <row r="7127" spans="1:2" x14ac:dyDescent="0.25">
      <c r="A7127" s="2">
        <v>7122</v>
      </c>
      <c r="B7127" s="3" t="str">
        <f>"00301742"</f>
        <v>00301742</v>
      </c>
    </row>
    <row r="7128" spans="1:2" x14ac:dyDescent="0.25">
      <c r="A7128" s="2">
        <v>7123</v>
      </c>
      <c r="B7128" s="3" t="str">
        <f>"00301846"</f>
        <v>00301846</v>
      </c>
    </row>
    <row r="7129" spans="1:2" x14ac:dyDescent="0.25">
      <c r="A7129" s="2">
        <v>7124</v>
      </c>
      <c r="B7129" s="3" t="str">
        <f>"00302012"</f>
        <v>00302012</v>
      </c>
    </row>
    <row r="7130" spans="1:2" x14ac:dyDescent="0.25">
      <c r="A7130" s="2">
        <v>7125</v>
      </c>
      <c r="B7130" s="3" t="str">
        <f>"00302041"</f>
        <v>00302041</v>
      </c>
    </row>
    <row r="7131" spans="1:2" x14ac:dyDescent="0.25">
      <c r="A7131" s="2">
        <v>7126</v>
      </c>
      <c r="B7131" s="3" t="str">
        <f>"00302060"</f>
        <v>00302060</v>
      </c>
    </row>
    <row r="7132" spans="1:2" x14ac:dyDescent="0.25">
      <c r="A7132" s="2">
        <v>7127</v>
      </c>
      <c r="B7132" s="3" t="str">
        <f>"00302078"</f>
        <v>00302078</v>
      </c>
    </row>
    <row r="7133" spans="1:2" x14ac:dyDescent="0.25">
      <c r="A7133" s="2">
        <v>7128</v>
      </c>
      <c r="B7133" s="3" t="str">
        <f>"00302095"</f>
        <v>00302095</v>
      </c>
    </row>
    <row r="7134" spans="1:2" x14ac:dyDescent="0.25">
      <c r="A7134" s="2">
        <v>7129</v>
      </c>
      <c r="B7134" s="3" t="str">
        <f>"00302173"</f>
        <v>00302173</v>
      </c>
    </row>
    <row r="7135" spans="1:2" x14ac:dyDescent="0.25">
      <c r="A7135" s="2">
        <v>7130</v>
      </c>
      <c r="B7135" s="3" t="str">
        <f>"00302197"</f>
        <v>00302197</v>
      </c>
    </row>
    <row r="7136" spans="1:2" x14ac:dyDescent="0.25">
      <c r="A7136" s="2">
        <v>7131</v>
      </c>
      <c r="B7136" s="3" t="str">
        <f>"00302209"</f>
        <v>00302209</v>
      </c>
    </row>
    <row r="7137" spans="1:2" x14ac:dyDescent="0.25">
      <c r="A7137" s="2">
        <v>7132</v>
      </c>
      <c r="B7137" s="3" t="str">
        <f>"00302220"</f>
        <v>00302220</v>
      </c>
    </row>
    <row r="7138" spans="1:2" x14ac:dyDescent="0.25">
      <c r="A7138" s="2">
        <v>7133</v>
      </c>
      <c r="B7138" s="3" t="str">
        <f>"00302250"</f>
        <v>00302250</v>
      </c>
    </row>
    <row r="7139" spans="1:2" x14ac:dyDescent="0.25">
      <c r="A7139" s="2">
        <v>7134</v>
      </c>
      <c r="B7139" s="3" t="str">
        <f>"00302272"</f>
        <v>00302272</v>
      </c>
    </row>
    <row r="7140" spans="1:2" x14ac:dyDescent="0.25">
      <c r="A7140" s="2">
        <v>7135</v>
      </c>
      <c r="B7140" s="3" t="str">
        <f>"00302278"</f>
        <v>00302278</v>
      </c>
    </row>
    <row r="7141" spans="1:2" x14ac:dyDescent="0.25">
      <c r="A7141" s="2">
        <v>7136</v>
      </c>
      <c r="B7141" s="3" t="str">
        <f>"00302325"</f>
        <v>00302325</v>
      </c>
    </row>
    <row r="7142" spans="1:2" x14ac:dyDescent="0.25">
      <c r="A7142" s="2">
        <v>7137</v>
      </c>
      <c r="B7142" s="3" t="str">
        <f>"00302354"</f>
        <v>00302354</v>
      </c>
    </row>
    <row r="7143" spans="1:2" x14ac:dyDescent="0.25">
      <c r="A7143" s="2">
        <v>7138</v>
      </c>
      <c r="B7143" s="3" t="str">
        <f>"00302367"</f>
        <v>00302367</v>
      </c>
    </row>
    <row r="7144" spans="1:2" x14ac:dyDescent="0.25">
      <c r="A7144" s="2">
        <v>7139</v>
      </c>
      <c r="B7144" s="3" t="str">
        <f>"00302370"</f>
        <v>00302370</v>
      </c>
    </row>
    <row r="7145" spans="1:2" x14ac:dyDescent="0.25">
      <c r="A7145" s="2">
        <v>7140</v>
      </c>
      <c r="B7145" s="3" t="str">
        <f>"00302448"</f>
        <v>00302448</v>
      </c>
    </row>
    <row r="7146" spans="1:2" x14ac:dyDescent="0.25">
      <c r="A7146" s="2">
        <v>7141</v>
      </c>
      <c r="B7146" s="3" t="str">
        <f>"00302449"</f>
        <v>00302449</v>
      </c>
    </row>
    <row r="7147" spans="1:2" x14ac:dyDescent="0.25">
      <c r="A7147" s="2">
        <v>7142</v>
      </c>
      <c r="B7147" s="3" t="str">
        <f>"00302494"</f>
        <v>00302494</v>
      </c>
    </row>
    <row r="7148" spans="1:2" x14ac:dyDescent="0.25">
      <c r="A7148" s="2">
        <v>7143</v>
      </c>
      <c r="B7148" s="3" t="str">
        <f>"00302565"</f>
        <v>00302565</v>
      </c>
    </row>
    <row r="7149" spans="1:2" x14ac:dyDescent="0.25">
      <c r="A7149" s="2">
        <v>7144</v>
      </c>
      <c r="B7149" s="3" t="str">
        <f>"00302591"</f>
        <v>00302591</v>
      </c>
    </row>
    <row r="7150" spans="1:2" x14ac:dyDescent="0.25">
      <c r="A7150" s="2">
        <v>7145</v>
      </c>
      <c r="B7150" s="3" t="str">
        <f>"00302606"</f>
        <v>00302606</v>
      </c>
    </row>
    <row r="7151" spans="1:2" x14ac:dyDescent="0.25">
      <c r="A7151" s="2">
        <v>7146</v>
      </c>
      <c r="B7151" s="3" t="str">
        <f>"00302645"</f>
        <v>00302645</v>
      </c>
    </row>
    <row r="7152" spans="1:2" x14ac:dyDescent="0.25">
      <c r="A7152" s="2">
        <v>7147</v>
      </c>
      <c r="B7152" s="3" t="str">
        <f>"00302755"</f>
        <v>00302755</v>
      </c>
    </row>
    <row r="7153" spans="1:2" x14ac:dyDescent="0.25">
      <c r="A7153" s="2">
        <v>7148</v>
      </c>
      <c r="B7153" s="3" t="str">
        <f>"00302765"</f>
        <v>00302765</v>
      </c>
    </row>
    <row r="7154" spans="1:2" x14ac:dyDescent="0.25">
      <c r="A7154" s="2">
        <v>7149</v>
      </c>
      <c r="B7154" s="3" t="str">
        <f>"00302802"</f>
        <v>00302802</v>
      </c>
    </row>
    <row r="7155" spans="1:2" x14ac:dyDescent="0.25">
      <c r="A7155" s="2">
        <v>7150</v>
      </c>
      <c r="B7155" s="3" t="str">
        <f>"00302812"</f>
        <v>00302812</v>
      </c>
    </row>
    <row r="7156" spans="1:2" x14ac:dyDescent="0.25">
      <c r="A7156" s="2">
        <v>7151</v>
      </c>
      <c r="B7156" s="3" t="str">
        <f>"00302838"</f>
        <v>00302838</v>
      </c>
    </row>
    <row r="7157" spans="1:2" x14ac:dyDescent="0.25">
      <c r="A7157" s="2">
        <v>7152</v>
      </c>
      <c r="B7157" s="3" t="str">
        <f>"00302913"</f>
        <v>00302913</v>
      </c>
    </row>
    <row r="7158" spans="1:2" x14ac:dyDescent="0.25">
      <c r="A7158" s="2">
        <v>7153</v>
      </c>
      <c r="B7158" s="3" t="str">
        <f>"00302936"</f>
        <v>00302936</v>
      </c>
    </row>
    <row r="7159" spans="1:2" x14ac:dyDescent="0.25">
      <c r="A7159" s="2">
        <v>7154</v>
      </c>
      <c r="B7159" s="3" t="str">
        <f>"00302939"</f>
        <v>00302939</v>
      </c>
    </row>
    <row r="7160" spans="1:2" x14ac:dyDescent="0.25">
      <c r="A7160" s="2">
        <v>7155</v>
      </c>
      <c r="B7160" s="3" t="str">
        <f>"00302961"</f>
        <v>00302961</v>
      </c>
    </row>
    <row r="7161" spans="1:2" x14ac:dyDescent="0.25">
      <c r="A7161" s="2">
        <v>7156</v>
      </c>
      <c r="B7161" s="3" t="str">
        <f>"00302983"</f>
        <v>00302983</v>
      </c>
    </row>
    <row r="7162" spans="1:2" x14ac:dyDescent="0.25">
      <c r="A7162" s="2">
        <v>7157</v>
      </c>
      <c r="B7162" s="3" t="str">
        <f>"00302988"</f>
        <v>00302988</v>
      </c>
    </row>
    <row r="7163" spans="1:2" x14ac:dyDescent="0.25">
      <c r="A7163" s="2">
        <v>7158</v>
      </c>
      <c r="B7163" s="3" t="str">
        <f>"00303019"</f>
        <v>00303019</v>
      </c>
    </row>
    <row r="7164" spans="1:2" x14ac:dyDescent="0.25">
      <c r="A7164" s="2">
        <v>7159</v>
      </c>
      <c r="B7164" s="3" t="str">
        <f>"00303100"</f>
        <v>00303100</v>
      </c>
    </row>
    <row r="7165" spans="1:2" x14ac:dyDescent="0.25">
      <c r="A7165" s="2">
        <v>7160</v>
      </c>
      <c r="B7165" s="3" t="str">
        <f>"00303216"</f>
        <v>00303216</v>
      </c>
    </row>
    <row r="7166" spans="1:2" x14ac:dyDescent="0.25">
      <c r="A7166" s="2">
        <v>7161</v>
      </c>
      <c r="B7166" s="3" t="str">
        <f>"00303222"</f>
        <v>00303222</v>
      </c>
    </row>
    <row r="7167" spans="1:2" x14ac:dyDescent="0.25">
      <c r="A7167" s="2">
        <v>7162</v>
      </c>
      <c r="B7167" s="3" t="str">
        <f>"00303223"</f>
        <v>00303223</v>
      </c>
    </row>
    <row r="7168" spans="1:2" x14ac:dyDescent="0.25">
      <c r="A7168" s="2">
        <v>7163</v>
      </c>
      <c r="B7168" s="3" t="str">
        <f>"00303256"</f>
        <v>00303256</v>
      </c>
    </row>
    <row r="7169" spans="1:2" x14ac:dyDescent="0.25">
      <c r="A7169" s="2">
        <v>7164</v>
      </c>
      <c r="B7169" s="3" t="str">
        <f>"00303270"</f>
        <v>00303270</v>
      </c>
    </row>
    <row r="7170" spans="1:2" x14ac:dyDescent="0.25">
      <c r="A7170" s="2">
        <v>7165</v>
      </c>
      <c r="B7170" s="3" t="str">
        <f>"00303289"</f>
        <v>00303289</v>
      </c>
    </row>
    <row r="7171" spans="1:2" x14ac:dyDescent="0.25">
      <c r="A7171" s="2">
        <v>7166</v>
      </c>
      <c r="B7171" s="3" t="str">
        <f>"00303297"</f>
        <v>00303297</v>
      </c>
    </row>
    <row r="7172" spans="1:2" x14ac:dyDescent="0.25">
      <c r="A7172" s="2">
        <v>7167</v>
      </c>
      <c r="B7172" s="3" t="str">
        <f>"00303298"</f>
        <v>00303298</v>
      </c>
    </row>
    <row r="7173" spans="1:2" x14ac:dyDescent="0.25">
      <c r="A7173" s="2">
        <v>7168</v>
      </c>
      <c r="B7173" s="3" t="str">
        <f>"00303322"</f>
        <v>00303322</v>
      </c>
    </row>
    <row r="7174" spans="1:2" x14ac:dyDescent="0.25">
      <c r="A7174" s="2">
        <v>7169</v>
      </c>
      <c r="B7174" s="3" t="str">
        <f>"00303331"</f>
        <v>00303331</v>
      </c>
    </row>
    <row r="7175" spans="1:2" x14ac:dyDescent="0.25">
      <c r="A7175" s="2">
        <v>7170</v>
      </c>
      <c r="B7175" s="3" t="str">
        <f>"00303396"</f>
        <v>00303396</v>
      </c>
    </row>
    <row r="7176" spans="1:2" x14ac:dyDescent="0.25">
      <c r="A7176" s="2">
        <v>7171</v>
      </c>
      <c r="B7176" s="3" t="str">
        <f>"00303397"</f>
        <v>00303397</v>
      </c>
    </row>
    <row r="7177" spans="1:2" x14ac:dyDescent="0.25">
      <c r="A7177" s="2">
        <v>7172</v>
      </c>
      <c r="B7177" s="3" t="str">
        <f>"00303467"</f>
        <v>00303467</v>
      </c>
    </row>
    <row r="7178" spans="1:2" x14ac:dyDescent="0.25">
      <c r="A7178" s="2">
        <v>7173</v>
      </c>
      <c r="B7178" s="3" t="str">
        <f>"00303634"</f>
        <v>00303634</v>
      </c>
    </row>
    <row r="7179" spans="1:2" x14ac:dyDescent="0.25">
      <c r="A7179" s="2">
        <v>7174</v>
      </c>
      <c r="B7179" s="3" t="str">
        <f>"00303823"</f>
        <v>00303823</v>
      </c>
    </row>
    <row r="7180" spans="1:2" x14ac:dyDescent="0.25">
      <c r="A7180" s="2">
        <v>7175</v>
      </c>
      <c r="B7180" s="3" t="str">
        <f>"00303841"</f>
        <v>00303841</v>
      </c>
    </row>
    <row r="7181" spans="1:2" x14ac:dyDescent="0.25">
      <c r="A7181" s="2">
        <v>7176</v>
      </c>
      <c r="B7181" s="3" t="str">
        <f>"00303864"</f>
        <v>00303864</v>
      </c>
    </row>
    <row r="7182" spans="1:2" x14ac:dyDescent="0.25">
      <c r="A7182" s="2">
        <v>7177</v>
      </c>
      <c r="B7182" s="3" t="str">
        <f>"00303872"</f>
        <v>00303872</v>
      </c>
    </row>
    <row r="7183" spans="1:2" x14ac:dyDescent="0.25">
      <c r="A7183" s="2">
        <v>7178</v>
      </c>
      <c r="B7183" s="3" t="str">
        <f>"00303873"</f>
        <v>00303873</v>
      </c>
    </row>
    <row r="7184" spans="1:2" x14ac:dyDescent="0.25">
      <c r="A7184" s="2">
        <v>7179</v>
      </c>
      <c r="B7184" s="3" t="str">
        <f>"00303883"</f>
        <v>00303883</v>
      </c>
    </row>
    <row r="7185" spans="1:2" x14ac:dyDescent="0.25">
      <c r="A7185" s="2">
        <v>7180</v>
      </c>
      <c r="B7185" s="3" t="str">
        <f>"00304219"</f>
        <v>00304219</v>
      </c>
    </row>
    <row r="7186" spans="1:2" x14ac:dyDescent="0.25">
      <c r="A7186" s="2">
        <v>7181</v>
      </c>
      <c r="B7186" s="3" t="str">
        <f>"00304225"</f>
        <v>00304225</v>
      </c>
    </row>
    <row r="7187" spans="1:2" x14ac:dyDescent="0.25">
      <c r="A7187" s="2">
        <v>7182</v>
      </c>
      <c r="B7187" s="3" t="str">
        <f>"00304509"</f>
        <v>00304509</v>
      </c>
    </row>
    <row r="7188" spans="1:2" x14ac:dyDescent="0.25">
      <c r="A7188" s="2">
        <v>7183</v>
      </c>
      <c r="B7188" s="3" t="str">
        <f>"00304526"</f>
        <v>00304526</v>
      </c>
    </row>
    <row r="7189" spans="1:2" x14ac:dyDescent="0.25">
      <c r="A7189" s="2">
        <v>7184</v>
      </c>
      <c r="B7189" s="3" t="str">
        <f>"00304658"</f>
        <v>00304658</v>
      </c>
    </row>
    <row r="7190" spans="1:2" x14ac:dyDescent="0.25">
      <c r="A7190" s="2">
        <v>7185</v>
      </c>
      <c r="B7190" s="3" t="str">
        <f>"00304708"</f>
        <v>00304708</v>
      </c>
    </row>
    <row r="7191" spans="1:2" x14ac:dyDescent="0.25">
      <c r="A7191" s="2">
        <v>7186</v>
      </c>
      <c r="B7191" s="3" t="str">
        <f>"00304806"</f>
        <v>00304806</v>
      </c>
    </row>
    <row r="7192" spans="1:2" x14ac:dyDescent="0.25">
      <c r="A7192" s="2">
        <v>7187</v>
      </c>
      <c r="B7192" s="3" t="str">
        <f>"00304836"</f>
        <v>00304836</v>
      </c>
    </row>
    <row r="7193" spans="1:2" x14ac:dyDescent="0.25">
      <c r="A7193" s="2">
        <v>7188</v>
      </c>
      <c r="B7193" s="3" t="str">
        <f>"00304978"</f>
        <v>00304978</v>
      </c>
    </row>
    <row r="7194" spans="1:2" x14ac:dyDescent="0.25">
      <c r="A7194" s="2">
        <v>7189</v>
      </c>
      <c r="B7194" s="3" t="str">
        <f>"00304998"</f>
        <v>00304998</v>
      </c>
    </row>
    <row r="7195" spans="1:2" x14ac:dyDescent="0.25">
      <c r="A7195" s="2">
        <v>7190</v>
      </c>
      <c r="B7195" s="3" t="str">
        <f>"00305025"</f>
        <v>00305025</v>
      </c>
    </row>
    <row r="7196" spans="1:2" x14ac:dyDescent="0.25">
      <c r="A7196" s="2">
        <v>7191</v>
      </c>
      <c r="B7196" s="3" t="str">
        <f>"00305033"</f>
        <v>00305033</v>
      </c>
    </row>
    <row r="7197" spans="1:2" x14ac:dyDescent="0.25">
      <c r="A7197" s="2">
        <v>7192</v>
      </c>
      <c r="B7197" s="3" t="str">
        <f>"00305035"</f>
        <v>00305035</v>
      </c>
    </row>
    <row r="7198" spans="1:2" x14ac:dyDescent="0.25">
      <c r="A7198" s="2">
        <v>7193</v>
      </c>
      <c r="B7198" s="3" t="str">
        <f>"00305065"</f>
        <v>00305065</v>
      </c>
    </row>
    <row r="7199" spans="1:2" x14ac:dyDescent="0.25">
      <c r="A7199" s="2">
        <v>7194</v>
      </c>
      <c r="B7199" s="3" t="str">
        <f>"00305070"</f>
        <v>00305070</v>
      </c>
    </row>
    <row r="7200" spans="1:2" x14ac:dyDescent="0.25">
      <c r="A7200" s="2">
        <v>7195</v>
      </c>
      <c r="B7200" s="3" t="str">
        <f>"00305102"</f>
        <v>00305102</v>
      </c>
    </row>
    <row r="7201" spans="1:2" x14ac:dyDescent="0.25">
      <c r="A7201" s="2">
        <v>7196</v>
      </c>
      <c r="B7201" s="3" t="str">
        <f>"00305170"</f>
        <v>00305170</v>
      </c>
    </row>
    <row r="7202" spans="1:2" x14ac:dyDescent="0.25">
      <c r="A7202" s="2">
        <v>7197</v>
      </c>
      <c r="B7202" s="3" t="str">
        <f>"00305305"</f>
        <v>00305305</v>
      </c>
    </row>
    <row r="7203" spans="1:2" x14ac:dyDescent="0.25">
      <c r="A7203" s="2">
        <v>7198</v>
      </c>
      <c r="B7203" s="3" t="str">
        <f>"00305358"</f>
        <v>00305358</v>
      </c>
    </row>
    <row r="7204" spans="1:2" x14ac:dyDescent="0.25">
      <c r="A7204" s="2">
        <v>7199</v>
      </c>
      <c r="B7204" s="3" t="str">
        <f>"00305360"</f>
        <v>00305360</v>
      </c>
    </row>
    <row r="7205" spans="1:2" x14ac:dyDescent="0.25">
      <c r="A7205" s="2">
        <v>7200</v>
      </c>
      <c r="B7205" s="3" t="str">
        <f>"00305376"</f>
        <v>00305376</v>
      </c>
    </row>
    <row r="7206" spans="1:2" x14ac:dyDescent="0.25">
      <c r="A7206" s="2">
        <v>7201</v>
      </c>
      <c r="B7206" s="3" t="str">
        <f>"00305378"</f>
        <v>00305378</v>
      </c>
    </row>
    <row r="7207" spans="1:2" x14ac:dyDescent="0.25">
      <c r="A7207" s="2">
        <v>7202</v>
      </c>
      <c r="B7207" s="3" t="str">
        <f>"00305391"</f>
        <v>00305391</v>
      </c>
    </row>
    <row r="7208" spans="1:2" x14ac:dyDescent="0.25">
      <c r="A7208" s="2">
        <v>7203</v>
      </c>
      <c r="B7208" s="3" t="str">
        <f>"00305410"</f>
        <v>00305410</v>
      </c>
    </row>
    <row r="7209" spans="1:2" x14ac:dyDescent="0.25">
      <c r="A7209" s="2">
        <v>7204</v>
      </c>
      <c r="B7209" s="3" t="str">
        <f>"00305412"</f>
        <v>00305412</v>
      </c>
    </row>
    <row r="7210" spans="1:2" x14ac:dyDescent="0.25">
      <c r="A7210" s="2">
        <v>7205</v>
      </c>
      <c r="B7210" s="3" t="str">
        <f>"00305416"</f>
        <v>00305416</v>
      </c>
    </row>
    <row r="7211" spans="1:2" x14ac:dyDescent="0.25">
      <c r="A7211" s="2">
        <v>7206</v>
      </c>
      <c r="B7211" s="3" t="str">
        <f>"00305423"</f>
        <v>00305423</v>
      </c>
    </row>
    <row r="7212" spans="1:2" x14ac:dyDescent="0.25">
      <c r="A7212" s="2">
        <v>7207</v>
      </c>
      <c r="B7212" s="3" t="str">
        <f>"00305465"</f>
        <v>00305465</v>
      </c>
    </row>
    <row r="7213" spans="1:2" x14ac:dyDescent="0.25">
      <c r="A7213" s="2">
        <v>7208</v>
      </c>
      <c r="B7213" s="3" t="str">
        <f>"00305563"</f>
        <v>00305563</v>
      </c>
    </row>
    <row r="7214" spans="1:2" x14ac:dyDescent="0.25">
      <c r="A7214" s="2">
        <v>7209</v>
      </c>
      <c r="B7214" s="3" t="str">
        <f>"00305592"</f>
        <v>00305592</v>
      </c>
    </row>
    <row r="7215" spans="1:2" x14ac:dyDescent="0.25">
      <c r="A7215" s="2">
        <v>7210</v>
      </c>
      <c r="B7215" s="3" t="str">
        <f>"00305593"</f>
        <v>00305593</v>
      </c>
    </row>
    <row r="7216" spans="1:2" x14ac:dyDescent="0.25">
      <c r="A7216" s="2">
        <v>7211</v>
      </c>
      <c r="B7216" s="3" t="str">
        <f>"00305645"</f>
        <v>00305645</v>
      </c>
    </row>
    <row r="7217" spans="1:2" x14ac:dyDescent="0.25">
      <c r="A7217" s="2">
        <v>7212</v>
      </c>
      <c r="B7217" s="3" t="str">
        <f>"00305678"</f>
        <v>00305678</v>
      </c>
    </row>
    <row r="7218" spans="1:2" x14ac:dyDescent="0.25">
      <c r="A7218" s="2">
        <v>7213</v>
      </c>
      <c r="B7218" s="3" t="str">
        <f>"00305693"</f>
        <v>00305693</v>
      </c>
    </row>
    <row r="7219" spans="1:2" x14ac:dyDescent="0.25">
      <c r="A7219" s="2">
        <v>7214</v>
      </c>
      <c r="B7219" s="3" t="str">
        <f>"00305699"</f>
        <v>00305699</v>
      </c>
    </row>
    <row r="7220" spans="1:2" x14ac:dyDescent="0.25">
      <c r="A7220" s="2">
        <v>7215</v>
      </c>
      <c r="B7220" s="3" t="str">
        <f>"00305729"</f>
        <v>00305729</v>
      </c>
    </row>
    <row r="7221" spans="1:2" x14ac:dyDescent="0.25">
      <c r="A7221" s="2">
        <v>7216</v>
      </c>
      <c r="B7221" s="3" t="str">
        <f>"00305735"</f>
        <v>00305735</v>
      </c>
    </row>
    <row r="7222" spans="1:2" x14ac:dyDescent="0.25">
      <c r="A7222" s="2">
        <v>7217</v>
      </c>
      <c r="B7222" s="3" t="str">
        <f>"00305754"</f>
        <v>00305754</v>
      </c>
    </row>
    <row r="7223" spans="1:2" x14ac:dyDescent="0.25">
      <c r="A7223" s="2">
        <v>7218</v>
      </c>
      <c r="B7223" s="3" t="str">
        <f>"00305812"</f>
        <v>00305812</v>
      </c>
    </row>
    <row r="7224" spans="1:2" x14ac:dyDescent="0.25">
      <c r="A7224" s="2">
        <v>7219</v>
      </c>
      <c r="B7224" s="3" t="str">
        <f>"00305826"</f>
        <v>00305826</v>
      </c>
    </row>
    <row r="7225" spans="1:2" x14ac:dyDescent="0.25">
      <c r="A7225" s="2">
        <v>7220</v>
      </c>
      <c r="B7225" s="3" t="str">
        <f>"00305836"</f>
        <v>00305836</v>
      </c>
    </row>
    <row r="7226" spans="1:2" x14ac:dyDescent="0.25">
      <c r="A7226" s="2">
        <v>7221</v>
      </c>
      <c r="B7226" s="3" t="str">
        <f>"00305876"</f>
        <v>00305876</v>
      </c>
    </row>
    <row r="7227" spans="1:2" x14ac:dyDescent="0.25">
      <c r="A7227" s="2">
        <v>7222</v>
      </c>
      <c r="B7227" s="3" t="str">
        <f>"00305944"</f>
        <v>00305944</v>
      </c>
    </row>
    <row r="7228" spans="1:2" x14ac:dyDescent="0.25">
      <c r="A7228" s="2">
        <v>7223</v>
      </c>
      <c r="B7228" s="3" t="str">
        <f>"00305949"</f>
        <v>00305949</v>
      </c>
    </row>
    <row r="7229" spans="1:2" x14ac:dyDescent="0.25">
      <c r="A7229" s="2">
        <v>7224</v>
      </c>
      <c r="B7229" s="3" t="str">
        <f>"00305960"</f>
        <v>00305960</v>
      </c>
    </row>
    <row r="7230" spans="1:2" x14ac:dyDescent="0.25">
      <c r="A7230" s="2">
        <v>7225</v>
      </c>
      <c r="B7230" s="3" t="str">
        <f>"00305989"</f>
        <v>00305989</v>
      </c>
    </row>
    <row r="7231" spans="1:2" x14ac:dyDescent="0.25">
      <c r="A7231" s="2">
        <v>7226</v>
      </c>
      <c r="B7231" s="3" t="str">
        <f>"00306015"</f>
        <v>00306015</v>
      </c>
    </row>
    <row r="7232" spans="1:2" x14ac:dyDescent="0.25">
      <c r="A7232" s="2">
        <v>7227</v>
      </c>
      <c r="B7232" s="3" t="str">
        <f>"00306053"</f>
        <v>00306053</v>
      </c>
    </row>
    <row r="7233" spans="1:2" x14ac:dyDescent="0.25">
      <c r="A7233" s="2">
        <v>7228</v>
      </c>
      <c r="B7233" s="3" t="str">
        <f>"00306085"</f>
        <v>00306085</v>
      </c>
    </row>
    <row r="7234" spans="1:2" x14ac:dyDescent="0.25">
      <c r="A7234" s="2">
        <v>7229</v>
      </c>
      <c r="B7234" s="3" t="str">
        <f>"00306104"</f>
        <v>00306104</v>
      </c>
    </row>
    <row r="7235" spans="1:2" x14ac:dyDescent="0.25">
      <c r="A7235" s="2">
        <v>7230</v>
      </c>
      <c r="B7235" s="3" t="str">
        <f>"00306158"</f>
        <v>00306158</v>
      </c>
    </row>
    <row r="7236" spans="1:2" x14ac:dyDescent="0.25">
      <c r="A7236" s="2">
        <v>7231</v>
      </c>
      <c r="B7236" s="3" t="str">
        <f>"00306160"</f>
        <v>00306160</v>
      </c>
    </row>
    <row r="7237" spans="1:2" x14ac:dyDescent="0.25">
      <c r="A7237" s="2">
        <v>7232</v>
      </c>
      <c r="B7237" s="3" t="str">
        <f>"00306162"</f>
        <v>00306162</v>
      </c>
    </row>
    <row r="7238" spans="1:2" x14ac:dyDescent="0.25">
      <c r="A7238" s="2">
        <v>7233</v>
      </c>
      <c r="B7238" s="3" t="str">
        <f>"00306312"</f>
        <v>00306312</v>
      </c>
    </row>
    <row r="7239" spans="1:2" x14ac:dyDescent="0.25">
      <c r="A7239" s="2">
        <v>7234</v>
      </c>
      <c r="B7239" s="3" t="str">
        <f>"00306314"</f>
        <v>00306314</v>
      </c>
    </row>
    <row r="7240" spans="1:2" x14ac:dyDescent="0.25">
      <c r="A7240" s="2">
        <v>7235</v>
      </c>
      <c r="B7240" s="3" t="str">
        <f>"00306324"</f>
        <v>00306324</v>
      </c>
    </row>
    <row r="7241" spans="1:2" x14ac:dyDescent="0.25">
      <c r="A7241" s="2">
        <v>7236</v>
      </c>
      <c r="B7241" s="3" t="str">
        <f>"00306352"</f>
        <v>00306352</v>
      </c>
    </row>
    <row r="7242" spans="1:2" x14ac:dyDescent="0.25">
      <c r="A7242" s="2">
        <v>7237</v>
      </c>
      <c r="B7242" s="3" t="str">
        <f>"00306354"</f>
        <v>00306354</v>
      </c>
    </row>
    <row r="7243" spans="1:2" x14ac:dyDescent="0.25">
      <c r="A7243" s="2">
        <v>7238</v>
      </c>
      <c r="B7243" s="3" t="str">
        <f>"00306359"</f>
        <v>00306359</v>
      </c>
    </row>
    <row r="7244" spans="1:2" x14ac:dyDescent="0.25">
      <c r="A7244" s="2">
        <v>7239</v>
      </c>
      <c r="B7244" s="3" t="str">
        <f>"00306380"</f>
        <v>00306380</v>
      </c>
    </row>
    <row r="7245" spans="1:2" x14ac:dyDescent="0.25">
      <c r="A7245" s="2">
        <v>7240</v>
      </c>
      <c r="B7245" s="3" t="str">
        <f>"00306409"</f>
        <v>00306409</v>
      </c>
    </row>
    <row r="7246" spans="1:2" x14ac:dyDescent="0.25">
      <c r="A7246" s="2">
        <v>7241</v>
      </c>
      <c r="B7246" s="3" t="str">
        <f>"00306456"</f>
        <v>00306456</v>
      </c>
    </row>
    <row r="7247" spans="1:2" x14ac:dyDescent="0.25">
      <c r="A7247" s="2">
        <v>7242</v>
      </c>
      <c r="B7247" s="3" t="str">
        <f>"00306459"</f>
        <v>00306459</v>
      </c>
    </row>
    <row r="7248" spans="1:2" x14ac:dyDescent="0.25">
      <c r="A7248" s="2">
        <v>7243</v>
      </c>
      <c r="B7248" s="3" t="str">
        <f>"00306522"</f>
        <v>00306522</v>
      </c>
    </row>
    <row r="7249" spans="1:2" x14ac:dyDescent="0.25">
      <c r="A7249" s="2">
        <v>7244</v>
      </c>
      <c r="B7249" s="3" t="str">
        <f>"00306527"</f>
        <v>00306527</v>
      </c>
    </row>
    <row r="7250" spans="1:2" x14ac:dyDescent="0.25">
      <c r="A7250" s="2">
        <v>7245</v>
      </c>
      <c r="B7250" s="3" t="str">
        <f>"00306536"</f>
        <v>00306536</v>
      </c>
    </row>
    <row r="7251" spans="1:2" x14ac:dyDescent="0.25">
      <c r="A7251" s="2">
        <v>7246</v>
      </c>
      <c r="B7251" s="3" t="str">
        <f>"00306559"</f>
        <v>00306559</v>
      </c>
    </row>
    <row r="7252" spans="1:2" x14ac:dyDescent="0.25">
      <c r="A7252" s="2">
        <v>7247</v>
      </c>
      <c r="B7252" s="3" t="str">
        <f>"00306564"</f>
        <v>00306564</v>
      </c>
    </row>
    <row r="7253" spans="1:2" x14ac:dyDescent="0.25">
      <c r="A7253" s="2">
        <v>7248</v>
      </c>
      <c r="B7253" s="3" t="str">
        <f>"00306566"</f>
        <v>00306566</v>
      </c>
    </row>
    <row r="7254" spans="1:2" x14ac:dyDescent="0.25">
      <c r="A7254" s="2">
        <v>7249</v>
      </c>
      <c r="B7254" s="3" t="str">
        <f>"00306583"</f>
        <v>00306583</v>
      </c>
    </row>
    <row r="7255" spans="1:2" x14ac:dyDescent="0.25">
      <c r="A7255" s="2">
        <v>7250</v>
      </c>
      <c r="B7255" s="3" t="str">
        <f>"00306652"</f>
        <v>00306652</v>
      </c>
    </row>
    <row r="7256" spans="1:2" x14ac:dyDescent="0.25">
      <c r="A7256" s="2">
        <v>7251</v>
      </c>
      <c r="B7256" s="3" t="str">
        <f>"00306653"</f>
        <v>00306653</v>
      </c>
    </row>
    <row r="7257" spans="1:2" x14ac:dyDescent="0.25">
      <c r="A7257" s="2">
        <v>7252</v>
      </c>
      <c r="B7257" s="3" t="str">
        <f>"00306671"</f>
        <v>00306671</v>
      </c>
    </row>
    <row r="7258" spans="1:2" x14ac:dyDescent="0.25">
      <c r="A7258" s="2">
        <v>7253</v>
      </c>
      <c r="B7258" s="3" t="str">
        <f>"00306712"</f>
        <v>00306712</v>
      </c>
    </row>
    <row r="7259" spans="1:2" x14ac:dyDescent="0.25">
      <c r="A7259" s="2">
        <v>7254</v>
      </c>
      <c r="B7259" s="3" t="str">
        <f>"00306745"</f>
        <v>00306745</v>
      </c>
    </row>
    <row r="7260" spans="1:2" x14ac:dyDescent="0.25">
      <c r="A7260" s="2">
        <v>7255</v>
      </c>
      <c r="B7260" s="3" t="str">
        <f>"00306841"</f>
        <v>00306841</v>
      </c>
    </row>
    <row r="7261" spans="1:2" x14ac:dyDescent="0.25">
      <c r="A7261" s="2">
        <v>7256</v>
      </c>
      <c r="B7261" s="3" t="str">
        <f>"00306874"</f>
        <v>00306874</v>
      </c>
    </row>
    <row r="7262" spans="1:2" x14ac:dyDescent="0.25">
      <c r="A7262" s="2">
        <v>7257</v>
      </c>
      <c r="B7262" s="3" t="str">
        <f>"00306879"</f>
        <v>00306879</v>
      </c>
    </row>
    <row r="7263" spans="1:2" x14ac:dyDescent="0.25">
      <c r="A7263" s="2">
        <v>7258</v>
      </c>
      <c r="B7263" s="3" t="str">
        <f>"00306918"</f>
        <v>00306918</v>
      </c>
    </row>
    <row r="7264" spans="1:2" x14ac:dyDescent="0.25">
      <c r="A7264" s="2">
        <v>7259</v>
      </c>
      <c r="B7264" s="3" t="str">
        <f>"00306930"</f>
        <v>00306930</v>
      </c>
    </row>
    <row r="7265" spans="1:2" x14ac:dyDescent="0.25">
      <c r="A7265" s="2">
        <v>7260</v>
      </c>
      <c r="B7265" s="3" t="str">
        <f>"00306953"</f>
        <v>00306953</v>
      </c>
    </row>
    <row r="7266" spans="1:2" x14ac:dyDescent="0.25">
      <c r="A7266" s="2">
        <v>7261</v>
      </c>
      <c r="B7266" s="3" t="str">
        <f>"00307035"</f>
        <v>00307035</v>
      </c>
    </row>
    <row r="7267" spans="1:2" x14ac:dyDescent="0.25">
      <c r="A7267" s="2">
        <v>7262</v>
      </c>
      <c r="B7267" s="3" t="str">
        <f>"00307044"</f>
        <v>00307044</v>
      </c>
    </row>
    <row r="7268" spans="1:2" x14ac:dyDescent="0.25">
      <c r="A7268" s="2">
        <v>7263</v>
      </c>
      <c r="B7268" s="3" t="str">
        <f>"00307092"</f>
        <v>00307092</v>
      </c>
    </row>
    <row r="7269" spans="1:2" x14ac:dyDescent="0.25">
      <c r="A7269" s="2">
        <v>7264</v>
      </c>
      <c r="B7269" s="3" t="str">
        <f>"00307120"</f>
        <v>00307120</v>
      </c>
    </row>
    <row r="7270" spans="1:2" x14ac:dyDescent="0.25">
      <c r="A7270" s="2">
        <v>7265</v>
      </c>
      <c r="B7270" s="3" t="str">
        <f>"00307148"</f>
        <v>00307148</v>
      </c>
    </row>
    <row r="7271" spans="1:2" x14ac:dyDescent="0.25">
      <c r="A7271" s="2">
        <v>7266</v>
      </c>
      <c r="B7271" s="3" t="str">
        <f>"00307176"</f>
        <v>00307176</v>
      </c>
    </row>
    <row r="7272" spans="1:2" x14ac:dyDescent="0.25">
      <c r="A7272" s="2">
        <v>7267</v>
      </c>
      <c r="B7272" s="3" t="str">
        <f>"00307310"</f>
        <v>00307310</v>
      </c>
    </row>
    <row r="7273" spans="1:2" x14ac:dyDescent="0.25">
      <c r="A7273" s="2">
        <v>7268</v>
      </c>
      <c r="B7273" s="3" t="str">
        <f>"00307342"</f>
        <v>00307342</v>
      </c>
    </row>
    <row r="7274" spans="1:2" x14ac:dyDescent="0.25">
      <c r="A7274" s="2">
        <v>7269</v>
      </c>
      <c r="B7274" s="3" t="str">
        <f>"00307593"</f>
        <v>00307593</v>
      </c>
    </row>
    <row r="7275" spans="1:2" x14ac:dyDescent="0.25">
      <c r="A7275" s="2">
        <v>7270</v>
      </c>
      <c r="B7275" s="3" t="str">
        <f>"00307598"</f>
        <v>00307598</v>
      </c>
    </row>
    <row r="7276" spans="1:2" x14ac:dyDescent="0.25">
      <c r="A7276" s="2">
        <v>7271</v>
      </c>
      <c r="B7276" s="3" t="str">
        <f>"00307606"</f>
        <v>00307606</v>
      </c>
    </row>
    <row r="7277" spans="1:2" x14ac:dyDescent="0.25">
      <c r="A7277" s="2">
        <v>7272</v>
      </c>
      <c r="B7277" s="3" t="str">
        <f>"00307653"</f>
        <v>00307653</v>
      </c>
    </row>
    <row r="7278" spans="1:2" x14ac:dyDescent="0.25">
      <c r="A7278" s="2">
        <v>7273</v>
      </c>
      <c r="B7278" s="3" t="str">
        <f>"00307667"</f>
        <v>00307667</v>
      </c>
    </row>
    <row r="7279" spans="1:2" x14ac:dyDescent="0.25">
      <c r="A7279" s="2">
        <v>7274</v>
      </c>
      <c r="B7279" s="3" t="str">
        <f>"00307669"</f>
        <v>00307669</v>
      </c>
    </row>
    <row r="7280" spans="1:2" x14ac:dyDescent="0.25">
      <c r="A7280" s="2">
        <v>7275</v>
      </c>
      <c r="B7280" s="3" t="str">
        <f>"00307770"</f>
        <v>00307770</v>
      </c>
    </row>
    <row r="7281" spans="1:2" x14ac:dyDescent="0.25">
      <c r="A7281" s="2">
        <v>7276</v>
      </c>
      <c r="B7281" s="3" t="str">
        <f>"00307808"</f>
        <v>00307808</v>
      </c>
    </row>
    <row r="7282" spans="1:2" x14ac:dyDescent="0.25">
      <c r="A7282" s="2">
        <v>7277</v>
      </c>
      <c r="B7282" s="3" t="str">
        <f>"00307904"</f>
        <v>00307904</v>
      </c>
    </row>
    <row r="7283" spans="1:2" x14ac:dyDescent="0.25">
      <c r="A7283" s="2">
        <v>7278</v>
      </c>
      <c r="B7283" s="3" t="str">
        <f>"00307951"</f>
        <v>00307951</v>
      </c>
    </row>
    <row r="7284" spans="1:2" x14ac:dyDescent="0.25">
      <c r="A7284" s="2">
        <v>7279</v>
      </c>
      <c r="B7284" s="3" t="str">
        <f>"00308056"</f>
        <v>00308056</v>
      </c>
    </row>
    <row r="7285" spans="1:2" x14ac:dyDescent="0.25">
      <c r="A7285" s="2">
        <v>7280</v>
      </c>
      <c r="B7285" s="3" t="str">
        <f>"00308073"</f>
        <v>00308073</v>
      </c>
    </row>
    <row r="7286" spans="1:2" x14ac:dyDescent="0.25">
      <c r="A7286" s="2">
        <v>7281</v>
      </c>
      <c r="B7286" s="3" t="str">
        <f>"00308085"</f>
        <v>00308085</v>
      </c>
    </row>
    <row r="7287" spans="1:2" x14ac:dyDescent="0.25">
      <c r="A7287" s="2">
        <v>7282</v>
      </c>
      <c r="B7287" s="3" t="str">
        <f>"00308114"</f>
        <v>00308114</v>
      </c>
    </row>
    <row r="7288" spans="1:2" x14ac:dyDescent="0.25">
      <c r="A7288" s="2">
        <v>7283</v>
      </c>
      <c r="B7288" s="3" t="str">
        <f>"00308122"</f>
        <v>00308122</v>
      </c>
    </row>
    <row r="7289" spans="1:2" x14ac:dyDescent="0.25">
      <c r="A7289" s="2">
        <v>7284</v>
      </c>
      <c r="B7289" s="3" t="str">
        <f>"00308139"</f>
        <v>00308139</v>
      </c>
    </row>
    <row r="7290" spans="1:2" x14ac:dyDescent="0.25">
      <c r="A7290" s="2">
        <v>7285</v>
      </c>
      <c r="B7290" s="3" t="str">
        <f>"00308184"</f>
        <v>00308184</v>
      </c>
    </row>
    <row r="7291" spans="1:2" x14ac:dyDescent="0.25">
      <c r="A7291" s="2">
        <v>7286</v>
      </c>
      <c r="B7291" s="3" t="str">
        <f>"00308187"</f>
        <v>00308187</v>
      </c>
    </row>
    <row r="7292" spans="1:2" x14ac:dyDescent="0.25">
      <c r="A7292" s="2">
        <v>7287</v>
      </c>
      <c r="B7292" s="3" t="str">
        <f>"00308215"</f>
        <v>00308215</v>
      </c>
    </row>
    <row r="7293" spans="1:2" x14ac:dyDescent="0.25">
      <c r="A7293" s="2">
        <v>7288</v>
      </c>
      <c r="B7293" s="3" t="str">
        <f>"00308232"</f>
        <v>00308232</v>
      </c>
    </row>
    <row r="7294" spans="1:2" x14ac:dyDescent="0.25">
      <c r="A7294" s="2">
        <v>7289</v>
      </c>
      <c r="B7294" s="3" t="str">
        <f>"00308265"</f>
        <v>00308265</v>
      </c>
    </row>
    <row r="7295" spans="1:2" x14ac:dyDescent="0.25">
      <c r="A7295" s="2">
        <v>7290</v>
      </c>
      <c r="B7295" s="3" t="str">
        <f>"00308268"</f>
        <v>00308268</v>
      </c>
    </row>
    <row r="7296" spans="1:2" x14ac:dyDescent="0.25">
      <c r="A7296" s="2">
        <v>7291</v>
      </c>
      <c r="B7296" s="3" t="str">
        <f>"00308337"</f>
        <v>00308337</v>
      </c>
    </row>
    <row r="7297" spans="1:2" x14ac:dyDescent="0.25">
      <c r="A7297" s="2">
        <v>7292</v>
      </c>
      <c r="B7297" s="3" t="str">
        <f>"00308397"</f>
        <v>00308397</v>
      </c>
    </row>
    <row r="7298" spans="1:2" x14ac:dyDescent="0.25">
      <c r="A7298" s="2">
        <v>7293</v>
      </c>
      <c r="B7298" s="3" t="str">
        <f>"00308417"</f>
        <v>00308417</v>
      </c>
    </row>
    <row r="7299" spans="1:2" x14ac:dyDescent="0.25">
      <c r="A7299" s="2">
        <v>7294</v>
      </c>
      <c r="B7299" s="3" t="str">
        <f>"00308433"</f>
        <v>00308433</v>
      </c>
    </row>
    <row r="7300" spans="1:2" x14ac:dyDescent="0.25">
      <c r="A7300" s="2">
        <v>7295</v>
      </c>
      <c r="B7300" s="3" t="str">
        <f>"00308484"</f>
        <v>00308484</v>
      </c>
    </row>
    <row r="7301" spans="1:2" x14ac:dyDescent="0.25">
      <c r="A7301" s="2">
        <v>7296</v>
      </c>
      <c r="B7301" s="3" t="str">
        <f>"00308523"</f>
        <v>00308523</v>
      </c>
    </row>
    <row r="7302" spans="1:2" x14ac:dyDescent="0.25">
      <c r="A7302" s="2">
        <v>7297</v>
      </c>
      <c r="B7302" s="3" t="str">
        <f>"00308524"</f>
        <v>00308524</v>
      </c>
    </row>
    <row r="7303" spans="1:2" x14ac:dyDescent="0.25">
      <c r="A7303" s="2">
        <v>7298</v>
      </c>
      <c r="B7303" s="3" t="str">
        <f>"00308560"</f>
        <v>00308560</v>
      </c>
    </row>
    <row r="7304" spans="1:2" x14ac:dyDescent="0.25">
      <c r="A7304" s="2">
        <v>7299</v>
      </c>
      <c r="B7304" s="3" t="str">
        <f>"00308656"</f>
        <v>00308656</v>
      </c>
    </row>
    <row r="7305" spans="1:2" x14ac:dyDescent="0.25">
      <c r="A7305" s="2">
        <v>7300</v>
      </c>
      <c r="B7305" s="3" t="str">
        <f>"00308701"</f>
        <v>00308701</v>
      </c>
    </row>
    <row r="7306" spans="1:2" x14ac:dyDescent="0.25">
      <c r="A7306" s="2">
        <v>7301</v>
      </c>
      <c r="B7306" s="3" t="str">
        <f>"00308708"</f>
        <v>00308708</v>
      </c>
    </row>
    <row r="7307" spans="1:2" x14ac:dyDescent="0.25">
      <c r="A7307" s="2">
        <v>7302</v>
      </c>
      <c r="B7307" s="3" t="str">
        <f>"00308743"</f>
        <v>00308743</v>
      </c>
    </row>
    <row r="7308" spans="1:2" x14ac:dyDescent="0.25">
      <c r="A7308" s="2">
        <v>7303</v>
      </c>
      <c r="B7308" s="3" t="str">
        <f>"00308747"</f>
        <v>00308747</v>
      </c>
    </row>
    <row r="7309" spans="1:2" x14ac:dyDescent="0.25">
      <c r="A7309" s="2">
        <v>7304</v>
      </c>
      <c r="B7309" s="3" t="str">
        <f>"00308778"</f>
        <v>00308778</v>
      </c>
    </row>
    <row r="7310" spans="1:2" x14ac:dyDescent="0.25">
      <c r="A7310" s="2">
        <v>7305</v>
      </c>
      <c r="B7310" s="3" t="str">
        <f>"00308796"</f>
        <v>00308796</v>
      </c>
    </row>
    <row r="7311" spans="1:2" x14ac:dyDescent="0.25">
      <c r="A7311" s="2">
        <v>7306</v>
      </c>
      <c r="B7311" s="3" t="str">
        <f>"00308802"</f>
        <v>00308802</v>
      </c>
    </row>
    <row r="7312" spans="1:2" x14ac:dyDescent="0.25">
      <c r="A7312" s="2">
        <v>7307</v>
      </c>
      <c r="B7312" s="3" t="str">
        <f>"00308828"</f>
        <v>00308828</v>
      </c>
    </row>
    <row r="7313" spans="1:2" x14ac:dyDescent="0.25">
      <c r="A7313" s="2">
        <v>7308</v>
      </c>
      <c r="B7313" s="3" t="str">
        <f>"00308854"</f>
        <v>00308854</v>
      </c>
    </row>
    <row r="7314" spans="1:2" x14ac:dyDescent="0.25">
      <c r="A7314" s="2">
        <v>7309</v>
      </c>
      <c r="B7314" s="3" t="str">
        <f>"00308886"</f>
        <v>00308886</v>
      </c>
    </row>
    <row r="7315" spans="1:2" x14ac:dyDescent="0.25">
      <c r="A7315" s="2">
        <v>7310</v>
      </c>
      <c r="B7315" s="3" t="str">
        <f>"00308914"</f>
        <v>00308914</v>
      </c>
    </row>
    <row r="7316" spans="1:2" x14ac:dyDescent="0.25">
      <c r="A7316" s="2">
        <v>7311</v>
      </c>
      <c r="B7316" s="3" t="str">
        <f>"00308987"</f>
        <v>00308987</v>
      </c>
    </row>
    <row r="7317" spans="1:2" x14ac:dyDescent="0.25">
      <c r="A7317" s="2">
        <v>7312</v>
      </c>
      <c r="B7317" s="3" t="str">
        <f>"00309020"</f>
        <v>00309020</v>
      </c>
    </row>
    <row r="7318" spans="1:2" x14ac:dyDescent="0.25">
      <c r="A7318" s="2">
        <v>7313</v>
      </c>
      <c r="B7318" s="3" t="str">
        <f>"00309022"</f>
        <v>00309022</v>
      </c>
    </row>
    <row r="7319" spans="1:2" x14ac:dyDescent="0.25">
      <c r="A7319" s="2">
        <v>7314</v>
      </c>
      <c r="B7319" s="3" t="str">
        <f>"00309069"</f>
        <v>00309069</v>
      </c>
    </row>
    <row r="7320" spans="1:2" x14ac:dyDescent="0.25">
      <c r="A7320" s="2">
        <v>7315</v>
      </c>
      <c r="B7320" s="3" t="str">
        <f>"00309078"</f>
        <v>00309078</v>
      </c>
    </row>
    <row r="7321" spans="1:2" x14ac:dyDescent="0.25">
      <c r="A7321" s="2">
        <v>7316</v>
      </c>
      <c r="B7321" s="3" t="str">
        <f>"00309127"</f>
        <v>00309127</v>
      </c>
    </row>
    <row r="7322" spans="1:2" x14ac:dyDescent="0.25">
      <c r="A7322" s="2">
        <v>7317</v>
      </c>
      <c r="B7322" s="3" t="str">
        <f>"00309188"</f>
        <v>00309188</v>
      </c>
    </row>
    <row r="7323" spans="1:2" x14ac:dyDescent="0.25">
      <c r="A7323" s="2">
        <v>7318</v>
      </c>
      <c r="B7323" s="3" t="str">
        <f>"00309232"</f>
        <v>00309232</v>
      </c>
    </row>
    <row r="7324" spans="1:2" x14ac:dyDescent="0.25">
      <c r="A7324" s="2">
        <v>7319</v>
      </c>
      <c r="B7324" s="3" t="str">
        <f>"00309277"</f>
        <v>00309277</v>
      </c>
    </row>
    <row r="7325" spans="1:2" x14ac:dyDescent="0.25">
      <c r="A7325" s="2">
        <v>7320</v>
      </c>
      <c r="B7325" s="3" t="str">
        <f>"00309380"</f>
        <v>00309380</v>
      </c>
    </row>
    <row r="7326" spans="1:2" x14ac:dyDescent="0.25">
      <c r="A7326" s="2">
        <v>7321</v>
      </c>
      <c r="B7326" s="3" t="str">
        <f>"00309428"</f>
        <v>00309428</v>
      </c>
    </row>
    <row r="7327" spans="1:2" x14ac:dyDescent="0.25">
      <c r="A7327" s="2">
        <v>7322</v>
      </c>
      <c r="B7327" s="3" t="str">
        <f>"00309479"</f>
        <v>00309479</v>
      </c>
    </row>
    <row r="7328" spans="1:2" x14ac:dyDescent="0.25">
      <c r="A7328" s="2">
        <v>7323</v>
      </c>
      <c r="B7328" s="3" t="str">
        <f>"00309509"</f>
        <v>00309509</v>
      </c>
    </row>
    <row r="7329" spans="1:2" x14ac:dyDescent="0.25">
      <c r="A7329" s="2">
        <v>7324</v>
      </c>
      <c r="B7329" s="3" t="str">
        <f>"00309529"</f>
        <v>00309529</v>
      </c>
    </row>
    <row r="7330" spans="1:2" x14ac:dyDescent="0.25">
      <c r="A7330" s="2">
        <v>7325</v>
      </c>
      <c r="B7330" s="3" t="str">
        <f>"00309536"</f>
        <v>00309536</v>
      </c>
    </row>
    <row r="7331" spans="1:2" x14ac:dyDescent="0.25">
      <c r="A7331" s="2">
        <v>7326</v>
      </c>
      <c r="B7331" s="3" t="str">
        <f>"00309575"</f>
        <v>00309575</v>
      </c>
    </row>
    <row r="7332" spans="1:2" x14ac:dyDescent="0.25">
      <c r="A7332" s="2">
        <v>7327</v>
      </c>
      <c r="B7332" s="3" t="str">
        <f>"00309608"</f>
        <v>00309608</v>
      </c>
    </row>
    <row r="7333" spans="1:2" x14ac:dyDescent="0.25">
      <c r="A7333" s="2">
        <v>7328</v>
      </c>
      <c r="B7333" s="3" t="str">
        <f>"00309634"</f>
        <v>00309634</v>
      </c>
    </row>
    <row r="7334" spans="1:2" x14ac:dyDescent="0.25">
      <c r="A7334" s="2">
        <v>7329</v>
      </c>
      <c r="B7334" s="3" t="str">
        <f>"00309673"</f>
        <v>00309673</v>
      </c>
    </row>
    <row r="7335" spans="1:2" x14ac:dyDescent="0.25">
      <c r="A7335" s="2">
        <v>7330</v>
      </c>
      <c r="B7335" s="3" t="str">
        <f>"00309703"</f>
        <v>00309703</v>
      </c>
    </row>
    <row r="7336" spans="1:2" x14ac:dyDescent="0.25">
      <c r="A7336" s="2">
        <v>7331</v>
      </c>
      <c r="B7336" s="3" t="str">
        <f>"00309726"</f>
        <v>00309726</v>
      </c>
    </row>
    <row r="7337" spans="1:2" x14ac:dyDescent="0.25">
      <c r="A7337" s="2">
        <v>7332</v>
      </c>
      <c r="B7337" s="3" t="str">
        <f>"00309790"</f>
        <v>00309790</v>
      </c>
    </row>
    <row r="7338" spans="1:2" x14ac:dyDescent="0.25">
      <c r="A7338" s="2">
        <v>7333</v>
      </c>
      <c r="B7338" s="3" t="str">
        <f>"00309792"</f>
        <v>00309792</v>
      </c>
    </row>
    <row r="7339" spans="1:2" x14ac:dyDescent="0.25">
      <c r="A7339" s="2">
        <v>7334</v>
      </c>
      <c r="B7339" s="3" t="str">
        <f>"00309793"</f>
        <v>00309793</v>
      </c>
    </row>
    <row r="7340" spans="1:2" x14ac:dyDescent="0.25">
      <c r="A7340" s="2">
        <v>7335</v>
      </c>
      <c r="B7340" s="3" t="str">
        <f>"00309834"</f>
        <v>00309834</v>
      </c>
    </row>
    <row r="7341" spans="1:2" x14ac:dyDescent="0.25">
      <c r="A7341" s="2">
        <v>7336</v>
      </c>
      <c r="B7341" s="3" t="str">
        <f>"00309877"</f>
        <v>00309877</v>
      </c>
    </row>
    <row r="7342" spans="1:2" x14ac:dyDescent="0.25">
      <c r="A7342" s="2">
        <v>7337</v>
      </c>
      <c r="B7342" s="3" t="str">
        <f>"00309981"</f>
        <v>00309981</v>
      </c>
    </row>
    <row r="7343" spans="1:2" x14ac:dyDescent="0.25">
      <c r="A7343" s="2">
        <v>7338</v>
      </c>
      <c r="B7343" s="3" t="str">
        <f>"00310034"</f>
        <v>00310034</v>
      </c>
    </row>
    <row r="7344" spans="1:2" x14ac:dyDescent="0.25">
      <c r="A7344" s="2">
        <v>7339</v>
      </c>
      <c r="B7344" s="3" t="str">
        <f>"00310047"</f>
        <v>00310047</v>
      </c>
    </row>
    <row r="7345" spans="1:2" x14ac:dyDescent="0.25">
      <c r="A7345" s="2">
        <v>7340</v>
      </c>
      <c r="B7345" s="3" t="str">
        <f>"00310059"</f>
        <v>00310059</v>
      </c>
    </row>
    <row r="7346" spans="1:2" x14ac:dyDescent="0.25">
      <c r="A7346" s="2">
        <v>7341</v>
      </c>
      <c r="B7346" s="3" t="str">
        <f>"00310124"</f>
        <v>00310124</v>
      </c>
    </row>
    <row r="7347" spans="1:2" x14ac:dyDescent="0.25">
      <c r="A7347" s="2">
        <v>7342</v>
      </c>
      <c r="B7347" s="3" t="str">
        <f>"00310181"</f>
        <v>00310181</v>
      </c>
    </row>
    <row r="7348" spans="1:2" x14ac:dyDescent="0.25">
      <c r="A7348" s="2">
        <v>7343</v>
      </c>
      <c r="B7348" s="3" t="str">
        <f>"00310192"</f>
        <v>00310192</v>
      </c>
    </row>
    <row r="7349" spans="1:2" x14ac:dyDescent="0.25">
      <c r="A7349" s="2">
        <v>7344</v>
      </c>
      <c r="B7349" s="3" t="str">
        <f>"00310195"</f>
        <v>00310195</v>
      </c>
    </row>
    <row r="7350" spans="1:2" x14ac:dyDescent="0.25">
      <c r="A7350" s="2">
        <v>7345</v>
      </c>
      <c r="B7350" s="3" t="str">
        <f>"00310240"</f>
        <v>00310240</v>
      </c>
    </row>
    <row r="7351" spans="1:2" x14ac:dyDescent="0.25">
      <c r="A7351" s="2">
        <v>7346</v>
      </c>
      <c r="B7351" s="3" t="str">
        <f>"00310302"</f>
        <v>00310302</v>
      </c>
    </row>
    <row r="7352" spans="1:2" x14ac:dyDescent="0.25">
      <c r="A7352" s="2">
        <v>7347</v>
      </c>
      <c r="B7352" s="3" t="str">
        <f>"00310314"</f>
        <v>00310314</v>
      </c>
    </row>
    <row r="7353" spans="1:2" x14ac:dyDescent="0.25">
      <c r="A7353" s="2">
        <v>7348</v>
      </c>
      <c r="B7353" s="3" t="str">
        <f>"00310347"</f>
        <v>00310347</v>
      </c>
    </row>
    <row r="7354" spans="1:2" x14ac:dyDescent="0.25">
      <c r="A7354" s="2">
        <v>7349</v>
      </c>
      <c r="B7354" s="3" t="str">
        <f>"00310372"</f>
        <v>00310372</v>
      </c>
    </row>
    <row r="7355" spans="1:2" x14ac:dyDescent="0.25">
      <c r="A7355" s="2">
        <v>7350</v>
      </c>
      <c r="B7355" s="3" t="str">
        <f>"00310374"</f>
        <v>00310374</v>
      </c>
    </row>
    <row r="7356" spans="1:2" x14ac:dyDescent="0.25">
      <c r="A7356" s="2">
        <v>7351</v>
      </c>
      <c r="B7356" s="3" t="str">
        <f>"00310459"</f>
        <v>00310459</v>
      </c>
    </row>
    <row r="7357" spans="1:2" x14ac:dyDescent="0.25">
      <c r="A7357" s="2">
        <v>7352</v>
      </c>
      <c r="B7357" s="3" t="str">
        <f>"00310461"</f>
        <v>00310461</v>
      </c>
    </row>
    <row r="7358" spans="1:2" x14ac:dyDescent="0.25">
      <c r="A7358" s="2">
        <v>7353</v>
      </c>
      <c r="B7358" s="3" t="str">
        <f>"00310492"</f>
        <v>00310492</v>
      </c>
    </row>
    <row r="7359" spans="1:2" x14ac:dyDescent="0.25">
      <c r="A7359" s="2">
        <v>7354</v>
      </c>
      <c r="B7359" s="3" t="str">
        <f>"00310567"</f>
        <v>00310567</v>
      </c>
    </row>
    <row r="7360" spans="1:2" x14ac:dyDescent="0.25">
      <c r="A7360" s="2">
        <v>7355</v>
      </c>
      <c r="B7360" s="3" t="str">
        <f>"00310592"</f>
        <v>00310592</v>
      </c>
    </row>
    <row r="7361" spans="1:2" x14ac:dyDescent="0.25">
      <c r="A7361" s="2">
        <v>7356</v>
      </c>
      <c r="B7361" s="3" t="str">
        <f>"00310594"</f>
        <v>00310594</v>
      </c>
    </row>
    <row r="7362" spans="1:2" x14ac:dyDescent="0.25">
      <c r="A7362" s="2">
        <v>7357</v>
      </c>
      <c r="B7362" s="3" t="str">
        <f>"00310672"</f>
        <v>00310672</v>
      </c>
    </row>
    <row r="7363" spans="1:2" x14ac:dyDescent="0.25">
      <c r="A7363" s="2">
        <v>7358</v>
      </c>
      <c r="B7363" s="3" t="str">
        <f>"00310674"</f>
        <v>00310674</v>
      </c>
    </row>
    <row r="7364" spans="1:2" x14ac:dyDescent="0.25">
      <c r="A7364" s="2">
        <v>7359</v>
      </c>
      <c r="B7364" s="3" t="str">
        <f>"00310687"</f>
        <v>00310687</v>
      </c>
    </row>
    <row r="7365" spans="1:2" x14ac:dyDescent="0.25">
      <c r="A7365" s="2">
        <v>7360</v>
      </c>
      <c r="B7365" s="3" t="str">
        <f>"00310688"</f>
        <v>00310688</v>
      </c>
    </row>
    <row r="7366" spans="1:2" x14ac:dyDescent="0.25">
      <c r="A7366" s="2">
        <v>7361</v>
      </c>
      <c r="B7366" s="3" t="str">
        <f>"00310697"</f>
        <v>00310697</v>
      </c>
    </row>
    <row r="7367" spans="1:2" x14ac:dyDescent="0.25">
      <c r="A7367" s="2">
        <v>7362</v>
      </c>
      <c r="B7367" s="3" t="str">
        <f>"00310714"</f>
        <v>00310714</v>
      </c>
    </row>
    <row r="7368" spans="1:2" x14ac:dyDescent="0.25">
      <c r="A7368" s="2">
        <v>7363</v>
      </c>
      <c r="B7368" s="3" t="str">
        <f>"00310779"</f>
        <v>00310779</v>
      </c>
    </row>
    <row r="7369" spans="1:2" x14ac:dyDescent="0.25">
      <c r="A7369" s="2">
        <v>7364</v>
      </c>
      <c r="B7369" s="3" t="str">
        <f>"00310793"</f>
        <v>00310793</v>
      </c>
    </row>
    <row r="7370" spans="1:2" x14ac:dyDescent="0.25">
      <c r="A7370" s="2">
        <v>7365</v>
      </c>
      <c r="B7370" s="3" t="str">
        <f>"00310807"</f>
        <v>00310807</v>
      </c>
    </row>
    <row r="7371" spans="1:2" x14ac:dyDescent="0.25">
      <c r="A7371" s="2">
        <v>7366</v>
      </c>
      <c r="B7371" s="3" t="str">
        <f>"00310838"</f>
        <v>00310838</v>
      </c>
    </row>
    <row r="7372" spans="1:2" x14ac:dyDescent="0.25">
      <c r="A7372" s="2">
        <v>7367</v>
      </c>
      <c r="B7372" s="3" t="str">
        <f>"00310863"</f>
        <v>00310863</v>
      </c>
    </row>
    <row r="7373" spans="1:2" x14ac:dyDescent="0.25">
      <c r="A7373" s="2">
        <v>7368</v>
      </c>
      <c r="B7373" s="3" t="str">
        <f>"00310866"</f>
        <v>00310866</v>
      </c>
    </row>
    <row r="7374" spans="1:2" x14ac:dyDescent="0.25">
      <c r="A7374" s="2">
        <v>7369</v>
      </c>
      <c r="B7374" s="3" t="str">
        <f>"00310898"</f>
        <v>00310898</v>
      </c>
    </row>
    <row r="7375" spans="1:2" x14ac:dyDescent="0.25">
      <c r="A7375" s="2">
        <v>7370</v>
      </c>
      <c r="B7375" s="3" t="str">
        <f>"00310901"</f>
        <v>00310901</v>
      </c>
    </row>
    <row r="7376" spans="1:2" x14ac:dyDescent="0.25">
      <c r="A7376" s="2">
        <v>7371</v>
      </c>
      <c r="B7376" s="3" t="str">
        <f>"00310916"</f>
        <v>00310916</v>
      </c>
    </row>
    <row r="7377" spans="1:2" x14ac:dyDescent="0.25">
      <c r="A7377" s="2">
        <v>7372</v>
      </c>
      <c r="B7377" s="3" t="str">
        <f>"00310932"</f>
        <v>00310932</v>
      </c>
    </row>
    <row r="7378" spans="1:2" x14ac:dyDescent="0.25">
      <c r="A7378" s="2">
        <v>7373</v>
      </c>
      <c r="B7378" s="3" t="str">
        <f>"00310975"</f>
        <v>00310975</v>
      </c>
    </row>
    <row r="7379" spans="1:2" x14ac:dyDescent="0.25">
      <c r="A7379" s="2">
        <v>7374</v>
      </c>
      <c r="B7379" s="3" t="str">
        <f>"00311012"</f>
        <v>00311012</v>
      </c>
    </row>
    <row r="7380" spans="1:2" x14ac:dyDescent="0.25">
      <c r="A7380" s="2">
        <v>7375</v>
      </c>
      <c r="B7380" s="3" t="str">
        <f>"00311025"</f>
        <v>00311025</v>
      </c>
    </row>
    <row r="7381" spans="1:2" x14ac:dyDescent="0.25">
      <c r="A7381" s="2">
        <v>7376</v>
      </c>
      <c r="B7381" s="3" t="str">
        <f>"00311046"</f>
        <v>00311046</v>
      </c>
    </row>
    <row r="7382" spans="1:2" x14ac:dyDescent="0.25">
      <c r="A7382" s="2">
        <v>7377</v>
      </c>
      <c r="B7382" s="3" t="str">
        <f>"00311055"</f>
        <v>00311055</v>
      </c>
    </row>
    <row r="7383" spans="1:2" x14ac:dyDescent="0.25">
      <c r="A7383" s="2">
        <v>7378</v>
      </c>
      <c r="B7383" s="3" t="str">
        <f>"00311057"</f>
        <v>00311057</v>
      </c>
    </row>
    <row r="7384" spans="1:2" x14ac:dyDescent="0.25">
      <c r="A7384" s="2">
        <v>7379</v>
      </c>
      <c r="B7384" s="3" t="str">
        <f>"00311060"</f>
        <v>00311060</v>
      </c>
    </row>
    <row r="7385" spans="1:2" x14ac:dyDescent="0.25">
      <c r="A7385" s="2">
        <v>7380</v>
      </c>
      <c r="B7385" s="3" t="str">
        <f>"00311141"</f>
        <v>00311141</v>
      </c>
    </row>
    <row r="7386" spans="1:2" x14ac:dyDescent="0.25">
      <c r="A7386" s="2">
        <v>7381</v>
      </c>
      <c r="B7386" s="3" t="str">
        <f>"00311288"</f>
        <v>00311288</v>
      </c>
    </row>
    <row r="7387" spans="1:2" x14ac:dyDescent="0.25">
      <c r="A7387" s="2">
        <v>7382</v>
      </c>
      <c r="B7387" s="3" t="str">
        <f>"00311291"</f>
        <v>00311291</v>
      </c>
    </row>
    <row r="7388" spans="1:2" x14ac:dyDescent="0.25">
      <c r="A7388" s="2">
        <v>7383</v>
      </c>
      <c r="B7388" s="3" t="str">
        <f>"00311302"</f>
        <v>00311302</v>
      </c>
    </row>
    <row r="7389" spans="1:2" x14ac:dyDescent="0.25">
      <c r="A7389" s="2">
        <v>7384</v>
      </c>
      <c r="B7389" s="3" t="str">
        <f>"00311303"</f>
        <v>00311303</v>
      </c>
    </row>
    <row r="7390" spans="1:2" x14ac:dyDescent="0.25">
      <c r="A7390" s="2">
        <v>7385</v>
      </c>
      <c r="B7390" s="3" t="str">
        <f>"00311313"</f>
        <v>00311313</v>
      </c>
    </row>
    <row r="7391" spans="1:2" x14ac:dyDescent="0.25">
      <c r="A7391" s="2">
        <v>7386</v>
      </c>
      <c r="B7391" s="3" t="str">
        <f>"00311328"</f>
        <v>00311328</v>
      </c>
    </row>
    <row r="7392" spans="1:2" x14ac:dyDescent="0.25">
      <c r="A7392" s="2">
        <v>7387</v>
      </c>
      <c r="B7392" s="3" t="str">
        <f>"00311342"</f>
        <v>00311342</v>
      </c>
    </row>
    <row r="7393" spans="1:2" x14ac:dyDescent="0.25">
      <c r="A7393" s="2">
        <v>7388</v>
      </c>
      <c r="B7393" s="3" t="str">
        <f>"00311345"</f>
        <v>00311345</v>
      </c>
    </row>
    <row r="7394" spans="1:2" x14ac:dyDescent="0.25">
      <c r="A7394" s="2">
        <v>7389</v>
      </c>
      <c r="B7394" s="3" t="str">
        <f>"00311391"</f>
        <v>00311391</v>
      </c>
    </row>
    <row r="7395" spans="1:2" x14ac:dyDescent="0.25">
      <c r="A7395" s="2">
        <v>7390</v>
      </c>
      <c r="B7395" s="3" t="str">
        <f>"00311445"</f>
        <v>00311445</v>
      </c>
    </row>
    <row r="7396" spans="1:2" x14ac:dyDescent="0.25">
      <c r="A7396" s="2">
        <v>7391</v>
      </c>
      <c r="B7396" s="3" t="str">
        <f>"00311451"</f>
        <v>00311451</v>
      </c>
    </row>
    <row r="7397" spans="1:2" x14ac:dyDescent="0.25">
      <c r="A7397" s="2">
        <v>7392</v>
      </c>
      <c r="B7397" s="3" t="str">
        <f>"00311452"</f>
        <v>00311452</v>
      </c>
    </row>
    <row r="7398" spans="1:2" x14ac:dyDescent="0.25">
      <c r="A7398" s="2">
        <v>7393</v>
      </c>
      <c r="B7398" s="3" t="str">
        <f>"00311472"</f>
        <v>00311472</v>
      </c>
    </row>
    <row r="7399" spans="1:2" x14ac:dyDescent="0.25">
      <c r="A7399" s="2">
        <v>7394</v>
      </c>
      <c r="B7399" s="3" t="str">
        <f>"00311498"</f>
        <v>00311498</v>
      </c>
    </row>
    <row r="7400" spans="1:2" x14ac:dyDescent="0.25">
      <c r="A7400" s="2">
        <v>7395</v>
      </c>
      <c r="B7400" s="3" t="str">
        <f>"00311506"</f>
        <v>00311506</v>
      </c>
    </row>
    <row r="7401" spans="1:2" x14ac:dyDescent="0.25">
      <c r="A7401" s="2">
        <v>7396</v>
      </c>
      <c r="B7401" s="3" t="str">
        <f>"00311507"</f>
        <v>00311507</v>
      </c>
    </row>
    <row r="7402" spans="1:2" x14ac:dyDescent="0.25">
      <c r="A7402" s="2">
        <v>7397</v>
      </c>
      <c r="B7402" s="3" t="str">
        <f>"00311516"</f>
        <v>00311516</v>
      </c>
    </row>
    <row r="7403" spans="1:2" x14ac:dyDescent="0.25">
      <c r="A7403" s="2">
        <v>7398</v>
      </c>
      <c r="B7403" s="3" t="str">
        <f>"00311521"</f>
        <v>00311521</v>
      </c>
    </row>
    <row r="7404" spans="1:2" x14ac:dyDescent="0.25">
      <c r="A7404" s="2">
        <v>7399</v>
      </c>
      <c r="B7404" s="3" t="str">
        <f>"00311534"</f>
        <v>00311534</v>
      </c>
    </row>
    <row r="7405" spans="1:2" x14ac:dyDescent="0.25">
      <c r="A7405" s="2">
        <v>7400</v>
      </c>
      <c r="B7405" s="3" t="str">
        <f>"00311550"</f>
        <v>00311550</v>
      </c>
    </row>
    <row r="7406" spans="1:2" x14ac:dyDescent="0.25">
      <c r="A7406" s="2">
        <v>7401</v>
      </c>
      <c r="B7406" s="3" t="str">
        <f>"00311650"</f>
        <v>00311650</v>
      </c>
    </row>
    <row r="7407" spans="1:2" x14ac:dyDescent="0.25">
      <c r="A7407" s="2">
        <v>7402</v>
      </c>
      <c r="B7407" s="3" t="str">
        <f>"00311651"</f>
        <v>00311651</v>
      </c>
    </row>
    <row r="7408" spans="1:2" x14ac:dyDescent="0.25">
      <c r="A7408" s="2">
        <v>7403</v>
      </c>
      <c r="B7408" s="3" t="str">
        <f>"00311709"</f>
        <v>00311709</v>
      </c>
    </row>
    <row r="7409" spans="1:2" x14ac:dyDescent="0.25">
      <c r="A7409" s="2">
        <v>7404</v>
      </c>
      <c r="B7409" s="3" t="str">
        <f>"00311718"</f>
        <v>00311718</v>
      </c>
    </row>
    <row r="7410" spans="1:2" x14ac:dyDescent="0.25">
      <c r="A7410" s="2">
        <v>7405</v>
      </c>
      <c r="B7410" s="3" t="str">
        <f>"00311721"</f>
        <v>00311721</v>
      </c>
    </row>
    <row r="7411" spans="1:2" x14ac:dyDescent="0.25">
      <c r="A7411" s="2">
        <v>7406</v>
      </c>
      <c r="B7411" s="3" t="str">
        <f>"00311725"</f>
        <v>00311725</v>
      </c>
    </row>
    <row r="7412" spans="1:2" x14ac:dyDescent="0.25">
      <c r="A7412" s="2">
        <v>7407</v>
      </c>
      <c r="B7412" s="3" t="str">
        <f>"00311751"</f>
        <v>00311751</v>
      </c>
    </row>
    <row r="7413" spans="1:2" x14ac:dyDescent="0.25">
      <c r="A7413" s="2">
        <v>7408</v>
      </c>
      <c r="B7413" s="3" t="str">
        <f>"00311760"</f>
        <v>00311760</v>
      </c>
    </row>
    <row r="7414" spans="1:2" x14ac:dyDescent="0.25">
      <c r="A7414" s="2">
        <v>7409</v>
      </c>
      <c r="B7414" s="3" t="str">
        <f>"00311763"</f>
        <v>00311763</v>
      </c>
    </row>
    <row r="7415" spans="1:2" x14ac:dyDescent="0.25">
      <c r="A7415" s="2">
        <v>7410</v>
      </c>
      <c r="B7415" s="3" t="str">
        <f>"00311771"</f>
        <v>00311771</v>
      </c>
    </row>
    <row r="7416" spans="1:2" x14ac:dyDescent="0.25">
      <c r="A7416" s="2">
        <v>7411</v>
      </c>
      <c r="B7416" s="3" t="str">
        <f>"00311781"</f>
        <v>00311781</v>
      </c>
    </row>
    <row r="7417" spans="1:2" x14ac:dyDescent="0.25">
      <c r="A7417" s="2">
        <v>7412</v>
      </c>
      <c r="B7417" s="3" t="str">
        <f>"00311812"</f>
        <v>00311812</v>
      </c>
    </row>
    <row r="7418" spans="1:2" x14ac:dyDescent="0.25">
      <c r="A7418" s="2">
        <v>7413</v>
      </c>
      <c r="B7418" s="3" t="str">
        <f>"00311824"</f>
        <v>00311824</v>
      </c>
    </row>
    <row r="7419" spans="1:2" x14ac:dyDescent="0.25">
      <c r="A7419" s="2">
        <v>7414</v>
      </c>
      <c r="B7419" s="3" t="str">
        <f>"00311831"</f>
        <v>00311831</v>
      </c>
    </row>
    <row r="7420" spans="1:2" x14ac:dyDescent="0.25">
      <c r="A7420" s="2">
        <v>7415</v>
      </c>
      <c r="B7420" s="3" t="str">
        <f>"00311833"</f>
        <v>00311833</v>
      </c>
    </row>
    <row r="7421" spans="1:2" x14ac:dyDescent="0.25">
      <c r="A7421" s="2">
        <v>7416</v>
      </c>
      <c r="B7421" s="3" t="str">
        <f>"00311882"</f>
        <v>00311882</v>
      </c>
    </row>
    <row r="7422" spans="1:2" x14ac:dyDescent="0.25">
      <c r="A7422" s="2">
        <v>7417</v>
      </c>
      <c r="B7422" s="3" t="str">
        <f>"00311898"</f>
        <v>00311898</v>
      </c>
    </row>
    <row r="7423" spans="1:2" x14ac:dyDescent="0.25">
      <c r="A7423" s="2">
        <v>7418</v>
      </c>
      <c r="B7423" s="3" t="str">
        <f>"00311905"</f>
        <v>00311905</v>
      </c>
    </row>
    <row r="7424" spans="1:2" x14ac:dyDescent="0.25">
      <c r="A7424" s="2">
        <v>7419</v>
      </c>
      <c r="B7424" s="3" t="str">
        <f>"00311909"</f>
        <v>00311909</v>
      </c>
    </row>
    <row r="7425" spans="1:2" x14ac:dyDescent="0.25">
      <c r="A7425" s="2">
        <v>7420</v>
      </c>
      <c r="B7425" s="3" t="str">
        <f>"00311928"</f>
        <v>00311928</v>
      </c>
    </row>
    <row r="7426" spans="1:2" x14ac:dyDescent="0.25">
      <c r="A7426" s="2">
        <v>7421</v>
      </c>
      <c r="B7426" s="3" t="str">
        <f>"00311942"</f>
        <v>00311942</v>
      </c>
    </row>
    <row r="7427" spans="1:2" x14ac:dyDescent="0.25">
      <c r="A7427" s="2">
        <v>7422</v>
      </c>
      <c r="B7427" s="3" t="str">
        <f>"00311975"</f>
        <v>00311975</v>
      </c>
    </row>
    <row r="7428" spans="1:2" x14ac:dyDescent="0.25">
      <c r="A7428" s="2">
        <v>7423</v>
      </c>
      <c r="B7428" s="3" t="str">
        <f>"00312006"</f>
        <v>00312006</v>
      </c>
    </row>
    <row r="7429" spans="1:2" x14ac:dyDescent="0.25">
      <c r="A7429" s="2">
        <v>7424</v>
      </c>
      <c r="B7429" s="3" t="str">
        <f>"00312015"</f>
        <v>00312015</v>
      </c>
    </row>
    <row r="7430" spans="1:2" x14ac:dyDescent="0.25">
      <c r="A7430" s="2">
        <v>7425</v>
      </c>
      <c r="B7430" s="3" t="str">
        <f>"00312111"</f>
        <v>00312111</v>
      </c>
    </row>
    <row r="7431" spans="1:2" x14ac:dyDescent="0.25">
      <c r="A7431" s="2">
        <v>7426</v>
      </c>
      <c r="B7431" s="3" t="str">
        <f>"00312132"</f>
        <v>00312132</v>
      </c>
    </row>
    <row r="7432" spans="1:2" x14ac:dyDescent="0.25">
      <c r="A7432" s="2">
        <v>7427</v>
      </c>
      <c r="B7432" s="3" t="str">
        <f>"00312145"</f>
        <v>00312145</v>
      </c>
    </row>
    <row r="7433" spans="1:2" x14ac:dyDescent="0.25">
      <c r="A7433" s="2">
        <v>7428</v>
      </c>
      <c r="B7433" s="3" t="str">
        <f>"00312211"</f>
        <v>00312211</v>
      </c>
    </row>
    <row r="7434" spans="1:2" x14ac:dyDescent="0.25">
      <c r="A7434" s="2">
        <v>7429</v>
      </c>
      <c r="B7434" s="3" t="str">
        <f>"00312245"</f>
        <v>00312245</v>
      </c>
    </row>
    <row r="7435" spans="1:2" x14ac:dyDescent="0.25">
      <c r="A7435" s="2">
        <v>7430</v>
      </c>
      <c r="B7435" s="3" t="str">
        <f>"00312246"</f>
        <v>00312246</v>
      </c>
    </row>
    <row r="7436" spans="1:2" x14ac:dyDescent="0.25">
      <c r="A7436" s="2">
        <v>7431</v>
      </c>
      <c r="B7436" s="3" t="str">
        <f>"00312269"</f>
        <v>00312269</v>
      </c>
    </row>
    <row r="7437" spans="1:2" x14ac:dyDescent="0.25">
      <c r="A7437" s="2">
        <v>7432</v>
      </c>
      <c r="B7437" s="3" t="str">
        <f>"00312353"</f>
        <v>00312353</v>
      </c>
    </row>
    <row r="7438" spans="1:2" x14ac:dyDescent="0.25">
      <c r="A7438" s="2">
        <v>7433</v>
      </c>
      <c r="B7438" s="3" t="str">
        <f>"00312356"</f>
        <v>00312356</v>
      </c>
    </row>
    <row r="7439" spans="1:2" x14ac:dyDescent="0.25">
      <c r="A7439" s="2">
        <v>7434</v>
      </c>
      <c r="B7439" s="3" t="str">
        <f>"00312378"</f>
        <v>00312378</v>
      </c>
    </row>
    <row r="7440" spans="1:2" x14ac:dyDescent="0.25">
      <c r="A7440" s="2">
        <v>7435</v>
      </c>
      <c r="B7440" s="3" t="str">
        <f>"00312379"</f>
        <v>00312379</v>
      </c>
    </row>
    <row r="7441" spans="1:2" x14ac:dyDescent="0.25">
      <c r="A7441" s="2">
        <v>7436</v>
      </c>
      <c r="B7441" s="3" t="str">
        <f>"00312382"</f>
        <v>00312382</v>
      </c>
    </row>
    <row r="7442" spans="1:2" x14ac:dyDescent="0.25">
      <c r="A7442" s="2">
        <v>7437</v>
      </c>
      <c r="B7442" s="3" t="str">
        <f>"00312395"</f>
        <v>00312395</v>
      </c>
    </row>
    <row r="7443" spans="1:2" x14ac:dyDescent="0.25">
      <c r="A7443" s="2">
        <v>7438</v>
      </c>
      <c r="B7443" s="3" t="str">
        <f>"00312414"</f>
        <v>00312414</v>
      </c>
    </row>
    <row r="7444" spans="1:2" x14ac:dyDescent="0.25">
      <c r="A7444" s="2">
        <v>7439</v>
      </c>
      <c r="B7444" s="3" t="str">
        <f>"00312444"</f>
        <v>00312444</v>
      </c>
    </row>
    <row r="7445" spans="1:2" x14ac:dyDescent="0.25">
      <c r="A7445" s="2">
        <v>7440</v>
      </c>
      <c r="B7445" s="3" t="str">
        <f>"00312447"</f>
        <v>00312447</v>
      </c>
    </row>
    <row r="7446" spans="1:2" x14ac:dyDescent="0.25">
      <c r="A7446" s="2">
        <v>7441</v>
      </c>
      <c r="B7446" s="3" t="str">
        <f>"00312502"</f>
        <v>00312502</v>
      </c>
    </row>
    <row r="7447" spans="1:2" x14ac:dyDescent="0.25">
      <c r="A7447" s="2">
        <v>7442</v>
      </c>
      <c r="B7447" s="3" t="str">
        <f>"00312577"</f>
        <v>00312577</v>
      </c>
    </row>
    <row r="7448" spans="1:2" x14ac:dyDescent="0.25">
      <c r="A7448" s="2">
        <v>7443</v>
      </c>
      <c r="B7448" s="3" t="str">
        <f>"00312586"</f>
        <v>00312586</v>
      </c>
    </row>
    <row r="7449" spans="1:2" x14ac:dyDescent="0.25">
      <c r="A7449" s="2">
        <v>7444</v>
      </c>
      <c r="B7449" s="3" t="str">
        <f>"00312591"</f>
        <v>00312591</v>
      </c>
    </row>
    <row r="7450" spans="1:2" x14ac:dyDescent="0.25">
      <c r="A7450" s="2">
        <v>7445</v>
      </c>
      <c r="B7450" s="3" t="str">
        <f>"00312758"</f>
        <v>00312758</v>
      </c>
    </row>
    <row r="7451" spans="1:2" x14ac:dyDescent="0.25">
      <c r="A7451" s="2">
        <v>7446</v>
      </c>
      <c r="B7451" s="3" t="str">
        <f>"00312817"</f>
        <v>00312817</v>
      </c>
    </row>
    <row r="7452" spans="1:2" x14ac:dyDescent="0.25">
      <c r="A7452" s="2">
        <v>7447</v>
      </c>
      <c r="B7452" s="3" t="str">
        <f>"00312852"</f>
        <v>00312852</v>
      </c>
    </row>
    <row r="7453" spans="1:2" x14ac:dyDescent="0.25">
      <c r="A7453" s="2">
        <v>7448</v>
      </c>
      <c r="B7453" s="3" t="str">
        <f>"00312853"</f>
        <v>00312853</v>
      </c>
    </row>
    <row r="7454" spans="1:2" x14ac:dyDescent="0.25">
      <c r="A7454" s="2">
        <v>7449</v>
      </c>
      <c r="B7454" s="3" t="str">
        <f>"00312863"</f>
        <v>00312863</v>
      </c>
    </row>
    <row r="7455" spans="1:2" x14ac:dyDescent="0.25">
      <c r="A7455" s="2">
        <v>7450</v>
      </c>
      <c r="B7455" s="3" t="str">
        <f>"00312868"</f>
        <v>00312868</v>
      </c>
    </row>
    <row r="7456" spans="1:2" x14ac:dyDescent="0.25">
      <c r="A7456" s="2">
        <v>7451</v>
      </c>
      <c r="B7456" s="3" t="str">
        <f>"00312914"</f>
        <v>00312914</v>
      </c>
    </row>
    <row r="7457" spans="1:2" x14ac:dyDescent="0.25">
      <c r="A7457" s="2">
        <v>7452</v>
      </c>
      <c r="B7457" s="3" t="str">
        <f>"00312926"</f>
        <v>00312926</v>
      </c>
    </row>
    <row r="7458" spans="1:2" x14ac:dyDescent="0.25">
      <c r="A7458" s="2">
        <v>7453</v>
      </c>
      <c r="B7458" s="3" t="str">
        <f>"00312935"</f>
        <v>00312935</v>
      </c>
    </row>
    <row r="7459" spans="1:2" x14ac:dyDescent="0.25">
      <c r="A7459" s="2">
        <v>7454</v>
      </c>
      <c r="B7459" s="3" t="str">
        <f>"00312956"</f>
        <v>00312956</v>
      </c>
    </row>
    <row r="7460" spans="1:2" x14ac:dyDescent="0.25">
      <c r="A7460" s="2">
        <v>7455</v>
      </c>
      <c r="B7460" s="3" t="str">
        <f>"00312963"</f>
        <v>00312963</v>
      </c>
    </row>
    <row r="7461" spans="1:2" x14ac:dyDescent="0.25">
      <c r="A7461" s="2">
        <v>7456</v>
      </c>
      <c r="B7461" s="3" t="str">
        <f>"00312996"</f>
        <v>00312996</v>
      </c>
    </row>
    <row r="7462" spans="1:2" x14ac:dyDescent="0.25">
      <c r="A7462" s="2">
        <v>7457</v>
      </c>
      <c r="B7462" s="3" t="str">
        <f>"00313034"</f>
        <v>00313034</v>
      </c>
    </row>
    <row r="7463" spans="1:2" x14ac:dyDescent="0.25">
      <c r="A7463" s="2">
        <v>7458</v>
      </c>
      <c r="B7463" s="3" t="str">
        <f>"00313063"</f>
        <v>00313063</v>
      </c>
    </row>
    <row r="7464" spans="1:2" x14ac:dyDescent="0.25">
      <c r="A7464" s="2">
        <v>7459</v>
      </c>
      <c r="B7464" s="3" t="str">
        <f>"00313075"</f>
        <v>00313075</v>
      </c>
    </row>
    <row r="7465" spans="1:2" x14ac:dyDescent="0.25">
      <c r="A7465" s="2">
        <v>7460</v>
      </c>
      <c r="B7465" s="3" t="str">
        <f>"00313118"</f>
        <v>00313118</v>
      </c>
    </row>
    <row r="7466" spans="1:2" x14ac:dyDescent="0.25">
      <c r="A7466" s="2">
        <v>7461</v>
      </c>
      <c r="B7466" s="3" t="str">
        <f>"00313136"</f>
        <v>00313136</v>
      </c>
    </row>
    <row r="7467" spans="1:2" x14ac:dyDescent="0.25">
      <c r="A7467" s="2">
        <v>7462</v>
      </c>
      <c r="B7467" s="3" t="str">
        <f>"00313183"</f>
        <v>00313183</v>
      </c>
    </row>
    <row r="7468" spans="1:2" x14ac:dyDescent="0.25">
      <c r="A7468" s="2">
        <v>7463</v>
      </c>
      <c r="B7468" s="3" t="str">
        <f>"00313207"</f>
        <v>00313207</v>
      </c>
    </row>
    <row r="7469" spans="1:2" x14ac:dyDescent="0.25">
      <c r="A7469" s="2">
        <v>7464</v>
      </c>
      <c r="B7469" s="3" t="str">
        <f>"00313213"</f>
        <v>00313213</v>
      </c>
    </row>
    <row r="7470" spans="1:2" x14ac:dyDescent="0.25">
      <c r="A7470" s="2">
        <v>7465</v>
      </c>
      <c r="B7470" s="3" t="str">
        <f>"00313223"</f>
        <v>00313223</v>
      </c>
    </row>
    <row r="7471" spans="1:2" x14ac:dyDescent="0.25">
      <c r="A7471" s="2">
        <v>7466</v>
      </c>
      <c r="B7471" s="3" t="str">
        <f>"00313306"</f>
        <v>00313306</v>
      </c>
    </row>
    <row r="7472" spans="1:2" x14ac:dyDescent="0.25">
      <c r="A7472" s="2">
        <v>7467</v>
      </c>
      <c r="B7472" s="3" t="str">
        <f>"00313387"</f>
        <v>00313387</v>
      </c>
    </row>
    <row r="7473" spans="1:2" x14ac:dyDescent="0.25">
      <c r="A7473" s="2">
        <v>7468</v>
      </c>
      <c r="B7473" s="3" t="str">
        <f>"00313398"</f>
        <v>00313398</v>
      </c>
    </row>
    <row r="7474" spans="1:2" x14ac:dyDescent="0.25">
      <c r="A7474" s="2">
        <v>7469</v>
      </c>
      <c r="B7474" s="3" t="str">
        <f>"00313406"</f>
        <v>00313406</v>
      </c>
    </row>
    <row r="7475" spans="1:2" x14ac:dyDescent="0.25">
      <c r="A7475" s="2">
        <v>7470</v>
      </c>
      <c r="B7475" s="3" t="str">
        <f>"00313410"</f>
        <v>00313410</v>
      </c>
    </row>
    <row r="7476" spans="1:2" x14ac:dyDescent="0.25">
      <c r="A7476" s="2">
        <v>7471</v>
      </c>
      <c r="B7476" s="3" t="str">
        <f>"00313421"</f>
        <v>00313421</v>
      </c>
    </row>
    <row r="7477" spans="1:2" x14ac:dyDescent="0.25">
      <c r="A7477" s="2">
        <v>7472</v>
      </c>
      <c r="B7477" s="3" t="str">
        <f>"00313514"</f>
        <v>00313514</v>
      </c>
    </row>
    <row r="7478" spans="1:2" x14ac:dyDescent="0.25">
      <c r="A7478" s="2">
        <v>7473</v>
      </c>
      <c r="B7478" s="3" t="str">
        <f>"00313652"</f>
        <v>00313652</v>
      </c>
    </row>
    <row r="7479" spans="1:2" x14ac:dyDescent="0.25">
      <c r="A7479" s="2">
        <v>7474</v>
      </c>
      <c r="B7479" s="3" t="str">
        <f>"00313684"</f>
        <v>00313684</v>
      </c>
    </row>
    <row r="7480" spans="1:2" x14ac:dyDescent="0.25">
      <c r="A7480" s="2">
        <v>7475</v>
      </c>
      <c r="B7480" s="3" t="str">
        <f>"00313689"</f>
        <v>00313689</v>
      </c>
    </row>
    <row r="7481" spans="1:2" x14ac:dyDescent="0.25">
      <c r="A7481" s="2">
        <v>7476</v>
      </c>
      <c r="B7481" s="3" t="str">
        <f>"00313692"</f>
        <v>00313692</v>
      </c>
    </row>
    <row r="7482" spans="1:2" x14ac:dyDescent="0.25">
      <c r="A7482" s="2">
        <v>7477</v>
      </c>
      <c r="B7482" s="3" t="str">
        <f>"00313694"</f>
        <v>00313694</v>
      </c>
    </row>
    <row r="7483" spans="1:2" x14ac:dyDescent="0.25">
      <c r="A7483" s="2">
        <v>7478</v>
      </c>
      <c r="B7483" s="3" t="str">
        <f>"00313696"</f>
        <v>00313696</v>
      </c>
    </row>
    <row r="7484" spans="1:2" x14ac:dyDescent="0.25">
      <c r="A7484" s="2">
        <v>7479</v>
      </c>
      <c r="B7484" s="3" t="str">
        <f>"00313712"</f>
        <v>00313712</v>
      </c>
    </row>
    <row r="7485" spans="1:2" x14ac:dyDescent="0.25">
      <c r="A7485" s="2">
        <v>7480</v>
      </c>
      <c r="B7485" s="3" t="str">
        <f>"00313734"</f>
        <v>00313734</v>
      </c>
    </row>
    <row r="7486" spans="1:2" x14ac:dyDescent="0.25">
      <c r="A7486" s="2">
        <v>7481</v>
      </c>
      <c r="B7486" s="3" t="str">
        <f>"00313740"</f>
        <v>00313740</v>
      </c>
    </row>
    <row r="7487" spans="1:2" x14ac:dyDescent="0.25">
      <c r="A7487" s="2">
        <v>7482</v>
      </c>
      <c r="B7487" s="3" t="str">
        <f>"00313773"</f>
        <v>00313773</v>
      </c>
    </row>
    <row r="7488" spans="1:2" x14ac:dyDescent="0.25">
      <c r="A7488" s="2">
        <v>7483</v>
      </c>
      <c r="B7488" s="3" t="str">
        <f>"00313779"</f>
        <v>00313779</v>
      </c>
    </row>
    <row r="7489" spans="1:2" x14ac:dyDescent="0.25">
      <c r="A7489" s="2">
        <v>7484</v>
      </c>
      <c r="B7489" s="3" t="str">
        <f>"00313780"</f>
        <v>00313780</v>
      </c>
    </row>
    <row r="7490" spans="1:2" x14ac:dyDescent="0.25">
      <c r="A7490" s="2">
        <v>7485</v>
      </c>
      <c r="B7490" s="3" t="str">
        <f>"00313801"</f>
        <v>00313801</v>
      </c>
    </row>
    <row r="7491" spans="1:2" x14ac:dyDescent="0.25">
      <c r="A7491" s="2">
        <v>7486</v>
      </c>
      <c r="B7491" s="3" t="str">
        <f>"00313838"</f>
        <v>00313838</v>
      </c>
    </row>
    <row r="7492" spans="1:2" x14ac:dyDescent="0.25">
      <c r="A7492" s="2">
        <v>7487</v>
      </c>
      <c r="B7492" s="3" t="str">
        <f>"00313840"</f>
        <v>00313840</v>
      </c>
    </row>
    <row r="7493" spans="1:2" x14ac:dyDescent="0.25">
      <c r="A7493" s="2">
        <v>7488</v>
      </c>
      <c r="B7493" s="3" t="str">
        <f>"00313844"</f>
        <v>00313844</v>
      </c>
    </row>
    <row r="7494" spans="1:2" x14ac:dyDescent="0.25">
      <c r="A7494" s="2">
        <v>7489</v>
      </c>
      <c r="B7494" s="3" t="str">
        <f>"00313864"</f>
        <v>00313864</v>
      </c>
    </row>
    <row r="7495" spans="1:2" x14ac:dyDescent="0.25">
      <c r="A7495" s="2">
        <v>7490</v>
      </c>
      <c r="B7495" s="3" t="str">
        <f>"00313881"</f>
        <v>00313881</v>
      </c>
    </row>
    <row r="7496" spans="1:2" x14ac:dyDescent="0.25">
      <c r="A7496" s="2">
        <v>7491</v>
      </c>
      <c r="B7496" s="3" t="str">
        <f>"00313939"</f>
        <v>00313939</v>
      </c>
    </row>
    <row r="7497" spans="1:2" x14ac:dyDescent="0.25">
      <c r="A7497" s="2">
        <v>7492</v>
      </c>
      <c r="B7497" s="3" t="str">
        <f>"00313968"</f>
        <v>00313968</v>
      </c>
    </row>
    <row r="7498" spans="1:2" x14ac:dyDescent="0.25">
      <c r="A7498" s="2">
        <v>7493</v>
      </c>
      <c r="B7498" s="3" t="str">
        <f>"00313987"</f>
        <v>00313987</v>
      </c>
    </row>
    <row r="7499" spans="1:2" x14ac:dyDescent="0.25">
      <c r="A7499" s="2">
        <v>7494</v>
      </c>
      <c r="B7499" s="3" t="str">
        <f>"00313995"</f>
        <v>00313995</v>
      </c>
    </row>
    <row r="7500" spans="1:2" x14ac:dyDescent="0.25">
      <c r="A7500" s="2">
        <v>7495</v>
      </c>
      <c r="B7500" s="3" t="str">
        <f>"00314033"</f>
        <v>00314033</v>
      </c>
    </row>
    <row r="7501" spans="1:2" x14ac:dyDescent="0.25">
      <c r="A7501" s="2">
        <v>7496</v>
      </c>
      <c r="B7501" s="3" t="str">
        <f>"00314061"</f>
        <v>00314061</v>
      </c>
    </row>
    <row r="7502" spans="1:2" x14ac:dyDescent="0.25">
      <c r="A7502" s="2">
        <v>7497</v>
      </c>
      <c r="B7502" s="3" t="str">
        <f>"00314076"</f>
        <v>00314076</v>
      </c>
    </row>
    <row r="7503" spans="1:2" x14ac:dyDescent="0.25">
      <c r="A7503" s="2">
        <v>7498</v>
      </c>
      <c r="B7503" s="3" t="str">
        <f>"00314111"</f>
        <v>00314111</v>
      </c>
    </row>
    <row r="7504" spans="1:2" x14ac:dyDescent="0.25">
      <c r="A7504" s="2">
        <v>7499</v>
      </c>
      <c r="B7504" s="3" t="str">
        <f>"00314115"</f>
        <v>00314115</v>
      </c>
    </row>
    <row r="7505" spans="1:2" x14ac:dyDescent="0.25">
      <c r="A7505" s="2">
        <v>7500</v>
      </c>
      <c r="B7505" s="3" t="str">
        <f>"00314118"</f>
        <v>00314118</v>
      </c>
    </row>
    <row r="7506" spans="1:2" x14ac:dyDescent="0.25">
      <c r="A7506" s="2">
        <v>7501</v>
      </c>
      <c r="B7506" s="3" t="str">
        <f>"00314134"</f>
        <v>00314134</v>
      </c>
    </row>
    <row r="7507" spans="1:2" x14ac:dyDescent="0.25">
      <c r="A7507" s="2">
        <v>7502</v>
      </c>
      <c r="B7507" s="3" t="str">
        <f>"00314138"</f>
        <v>00314138</v>
      </c>
    </row>
    <row r="7508" spans="1:2" x14ac:dyDescent="0.25">
      <c r="A7508" s="2">
        <v>7503</v>
      </c>
      <c r="B7508" s="3" t="str">
        <f>"00314139"</f>
        <v>00314139</v>
      </c>
    </row>
    <row r="7509" spans="1:2" x14ac:dyDescent="0.25">
      <c r="A7509" s="2">
        <v>7504</v>
      </c>
      <c r="B7509" s="3" t="str">
        <f>"00314160"</f>
        <v>00314160</v>
      </c>
    </row>
    <row r="7510" spans="1:2" x14ac:dyDescent="0.25">
      <c r="A7510" s="2">
        <v>7505</v>
      </c>
      <c r="B7510" s="3" t="str">
        <f>"00314173"</f>
        <v>00314173</v>
      </c>
    </row>
    <row r="7511" spans="1:2" x14ac:dyDescent="0.25">
      <c r="A7511" s="2">
        <v>7506</v>
      </c>
      <c r="B7511" s="3" t="str">
        <f>"00314232"</f>
        <v>00314232</v>
      </c>
    </row>
    <row r="7512" spans="1:2" x14ac:dyDescent="0.25">
      <c r="A7512" s="2">
        <v>7507</v>
      </c>
      <c r="B7512" s="3" t="str">
        <f>"00314261"</f>
        <v>00314261</v>
      </c>
    </row>
    <row r="7513" spans="1:2" x14ac:dyDescent="0.25">
      <c r="A7513" s="2">
        <v>7508</v>
      </c>
      <c r="B7513" s="3" t="str">
        <f>"00314286"</f>
        <v>00314286</v>
      </c>
    </row>
    <row r="7514" spans="1:2" x14ac:dyDescent="0.25">
      <c r="A7514" s="2">
        <v>7509</v>
      </c>
      <c r="B7514" s="3" t="str">
        <f>"00314396"</f>
        <v>00314396</v>
      </c>
    </row>
    <row r="7515" spans="1:2" x14ac:dyDescent="0.25">
      <c r="A7515" s="2">
        <v>7510</v>
      </c>
      <c r="B7515" s="3" t="str">
        <f>"00314446"</f>
        <v>00314446</v>
      </c>
    </row>
    <row r="7516" spans="1:2" x14ac:dyDescent="0.25">
      <c r="A7516" s="2">
        <v>7511</v>
      </c>
      <c r="B7516" s="3" t="str">
        <f>"00314467"</f>
        <v>00314467</v>
      </c>
    </row>
    <row r="7517" spans="1:2" x14ac:dyDescent="0.25">
      <c r="A7517" s="2">
        <v>7512</v>
      </c>
      <c r="B7517" s="3" t="str">
        <f>"00314485"</f>
        <v>00314485</v>
      </c>
    </row>
    <row r="7518" spans="1:2" x14ac:dyDescent="0.25">
      <c r="A7518" s="2">
        <v>7513</v>
      </c>
      <c r="B7518" s="3" t="str">
        <f>"00314537"</f>
        <v>00314537</v>
      </c>
    </row>
    <row r="7519" spans="1:2" x14ac:dyDescent="0.25">
      <c r="A7519" s="2">
        <v>7514</v>
      </c>
      <c r="B7519" s="3" t="str">
        <f>"00314566"</f>
        <v>00314566</v>
      </c>
    </row>
    <row r="7520" spans="1:2" x14ac:dyDescent="0.25">
      <c r="A7520" s="2">
        <v>7515</v>
      </c>
      <c r="B7520" s="3" t="str">
        <f>"00314737"</f>
        <v>00314737</v>
      </c>
    </row>
    <row r="7521" spans="1:2" x14ac:dyDescent="0.25">
      <c r="A7521" s="2">
        <v>7516</v>
      </c>
      <c r="B7521" s="3" t="str">
        <f>"00314747"</f>
        <v>00314747</v>
      </c>
    </row>
    <row r="7522" spans="1:2" x14ac:dyDescent="0.25">
      <c r="A7522" s="2">
        <v>7517</v>
      </c>
      <c r="B7522" s="3" t="str">
        <f>"00314770"</f>
        <v>00314770</v>
      </c>
    </row>
    <row r="7523" spans="1:2" x14ac:dyDescent="0.25">
      <c r="A7523" s="2">
        <v>7518</v>
      </c>
      <c r="B7523" s="3" t="str">
        <f>"00314827"</f>
        <v>00314827</v>
      </c>
    </row>
    <row r="7524" spans="1:2" x14ac:dyDescent="0.25">
      <c r="A7524" s="2">
        <v>7519</v>
      </c>
      <c r="B7524" s="3" t="str">
        <f>"00314869"</f>
        <v>00314869</v>
      </c>
    </row>
    <row r="7525" spans="1:2" x14ac:dyDescent="0.25">
      <c r="A7525" s="2">
        <v>7520</v>
      </c>
      <c r="B7525" s="3" t="str">
        <f>"00314923"</f>
        <v>00314923</v>
      </c>
    </row>
    <row r="7526" spans="1:2" x14ac:dyDescent="0.25">
      <c r="A7526" s="2">
        <v>7521</v>
      </c>
      <c r="B7526" s="3" t="str">
        <f>"00315095"</f>
        <v>00315095</v>
      </c>
    </row>
    <row r="7527" spans="1:2" x14ac:dyDescent="0.25">
      <c r="A7527" s="2">
        <v>7522</v>
      </c>
      <c r="B7527" s="3" t="str">
        <f>"00315102"</f>
        <v>00315102</v>
      </c>
    </row>
    <row r="7528" spans="1:2" x14ac:dyDescent="0.25">
      <c r="A7528" s="2">
        <v>7523</v>
      </c>
      <c r="B7528" s="3" t="str">
        <f>"00315114"</f>
        <v>00315114</v>
      </c>
    </row>
    <row r="7529" spans="1:2" x14ac:dyDescent="0.25">
      <c r="A7529" s="2">
        <v>7524</v>
      </c>
      <c r="B7529" s="3" t="str">
        <f>"00315124"</f>
        <v>00315124</v>
      </c>
    </row>
    <row r="7530" spans="1:2" x14ac:dyDescent="0.25">
      <c r="A7530" s="2">
        <v>7525</v>
      </c>
      <c r="B7530" s="3" t="str">
        <f>"00315130"</f>
        <v>00315130</v>
      </c>
    </row>
    <row r="7531" spans="1:2" x14ac:dyDescent="0.25">
      <c r="A7531" s="2">
        <v>7526</v>
      </c>
      <c r="B7531" s="3" t="str">
        <f>"00315149"</f>
        <v>00315149</v>
      </c>
    </row>
    <row r="7532" spans="1:2" x14ac:dyDescent="0.25">
      <c r="A7532" s="2">
        <v>7527</v>
      </c>
      <c r="B7532" s="3" t="str">
        <f>"00315162"</f>
        <v>00315162</v>
      </c>
    </row>
    <row r="7533" spans="1:2" x14ac:dyDescent="0.25">
      <c r="A7533" s="2">
        <v>7528</v>
      </c>
      <c r="B7533" s="3" t="str">
        <f>"00315186"</f>
        <v>00315186</v>
      </c>
    </row>
    <row r="7534" spans="1:2" x14ac:dyDescent="0.25">
      <c r="A7534" s="2">
        <v>7529</v>
      </c>
      <c r="B7534" s="3" t="str">
        <f>"00315232"</f>
        <v>00315232</v>
      </c>
    </row>
    <row r="7535" spans="1:2" x14ac:dyDescent="0.25">
      <c r="A7535" s="2">
        <v>7530</v>
      </c>
      <c r="B7535" s="3" t="str">
        <f>"00315254"</f>
        <v>00315254</v>
      </c>
    </row>
    <row r="7536" spans="1:2" x14ac:dyDescent="0.25">
      <c r="A7536" s="2">
        <v>7531</v>
      </c>
      <c r="B7536" s="3" t="str">
        <f>"00315286"</f>
        <v>00315286</v>
      </c>
    </row>
    <row r="7537" spans="1:2" x14ac:dyDescent="0.25">
      <c r="A7537" s="2">
        <v>7532</v>
      </c>
      <c r="B7537" s="3" t="str">
        <f>"00315292"</f>
        <v>00315292</v>
      </c>
    </row>
    <row r="7538" spans="1:2" x14ac:dyDescent="0.25">
      <c r="A7538" s="2">
        <v>7533</v>
      </c>
      <c r="B7538" s="3" t="str">
        <f>"00315323"</f>
        <v>00315323</v>
      </c>
    </row>
    <row r="7539" spans="1:2" x14ac:dyDescent="0.25">
      <c r="A7539" s="2">
        <v>7534</v>
      </c>
      <c r="B7539" s="3" t="str">
        <f>"00315356"</f>
        <v>00315356</v>
      </c>
    </row>
    <row r="7540" spans="1:2" x14ac:dyDescent="0.25">
      <c r="A7540" s="2">
        <v>7535</v>
      </c>
      <c r="B7540" s="3" t="str">
        <f>"00315362"</f>
        <v>00315362</v>
      </c>
    </row>
    <row r="7541" spans="1:2" x14ac:dyDescent="0.25">
      <c r="A7541" s="2">
        <v>7536</v>
      </c>
      <c r="B7541" s="3" t="str">
        <f>"00315398"</f>
        <v>00315398</v>
      </c>
    </row>
    <row r="7542" spans="1:2" x14ac:dyDescent="0.25">
      <c r="A7542" s="2">
        <v>7537</v>
      </c>
      <c r="B7542" s="3" t="str">
        <f>"00315425"</f>
        <v>00315425</v>
      </c>
    </row>
    <row r="7543" spans="1:2" x14ac:dyDescent="0.25">
      <c r="A7543" s="2">
        <v>7538</v>
      </c>
      <c r="B7543" s="3" t="str">
        <f>"00315445"</f>
        <v>00315445</v>
      </c>
    </row>
    <row r="7544" spans="1:2" x14ac:dyDescent="0.25">
      <c r="A7544" s="2">
        <v>7539</v>
      </c>
      <c r="B7544" s="3" t="str">
        <f>"00315543"</f>
        <v>00315543</v>
      </c>
    </row>
    <row r="7545" spans="1:2" x14ac:dyDescent="0.25">
      <c r="A7545" s="2">
        <v>7540</v>
      </c>
      <c r="B7545" s="3" t="str">
        <f>"00315553"</f>
        <v>00315553</v>
      </c>
    </row>
    <row r="7546" spans="1:2" x14ac:dyDescent="0.25">
      <c r="A7546" s="2">
        <v>7541</v>
      </c>
      <c r="B7546" s="3" t="str">
        <f>"00315602"</f>
        <v>00315602</v>
      </c>
    </row>
    <row r="7547" spans="1:2" x14ac:dyDescent="0.25">
      <c r="A7547" s="2">
        <v>7542</v>
      </c>
      <c r="B7547" s="3" t="str">
        <f>"00315619"</f>
        <v>00315619</v>
      </c>
    </row>
    <row r="7548" spans="1:2" x14ac:dyDescent="0.25">
      <c r="A7548" s="2">
        <v>7543</v>
      </c>
      <c r="B7548" s="3" t="str">
        <f>"00315620"</f>
        <v>00315620</v>
      </c>
    </row>
    <row r="7549" spans="1:2" x14ac:dyDescent="0.25">
      <c r="A7549" s="2">
        <v>7544</v>
      </c>
      <c r="B7549" s="3" t="str">
        <f>"00315660"</f>
        <v>00315660</v>
      </c>
    </row>
    <row r="7550" spans="1:2" x14ac:dyDescent="0.25">
      <c r="A7550" s="2">
        <v>7545</v>
      </c>
      <c r="B7550" s="3" t="str">
        <f>"00315671"</f>
        <v>00315671</v>
      </c>
    </row>
    <row r="7551" spans="1:2" x14ac:dyDescent="0.25">
      <c r="A7551" s="2">
        <v>7546</v>
      </c>
      <c r="B7551" s="3" t="str">
        <f>"00315675"</f>
        <v>00315675</v>
      </c>
    </row>
    <row r="7552" spans="1:2" x14ac:dyDescent="0.25">
      <c r="A7552" s="2">
        <v>7547</v>
      </c>
      <c r="B7552" s="3" t="str">
        <f>"00315682"</f>
        <v>00315682</v>
      </c>
    </row>
    <row r="7553" spans="1:2" x14ac:dyDescent="0.25">
      <c r="A7553" s="2">
        <v>7548</v>
      </c>
      <c r="B7553" s="3" t="str">
        <f>"00315685"</f>
        <v>00315685</v>
      </c>
    </row>
    <row r="7554" spans="1:2" x14ac:dyDescent="0.25">
      <c r="A7554" s="2">
        <v>7549</v>
      </c>
      <c r="B7554" s="3" t="str">
        <f>"00315736"</f>
        <v>00315736</v>
      </c>
    </row>
    <row r="7555" spans="1:2" x14ac:dyDescent="0.25">
      <c r="A7555" s="2">
        <v>7550</v>
      </c>
      <c r="B7555" s="3" t="str">
        <f>"00315747"</f>
        <v>00315747</v>
      </c>
    </row>
    <row r="7556" spans="1:2" x14ac:dyDescent="0.25">
      <c r="A7556" s="2">
        <v>7551</v>
      </c>
      <c r="B7556" s="3" t="str">
        <f>"00315824"</f>
        <v>00315824</v>
      </c>
    </row>
    <row r="7557" spans="1:2" x14ac:dyDescent="0.25">
      <c r="A7557" s="2">
        <v>7552</v>
      </c>
      <c r="B7557" s="3" t="str">
        <f>"00315868"</f>
        <v>00315868</v>
      </c>
    </row>
    <row r="7558" spans="1:2" x14ac:dyDescent="0.25">
      <c r="A7558" s="2">
        <v>7553</v>
      </c>
      <c r="B7558" s="3" t="str">
        <f>"00315902"</f>
        <v>00315902</v>
      </c>
    </row>
    <row r="7559" spans="1:2" x14ac:dyDescent="0.25">
      <c r="A7559" s="2">
        <v>7554</v>
      </c>
      <c r="B7559" s="3" t="str">
        <f>"00315906"</f>
        <v>00315906</v>
      </c>
    </row>
    <row r="7560" spans="1:2" x14ac:dyDescent="0.25">
      <c r="A7560" s="2">
        <v>7555</v>
      </c>
      <c r="B7560" s="3" t="str">
        <f>"00315931"</f>
        <v>00315931</v>
      </c>
    </row>
    <row r="7561" spans="1:2" x14ac:dyDescent="0.25">
      <c r="A7561" s="2">
        <v>7556</v>
      </c>
      <c r="B7561" s="3" t="str">
        <f>"00315970"</f>
        <v>00315970</v>
      </c>
    </row>
    <row r="7562" spans="1:2" x14ac:dyDescent="0.25">
      <c r="A7562" s="2">
        <v>7557</v>
      </c>
      <c r="B7562" s="3" t="str">
        <f>"00315996"</f>
        <v>00315996</v>
      </c>
    </row>
    <row r="7563" spans="1:2" x14ac:dyDescent="0.25">
      <c r="A7563" s="2">
        <v>7558</v>
      </c>
      <c r="B7563" s="3" t="str">
        <f>"00316031"</f>
        <v>00316031</v>
      </c>
    </row>
    <row r="7564" spans="1:2" x14ac:dyDescent="0.25">
      <c r="A7564" s="2">
        <v>7559</v>
      </c>
      <c r="B7564" s="3" t="str">
        <f>"00316033"</f>
        <v>00316033</v>
      </c>
    </row>
    <row r="7565" spans="1:2" x14ac:dyDescent="0.25">
      <c r="A7565" s="2">
        <v>7560</v>
      </c>
      <c r="B7565" s="3" t="str">
        <f>"00316058"</f>
        <v>00316058</v>
      </c>
    </row>
    <row r="7566" spans="1:2" x14ac:dyDescent="0.25">
      <c r="A7566" s="2">
        <v>7561</v>
      </c>
      <c r="B7566" s="3" t="str">
        <f>"00316097"</f>
        <v>00316097</v>
      </c>
    </row>
    <row r="7567" spans="1:2" x14ac:dyDescent="0.25">
      <c r="A7567" s="2">
        <v>7562</v>
      </c>
      <c r="B7567" s="3" t="str">
        <f>"00316109"</f>
        <v>00316109</v>
      </c>
    </row>
    <row r="7568" spans="1:2" x14ac:dyDescent="0.25">
      <c r="A7568" s="2">
        <v>7563</v>
      </c>
      <c r="B7568" s="3" t="str">
        <f>"00316121"</f>
        <v>00316121</v>
      </c>
    </row>
    <row r="7569" spans="1:2" x14ac:dyDescent="0.25">
      <c r="A7569" s="2">
        <v>7564</v>
      </c>
      <c r="B7569" s="3" t="str">
        <f>"00316144"</f>
        <v>00316144</v>
      </c>
    </row>
    <row r="7570" spans="1:2" x14ac:dyDescent="0.25">
      <c r="A7570" s="2">
        <v>7565</v>
      </c>
      <c r="B7570" s="3" t="str">
        <f>"00316213"</f>
        <v>00316213</v>
      </c>
    </row>
    <row r="7571" spans="1:2" x14ac:dyDescent="0.25">
      <c r="A7571" s="2">
        <v>7566</v>
      </c>
      <c r="B7571" s="3" t="str">
        <f>"00316239"</f>
        <v>00316239</v>
      </c>
    </row>
    <row r="7572" spans="1:2" x14ac:dyDescent="0.25">
      <c r="A7572" s="2">
        <v>7567</v>
      </c>
      <c r="B7572" s="3" t="str">
        <f>"00316275"</f>
        <v>00316275</v>
      </c>
    </row>
    <row r="7573" spans="1:2" x14ac:dyDescent="0.25">
      <c r="A7573" s="2">
        <v>7568</v>
      </c>
      <c r="B7573" s="3" t="str">
        <f>"00316287"</f>
        <v>00316287</v>
      </c>
    </row>
    <row r="7574" spans="1:2" x14ac:dyDescent="0.25">
      <c r="A7574" s="2">
        <v>7569</v>
      </c>
      <c r="B7574" s="3" t="str">
        <f>"00316334"</f>
        <v>00316334</v>
      </c>
    </row>
    <row r="7575" spans="1:2" x14ac:dyDescent="0.25">
      <c r="A7575" s="2">
        <v>7570</v>
      </c>
      <c r="B7575" s="3" t="str">
        <f>"00316335"</f>
        <v>00316335</v>
      </c>
    </row>
    <row r="7576" spans="1:2" x14ac:dyDescent="0.25">
      <c r="A7576" s="2">
        <v>7571</v>
      </c>
      <c r="B7576" s="3" t="str">
        <f>"00316356"</f>
        <v>00316356</v>
      </c>
    </row>
    <row r="7577" spans="1:2" x14ac:dyDescent="0.25">
      <c r="A7577" s="2">
        <v>7572</v>
      </c>
      <c r="B7577" s="3" t="str">
        <f>"00316372"</f>
        <v>00316372</v>
      </c>
    </row>
    <row r="7578" spans="1:2" x14ac:dyDescent="0.25">
      <c r="A7578" s="2">
        <v>7573</v>
      </c>
      <c r="B7578" s="3" t="str">
        <f>"00316414"</f>
        <v>00316414</v>
      </c>
    </row>
    <row r="7579" spans="1:2" x14ac:dyDescent="0.25">
      <c r="A7579" s="2">
        <v>7574</v>
      </c>
      <c r="B7579" s="3" t="str">
        <f>"00316419"</f>
        <v>00316419</v>
      </c>
    </row>
    <row r="7580" spans="1:2" x14ac:dyDescent="0.25">
      <c r="A7580" s="2">
        <v>7575</v>
      </c>
      <c r="B7580" s="3" t="str">
        <f>"00316422"</f>
        <v>00316422</v>
      </c>
    </row>
    <row r="7581" spans="1:2" x14ac:dyDescent="0.25">
      <c r="A7581" s="2">
        <v>7576</v>
      </c>
      <c r="B7581" s="3" t="str">
        <f>"00316426"</f>
        <v>00316426</v>
      </c>
    </row>
    <row r="7582" spans="1:2" x14ac:dyDescent="0.25">
      <c r="A7582" s="2">
        <v>7577</v>
      </c>
      <c r="B7582" s="3" t="str">
        <f>"00316443"</f>
        <v>00316443</v>
      </c>
    </row>
    <row r="7583" spans="1:2" x14ac:dyDescent="0.25">
      <c r="A7583" s="2">
        <v>7578</v>
      </c>
      <c r="B7583" s="3" t="str">
        <f>"00316467"</f>
        <v>00316467</v>
      </c>
    </row>
    <row r="7584" spans="1:2" x14ac:dyDescent="0.25">
      <c r="A7584" s="2">
        <v>7579</v>
      </c>
      <c r="B7584" s="3" t="str">
        <f>"00316480"</f>
        <v>00316480</v>
      </c>
    </row>
    <row r="7585" spans="1:2" x14ac:dyDescent="0.25">
      <c r="A7585" s="2">
        <v>7580</v>
      </c>
      <c r="B7585" s="3" t="str">
        <f>"00316505"</f>
        <v>00316505</v>
      </c>
    </row>
    <row r="7586" spans="1:2" x14ac:dyDescent="0.25">
      <c r="A7586" s="2">
        <v>7581</v>
      </c>
      <c r="B7586" s="3" t="str">
        <f>"00316525"</f>
        <v>00316525</v>
      </c>
    </row>
    <row r="7587" spans="1:2" x14ac:dyDescent="0.25">
      <c r="A7587" s="2">
        <v>7582</v>
      </c>
      <c r="B7587" s="3" t="str">
        <f>"00316663"</f>
        <v>00316663</v>
      </c>
    </row>
    <row r="7588" spans="1:2" x14ac:dyDescent="0.25">
      <c r="A7588" s="2">
        <v>7583</v>
      </c>
      <c r="B7588" s="3" t="str">
        <f>"00316694"</f>
        <v>00316694</v>
      </c>
    </row>
    <row r="7589" spans="1:2" x14ac:dyDescent="0.25">
      <c r="A7589" s="2">
        <v>7584</v>
      </c>
      <c r="B7589" s="3" t="str">
        <f>"00316698"</f>
        <v>00316698</v>
      </c>
    </row>
    <row r="7590" spans="1:2" x14ac:dyDescent="0.25">
      <c r="A7590" s="2">
        <v>7585</v>
      </c>
      <c r="B7590" s="3" t="str">
        <f>"00316706"</f>
        <v>00316706</v>
      </c>
    </row>
    <row r="7591" spans="1:2" x14ac:dyDescent="0.25">
      <c r="A7591" s="2">
        <v>7586</v>
      </c>
      <c r="B7591" s="3" t="str">
        <f>"00316735"</f>
        <v>00316735</v>
      </c>
    </row>
    <row r="7592" spans="1:2" x14ac:dyDescent="0.25">
      <c r="A7592" s="2">
        <v>7587</v>
      </c>
      <c r="B7592" s="3" t="str">
        <f>"00316748"</f>
        <v>00316748</v>
      </c>
    </row>
    <row r="7593" spans="1:2" x14ac:dyDescent="0.25">
      <c r="A7593" s="2">
        <v>7588</v>
      </c>
      <c r="B7593" s="3" t="str">
        <f>"00316780"</f>
        <v>00316780</v>
      </c>
    </row>
    <row r="7594" spans="1:2" x14ac:dyDescent="0.25">
      <c r="A7594" s="2">
        <v>7589</v>
      </c>
      <c r="B7594" s="3" t="str">
        <f>"00316789"</f>
        <v>00316789</v>
      </c>
    </row>
    <row r="7595" spans="1:2" x14ac:dyDescent="0.25">
      <c r="A7595" s="2">
        <v>7590</v>
      </c>
      <c r="B7595" s="3" t="str">
        <f>"00316901"</f>
        <v>00316901</v>
      </c>
    </row>
    <row r="7596" spans="1:2" x14ac:dyDescent="0.25">
      <c r="A7596" s="2">
        <v>7591</v>
      </c>
      <c r="B7596" s="3" t="str">
        <f>"00316907"</f>
        <v>00316907</v>
      </c>
    </row>
    <row r="7597" spans="1:2" x14ac:dyDescent="0.25">
      <c r="A7597" s="2">
        <v>7592</v>
      </c>
      <c r="B7597" s="3" t="str">
        <f>"00316909"</f>
        <v>00316909</v>
      </c>
    </row>
    <row r="7598" spans="1:2" x14ac:dyDescent="0.25">
      <c r="A7598" s="2">
        <v>7593</v>
      </c>
      <c r="B7598" s="3" t="str">
        <f>"00316949"</f>
        <v>00316949</v>
      </c>
    </row>
    <row r="7599" spans="1:2" x14ac:dyDescent="0.25">
      <c r="A7599" s="2">
        <v>7594</v>
      </c>
      <c r="B7599" s="3" t="str">
        <f>"00316952"</f>
        <v>00316952</v>
      </c>
    </row>
    <row r="7600" spans="1:2" x14ac:dyDescent="0.25">
      <c r="A7600" s="2">
        <v>7595</v>
      </c>
      <c r="B7600" s="3" t="str">
        <f>"00316956"</f>
        <v>00316956</v>
      </c>
    </row>
    <row r="7601" spans="1:2" x14ac:dyDescent="0.25">
      <c r="A7601" s="2">
        <v>7596</v>
      </c>
      <c r="B7601" s="3" t="str">
        <f>"00317169"</f>
        <v>00317169</v>
      </c>
    </row>
    <row r="7602" spans="1:2" x14ac:dyDescent="0.25">
      <c r="A7602" s="2">
        <v>7597</v>
      </c>
      <c r="B7602" s="3" t="str">
        <f>"00317203"</f>
        <v>00317203</v>
      </c>
    </row>
    <row r="7603" spans="1:2" x14ac:dyDescent="0.25">
      <c r="A7603" s="2">
        <v>7598</v>
      </c>
      <c r="B7603" s="3" t="str">
        <f>"00317229"</f>
        <v>00317229</v>
      </c>
    </row>
    <row r="7604" spans="1:2" x14ac:dyDescent="0.25">
      <c r="A7604" s="2">
        <v>7599</v>
      </c>
      <c r="B7604" s="3" t="str">
        <f>"00317238"</f>
        <v>00317238</v>
      </c>
    </row>
    <row r="7605" spans="1:2" x14ac:dyDescent="0.25">
      <c r="A7605" s="2">
        <v>7600</v>
      </c>
      <c r="B7605" s="3" t="str">
        <f>"00317258"</f>
        <v>00317258</v>
      </c>
    </row>
    <row r="7606" spans="1:2" x14ac:dyDescent="0.25">
      <c r="A7606" s="2">
        <v>7601</v>
      </c>
      <c r="B7606" s="3" t="str">
        <f>"00317347"</f>
        <v>00317347</v>
      </c>
    </row>
    <row r="7607" spans="1:2" x14ac:dyDescent="0.25">
      <c r="A7607" s="2">
        <v>7602</v>
      </c>
      <c r="B7607" s="3" t="str">
        <f>"00317350"</f>
        <v>00317350</v>
      </c>
    </row>
    <row r="7608" spans="1:2" x14ac:dyDescent="0.25">
      <c r="A7608" s="2">
        <v>7603</v>
      </c>
      <c r="B7608" s="3" t="str">
        <f>"00317352"</f>
        <v>00317352</v>
      </c>
    </row>
    <row r="7609" spans="1:2" x14ac:dyDescent="0.25">
      <c r="A7609" s="2">
        <v>7604</v>
      </c>
      <c r="B7609" s="3" t="str">
        <f>"00317363"</f>
        <v>00317363</v>
      </c>
    </row>
    <row r="7610" spans="1:2" x14ac:dyDescent="0.25">
      <c r="A7610" s="2">
        <v>7605</v>
      </c>
      <c r="B7610" s="3" t="str">
        <f>"00317368"</f>
        <v>00317368</v>
      </c>
    </row>
    <row r="7611" spans="1:2" x14ac:dyDescent="0.25">
      <c r="A7611" s="2">
        <v>7606</v>
      </c>
      <c r="B7611" s="3" t="str">
        <f>"00317372"</f>
        <v>00317372</v>
      </c>
    </row>
    <row r="7612" spans="1:2" x14ac:dyDescent="0.25">
      <c r="A7612" s="2">
        <v>7607</v>
      </c>
      <c r="B7612" s="3" t="str">
        <f>"00317375"</f>
        <v>00317375</v>
      </c>
    </row>
    <row r="7613" spans="1:2" x14ac:dyDescent="0.25">
      <c r="A7613" s="2">
        <v>7608</v>
      </c>
      <c r="B7613" s="3" t="str">
        <f>"00317392"</f>
        <v>00317392</v>
      </c>
    </row>
    <row r="7614" spans="1:2" x14ac:dyDescent="0.25">
      <c r="A7614" s="2">
        <v>7609</v>
      </c>
      <c r="B7614" s="3" t="str">
        <f>"00317407"</f>
        <v>00317407</v>
      </c>
    </row>
    <row r="7615" spans="1:2" x14ac:dyDescent="0.25">
      <c r="A7615" s="2">
        <v>7610</v>
      </c>
      <c r="B7615" s="3" t="str">
        <f>"00317430"</f>
        <v>00317430</v>
      </c>
    </row>
    <row r="7616" spans="1:2" x14ac:dyDescent="0.25">
      <c r="A7616" s="2">
        <v>7611</v>
      </c>
      <c r="B7616" s="3" t="str">
        <f>"00317438"</f>
        <v>00317438</v>
      </c>
    </row>
    <row r="7617" spans="1:2" x14ac:dyDescent="0.25">
      <c r="A7617" s="2">
        <v>7612</v>
      </c>
      <c r="B7617" s="3" t="str">
        <f>"00317442"</f>
        <v>00317442</v>
      </c>
    </row>
    <row r="7618" spans="1:2" x14ac:dyDescent="0.25">
      <c r="A7618" s="2">
        <v>7613</v>
      </c>
      <c r="B7618" s="3" t="str">
        <f>"00317474"</f>
        <v>00317474</v>
      </c>
    </row>
    <row r="7619" spans="1:2" x14ac:dyDescent="0.25">
      <c r="A7619" s="2">
        <v>7614</v>
      </c>
      <c r="B7619" s="3" t="str">
        <f>"00317502"</f>
        <v>00317502</v>
      </c>
    </row>
    <row r="7620" spans="1:2" x14ac:dyDescent="0.25">
      <c r="A7620" s="2">
        <v>7615</v>
      </c>
      <c r="B7620" s="3" t="str">
        <f>"00317526"</f>
        <v>00317526</v>
      </c>
    </row>
    <row r="7621" spans="1:2" x14ac:dyDescent="0.25">
      <c r="A7621" s="2">
        <v>7616</v>
      </c>
      <c r="B7621" s="3" t="str">
        <f>"00317589"</f>
        <v>00317589</v>
      </c>
    </row>
    <row r="7622" spans="1:2" x14ac:dyDescent="0.25">
      <c r="A7622" s="2">
        <v>7617</v>
      </c>
      <c r="B7622" s="3" t="str">
        <f>"00317607"</f>
        <v>00317607</v>
      </c>
    </row>
    <row r="7623" spans="1:2" x14ac:dyDescent="0.25">
      <c r="A7623" s="2">
        <v>7618</v>
      </c>
      <c r="B7623" s="3" t="str">
        <f>"00317610"</f>
        <v>00317610</v>
      </c>
    </row>
    <row r="7624" spans="1:2" x14ac:dyDescent="0.25">
      <c r="A7624" s="2">
        <v>7619</v>
      </c>
      <c r="B7624" s="3" t="str">
        <f>"00317622"</f>
        <v>00317622</v>
      </c>
    </row>
    <row r="7625" spans="1:2" x14ac:dyDescent="0.25">
      <c r="A7625" s="2">
        <v>7620</v>
      </c>
      <c r="B7625" s="3" t="str">
        <f>"00317666"</f>
        <v>00317666</v>
      </c>
    </row>
    <row r="7626" spans="1:2" x14ac:dyDescent="0.25">
      <c r="A7626" s="2">
        <v>7621</v>
      </c>
      <c r="B7626" s="3" t="str">
        <f>"00317667"</f>
        <v>00317667</v>
      </c>
    </row>
    <row r="7627" spans="1:2" x14ac:dyDescent="0.25">
      <c r="A7627" s="2">
        <v>7622</v>
      </c>
      <c r="B7627" s="3" t="str">
        <f>"00317691"</f>
        <v>00317691</v>
      </c>
    </row>
    <row r="7628" spans="1:2" x14ac:dyDescent="0.25">
      <c r="A7628" s="2">
        <v>7623</v>
      </c>
      <c r="B7628" s="3" t="str">
        <f>"00317703"</f>
        <v>00317703</v>
      </c>
    </row>
    <row r="7629" spans="1:2" x14ac:dyDescent="0.25">
      <c r="A7629" s="2">
        <v>7624</v>
      </c>
      <c r="B7629" s="3" t="str">
        <f>"00317705"</f>
        <v>00317705</v>
      </c>
    </row>
    <row r="7630" spans="1:2" x14ac:dyDescent="0.25">
      <c r="A7630" s="2">
        <v>7625</v>
      </c>
      <c r="B7630" s="3" t="str">
        <f>"00317706"</f>
        <v>00317706</v>
      </c>
    </row>
    <row r="7631" spans="1:2" x14ac:dyDescent="0.25">
      <c r="A7631" s="2">
        <v>7626</v>
      </c>
      <c r="B7631" s="3" t="str">
        <f>"00317711"</f>
        <v>00317711</v>
      </c>
    </row>
    <row r="7632" spans="1:2" x14ac:dyDescent="0.25">
      <c r="A7632" s="2">
        <v>7627</v>
      </c>
      <c r="B7632" s="3" t="str">
        <f>"00317724"</f>
        <v>00317724</v>
      </c>
    </row>
    <row r="7633" spans="1:2" x14ac:dyDescent="0.25">
      <c r="A7633" s="2">
        <v>7628</v>
      </c>
      <c r="B7633" s="3" t="str">
        <f>"00317730"</f>
        <v>00317730</v>
      </c>
    </row>
    <row r="7634" spans="1:2" x14ac:dyDescent="0.25">
      <c r="A7634" s="2">
        <v>7629</v>
      </c>
      <c r="B7634" s="3" t="str">
        <f>"00317752"</f>
        <v>00317752</v>
      </c>
    </row>
    <row r="7635" spans="1:2" x14ac:dyDescent="0.25">
      <c r="A7635" s="2">
        <v>7630</v>
      </c>
      <c r="B7635" s="3" t="str">
        <f>"00317765"</f>
        <v>00317765</v>
      </c>
    </row>
    <row r="7636" spans="1:2" x14ac:dyDescent="0.25">
      <c r="A7636" s="2">
        <v>7631</v>
      </c>
      <c r="B7636" s="3" t="str">
        <f>"00317778"</f>
        <v>00317778</v>
      </c>
    </row>
    <row r="7637" spans="1:2" x14ac:dyDescent="0.25">
      <c r="A7637" s="2">
        <v>7632</v>
      </c>
      <c r="B7637" s="3" t="str">
        <f>"00317781"</f>
        <v>00317781</v>
      </c>
    </row>
    <row r="7638" spans="1:2" x14ac:dyDescent="0.25">
      <c r="A7638" s="2">
        <v>7633</v>
      </c>
      <c r="B7638" s="3" t="str">
        <f>"00317813"</f>
        <v>00317813</v>
      </c>
    </row>
    <row r="7639" spans="1:2" x14ac:dyDescent="0.25">
      <c r="A7639" s="2">
        <v>7634</v>
      </c>
      <c r="B7639" s="3" t="str">
        <f>"00317816"</f>
        <v>00317816</v>
      </c>
    </row>
    <row r="7640" spans="1:2" x14ac:dyDescent="0.25">
      <c r="A7640" s="2">
        <v>7635</v>
      </c>
      <c r="B7640" s="3" t="str">
        <f>"00317875"</f>
        <v>00317875</v>
      </c>
    </row>
    <row r="7641" spans="1:2" x14ac:dyDescent="0.25">
      <c r="A7641" s="2">
        <v>7636</v>
      </c>
      <c r="B7641" s="3" t="str">
        <f>"00317981"</f>
        <v>00317981</v>
      </c>
    </row>
    <row r="7642" spans="1:2" x14ac:dyDescent="0.25">
      <c r="A7642" s="2">
        <v>7637</v>
      </c>
      <c r="B7642" s="3" t="str">
        <f>"00317987"</f>
        <v>00317987</v>
      </c>
    </row>
    <row r="7643" spans="1:2" x14ac:dyDescent="0.25">
      <c r="A7643" s="2">
        <v>7638</v>
      </c>
      <c r="B7643" s="3" t="str">
        <f>"00317991"</f>
        <v>00317991</v>
      </c>
    </row>
    <row r="7644" spans="1:2" x14ac:dyDescent="0.25">
      <c r="A7644" s="2">
        <v>7639</v>
      </c>
      <c r="B7644" s="3" t="str">
        <f>"00318016"</f>
        <v>00318016</v>
      </c>
    </row>
    <row r="7645" spans="1:2" x14ac:dyDescent="0.25">
      <c r="A7645" s="2">
        <v>7640</v>
      </c>
      <c r="B7645" s="3" t="str">
        <f>"00318017"</f>
        <v>00318017</v>
      </c>
    </row>
    <row r="7646" spans="1:2" x14ac:dyDescent="0.25">
      <c r="A7646" s="2">
        <v>7641</v>
      </c>
      <c r="B7646" s="3" t="str">
        <f>"00318070"</f>
        <v>00318070</v>
      </c>
    </row>
    <row r="7647" spans="1:2" x14ac:dyDescent="0.25">
      <c r="A7647" s="2">
        <v>7642</v>
      </c>
      <c r="B7647" s="3" t="str">
        <f>"00318135"</f>
        <v>00318135</v>
      </c>
    </row>
    <row r="7648" spans="1:2" x14ac:dyDescent="0.25">
      <c r="A7648" s="2">
        <v>7643</v>
      </c>
      <c r="B7648" s="3" t="str">
        <f>"00318179"</f>
        <v>00318179</v>
      </c>
    </row>
    <row r="7649" spans="1:2" x14ac:dyDescent="0.25">
      <c r="A7649" s="2">
        <v>7644</v>
      </c>
      <c r="B7649" s="3" t="str">
        <f>"00318222"</f>
        <v>00318222</v>
      </c>
    </row>
    <row r="7650" spans="1:2" x14ac:dyDescent="0.25">
      <c r="A7650" s="2">
        <v>7645</v>
      </c>
      <c r="B7650" s="3" t="str">
        <f>"00318234"</f>
        <v>00318234</v>
      </c>
    </row>
    <row r="7651" spans="1:2" x14ac:dyDescent="0.25">
      <c r="A7651" s="2">
        <v>7646</v>
      </c>
      <c r="B7651" s="3" t="str">
        <f>"00318251"</f>
        <v>00318251</v>
      </c>
    </row>
    <row r="7652" spans="1:2" x14ac:dyDescent="0.25">
      <c r="A7652" s="2">
        <v>7647</v>
      </c>
      <c r="B7652" s="3" t="str">
        <f>"00318262"</f>
        <v>00318262</v>
      </c>
    </row>
    <row r="7653" spans="1:2" x14ac:dyDescent="0.25">
      <c r="A7653" s="2">
        <v>7648</v>
      </c>
      <c r="B7653" s="3" t="str">
        <f>"00318269"</f>
        <v>00318269</v>
      </c>
    </row>
    <row r="7654" spans="1:2" x14ac:dyDescent="0.25">
      <c r="A7654" s="2">
        <v>7649</v>
      </c>
      <c r="B7654" s="3" t="str">
        <f>"00318285"</f>
        <v>00318285</v>
      </c>
    </row>
    <row r="7655" spans="1:2" x14ac:dyDescent="0.25">
      <c r="A7655" s="2">
        <v>7650</v>
      </c>
      <c r="B7655" s="3" t="str">
        <f>"00318394"</f>
        <v>00318394</v>
      </c>
    </row>
    <row r="7656" spans="1:2" x14ac:dyDescent="0.25">
      <c r="A7656" s="2">
        <v>7651</v>
      </c>
      <c r="B7656" s="3" t="str">
        <f>"00318450"</f>
        <v>00318450</v>
      </c>
    </row>
    <row r="7657" spans="1:2" x14ac:dyDescent="0.25">
      <c r="A7657" s="2">
        <v>7652</v>
      </c>
      <c r="B7657" s="3" t="str">
        <f>"00318465"</f>
        <v>00318465</v>
      </c>
    </row>
    <row r="7658" spans="1:2" x14ac:dyDescent="0.25">
      <c r="A7658" s="2">
        <v>7653</v>
      </c>
      <c r="B7658" s="3" t="str">
        <f>"00318469"</f>
        <v>00318469</v>
      </c>
    </row>
    <row r="7659" spans="1:2" x14ac:dyDescent="0.25">
      <c r="A7659" s="2">
        <v>7654</v>
      </c>
      <c r="B7659" s="3" t="str">
        <f>"00318541"</f>
        <v>00318541</v>
      </c>
    </row>
    <row r="7660" spans="1:2" x14ac:dyDescent="0.25">
      <c r="A7660" s="2">
        <v>7655</v>
      </c>
      <c r="B7660" s="3" t="str">
        <f>"00318573"</f>
        <v>00318573</v>
      </c>
    </row>
    <row r="7661" spans="1:2" x14ac:dyDescent="0.25">
      <c r="A7661" s="2">
        <v>7656</v>
      </c>
      <c r="B7661" s="3" t="str">
        <f>"00318601"</f>
        <v>00318601</v>
      </c>
    </row>
    <row r="7662" spans="1:2" x14ac:dyDescent="0.25">
      <c r="A7662" s="2">
        <v>7657</v>
      </c>
      <c r="B7662" s="3" t="str">
        <f>"00318623"</f>
        <v>00318623</v>
      </c>
    </row>
    <row r="7663" spans="1:2" x14ac:dyDescent="0.25">
      <c r="A7663" s="2">
        <v>7658</v>
      </c>
      <c r="B7663" s="3" t="str">
        <f>"00318636"</f>
        <v>00318636</v>
      </c>
    </row>
    <row r="7664" spans="1:2" x14ac:dyDescent="0.25">
      <c r="A7664" s="2">
        <v>7659</v>
      </c>
      <c r="B7664" s="3" t="str">
        <f>"00318667"</f>
        <v>00318667</v>
      </c>
    </row>
    <row r="7665" spans="1:2" x14ac:dyDescent="0.25">
      <c r="A7665" s="2">
        <v>7660</v>
      </c>
      <c r="B7665" s="3" t="str">
        <f>"00318680"</f>
        <v>00318680</v>
      </c>
    </row>
    <row r="7666" spans="1:2" x14ac:dyDescent="0.25">
      <c r="A7666" s="2">
        <v>7661</v>
      </c>
      <c r="B7666" s="3" t="str">
        <f>"00318685"</f>
        <v>00318685</v>
      </c>
    </row>
    <row r="7667" spans="1:2" x14ac:dyDescent="0.25">
      <c r="A7667" s="2">
        <v>7662</v>
      </c>
      <c r="B7667" s="3" t="str">
        <f>"00318693"</f>
        <v>00318693</v>
      </c>
    </row>
    <row r="7668" spans="1:2" x14ac:dyDescent="0.25">
      <c r="A7668" s="2">
        <v>7663</v>
      </c>
      <c r="B7668" s="3" t="str">
        <f>"00318700"</f>
        <v>00318700</v>
      </c>
    </row>
    <row r="7669" spans="1:2" x14ac:dyDescent="0.25">
      <c r="A7669" s="2">
        <v>7664</v>
      </c>
      <c r="B7669" s="3" t="str">
        <f>"00318709"</f>
        <v>00318709</v>
      </c>
    </row>
    <row r="7670" spans="1:2" x14ac:dyDescent="0.25">
      <c r="A7670" s="2">
        <v>7665</v>
      </c>
      <c r="B7670" s="3" t="str">
        <f>"00318715"</f>
        <v>00318715</v>
      </c>
    </row>
    <row r="7671" spans="1:2" x14ac:dyDescent="0.25">
      <c r="A7671" s="2">
        <v>7666</v>
      </c>
      <c r="B7671" s="3" t="str">
        <f>"00318785"</f>
        <v>00318785</v>
      </c>
    </row>
    <row r="7672" spans="1:2" x14ac:dyDescent="0.25">
      <c r="A7672" s="2">
        <v>7667</v>
      </c>
      <c r="B7672" s="3" t="str">
        <f>"00318787"</f>
        <v>00318787</v>
      </c>
    </row>
    <row r="7673" spans="1:2" x14ac:dyDescent="0.25">
      <c r="A7673" s="2">
        <v>7668</v>
      </c>
      <c r="B7673" s="3" t="str">
        <f>"00318802"</f>
        <v>00318802</v>
      </c>
    </row>
    <row r="7674" spans="1:2" x14ac:dyDescent="0.25">
      <c r="A7674" s="2">
        <v>7669</v>
      </c>
      <c r="B7674" s="3" t="str">
        <f>"00318823"</f>
        <v>00318823</v>
      </c>
    </row>
    <row r="7675" spans="1:2" x14ac:dyDescent="0.25">
      <c r="A7675" s="2">
        <v>7670</v>
      </c>
      <c r="B7675" s="3" t="str">
        <f>"00318832"</f>
        <v>00318832</v>
      </c>
    </row>
    <row r="7676" spans="1:2" x14ac:dyDescent="0.25">
      <c r="A7676" s="2">
        <v>7671</v>
      </c>
      <c r="B7676" s="3" t="str">
        <f>"00318881"</f>
        <v>00318881</v>
      </c>
    </row>
    <row r="7677" spans="1:2" x14ac:dyDescent="0.25">
      <c r="A7677" s="2">
        <v>7672</v>
      </c>
      <c r="B7677" s="3" t="str">
        <f>"00318894"</f>
        <v>00318894</v>
      </c>
    </row>
    <row r="7678" spans="1:2" x14ac:dyDescent="0.25">
      <c r="A7678" s="2">
        <v>7673</v>
      </c>
      <c r="B7678" s="3" t="str">
        <f>"00318896"</f>
        <v>00318896</v>
      </c>
    </row>
    <row r="7679" spans="1:2" x14ac:dyDescent="0.25">
      <c r="A7679" s="2">
        <v>7674</v>
      </c>
      <c r="B7679" s="3" t="str">
        <f>"00318904"</f>
        <v>00318904</v>
      </c>
    </row>
    <row r="7680" spans="1:2" x14ac:dyDescent="0.25">
      <c r="A7680" s="2">
        <v>7675</v>
      </c>
      <c r="B7680" s="3" t="str">
        <f>"00318905"</f>
        <v>00318905</v>
      </c>
    </row>
    <row r="7681" spans="1:2" x14ac:dyDescent="0.25">
      <c r="A7681" s="2">
        <v>7676</v>
      </c>
      <c r="B7681" s="3" t="str">
        <f>"00318923"</f>
        <v>00318923</v>
      </c>
    </row>
    <row r="7682" spans="1:2" x14ac:dyDescent="0.25">
      <c r="A7682" s="2">
        <v>7677</v>
      </c>
      <c r="B7682" s="3" t="str">
        <f>"00318944"</f>
        <v>00318944</v>
      </c>
    </row>
    <row r="7683" spans="1:2" x14ac:dyDescent="0.25">
      <c r="A7683" s="2">
        <v>7678</v>
      </c>
      <c r="B7683" s="3" t="str">
        <f>"00318965"</f>
        <v>00318965</v>
      </c>
    </row>
    <row r="7684" spans="1:2" x14ac:dyDescent="0.25">
      <c r="A7684" s="2">
        <v>7679</v>
      </c>
      <c r="B7684" s="3" t="str">
        <f>"00318976"</f>
        <v>00318976</v>
      </c>
    </row>
    <row r="7685" spans="1:2" x14ac:dyDescent="0.25">
      <c r="A7685" s="2">
        <v>7680</v>
      </c>
      <c r="B7685" s="3" t="str">
        <f>"00319029"</f>
        <v>00319029</v>
      </c>
    </row>
    <row r="7686" spans="1:2" x14ac:dyDescent="0.25">
      <c r="A7686" s="2">
        <v>7681</v>
      </c>
      <c r="B7686" s="3" t="str">
        <f>"00319058"</f>
        <v>00319058</v>
      </c>
    </row>
    <row r="7687" spans="1:2" x14ac:dyDescent="0.25">
      <c r="A7687" s="2">
        <v>7682</v>
      </c>
      <c r="B7687" s="3" t="str">
        <f>"00319059"</f>
        <v>00319059</v>
      </c>
    </row>
    <row r="7688" spans="1:2" x14ac:dyDescent="0.25">
      <c r="A7688" s="2">
        <v>7683</v>
      </c>
      <c r="B7688" s="3" t="str">
        <f>"00319080"</f>
        <v>00319080</v>
      </c>
    </row>
    <row r="7689" spans="1:2" x14ac:dyDescent="0.25">
      <c r="A7689" s="2">
        <v>7684</v>
      </c>
      <c r="B7689" s="3" t="str">
        <f>"00319106"</f>
        <v>00319106</v>
      </c>
    </row>
    <row r="7690" spans="1:2" x14ac:dyDescent="0.25">
      <c r="A7690" s="2">
        <v>7685</v>
      </c>
      <c r="B7690" s="3" t="str">
        <f>"00319164"</f>
        <v>00319164</v>
      </c>
    </row>
    <row r="7691" spans="1:2" x14ac:dyDescent="0.25">
      <c r="A7691" s="2">
        <v>7686</v>
      </c>
      <c r="B7691" s="3" t="str">
        <f>"00319171"</f>
        <v>00319171</v>
      </c>
    </row>
    <row r="7692" spans="1:2" x14ac:dyDescent="0.25">
      <c r="A7692" s="2">
        <v>7687</v>
      </c>
      <c r="B7692" s="3" t="str">
        <f>"00319206"</f>
        <v>00319206</v>
      </c>
    </row>
    <row r="7693" spans="1:2" x14ac:dyDescent="0.25">
      <c r="A7693" s="2">
        <v>7688</v>
      </c>
      <c r="B7693" s="3" t="str">
        <f>"00319210"</f>
        <v>00319210</v>
      </c>
    </row>
    <row r="7694" spans="1:2" x14ac:dyDescent="0.25">
      <c r="A7694" s="2">
        <v>7689</v>
      </c>
      <c r="B7694" s="3" t="str">
        <f>"00319215"</f>
        <v>00319215</v>
      </c>
    </row>
    <row r="7695" spans="1:2" x14ac:dyDescent="0.25">
      <c r="A7695" s="2">
        <v>7690</v>
      </c>
      <c r="B7695" s="3" t="str">
        <f>"00319218"</f>
        <v>00319218</v>
      </c>
    </row>
    <row r="7696" spans="1:2" x14ac:dyDescent="0.25">
      <c r="A7696" s="2">
        <v>7691</v>
      </c>
      <c r="B7696" s="3" t="str">
        <f>"00319223"</f>
        <v>00319223</v>
      </c>
    </row>
    <row r="7697" spans="1:2" x14ac:dyDescent="0.25">
      <c r="A7697" s="2">
        <v>7692</v>
      </c>
      <c r="B7697" s="3" t="str">
        <f>"00319228"</f>
        <v>00319228</v>
      </c>
    </row>
    <row r="7698" spans="1:2" x14ac:dyDescent="0.25">
      <c r="A7698" s="2">
        <v>7693</v>
      </c>
      <c r="B7698" s="3" t="str">
        <f>"00319231"</f>
        <v>00319231</v>
      </c>
    </row>
    <row r="7699" spans="1:2" x14ac:dyDescent="0.25">
      <c r="A7699" s="2">
        <v>7694</v>
      </c>
      <c r="B7699" s="3" t="str">
        <f>"00319244"</f>
        <v>00319244</v>
      </c>
    </row>
    <row r="7700" spans="1:2" x14ac:dyDescent="0.25">
      <c r="A7700" s="2">
        <v>7695</v>
      </c>
      <c r="B7700" s="3" t="str">
        <f>"00319292"</f>
        <v>00319292</v>
      </c>
    </row>
    <row r="7701" spans="1:2" x14ac:dyDescent="0.25">
      <c r="A7701" s="2">
        <v>7696</v>
      </c>
      <c r="B7701" s="3" t="str">
        <f>"00319293"</f>
        <v>00319293</v>
      </c>
    </row>
    <row r="7702" spans="1:2" x14ac:dyDescent="0.25">
      <c r="A7702" s="2">
        <v>7697</v>
      </c>
      <c r="B7702" s="3" t="str">
        <f>"00319335"</f>
        <v>00319335</v>
      </c>
    </row>
    <row r="7703" spans="1:2" x14ac:dyDescent="0.25">
      <c r="A7703" s="2">
        <v>7698</v>
      </c>
      <c r="B7703" s="3" t="str">
        <f>"00319339"</f>
        <v>00319339</v>
      </c>
    </row>
    <row r="7704" spans="1:2" x14ac:dyDescent="0.25">
      <c r="A7704" s="2">
        <v>7699</v>
      </c>
      <c r="B7704" s="3" t="str">
        <f>"00319398"</f>
        <v>00319398</v>
      </c>
    </row>
    <row r="7705" spans="1:2" x14ac:dyDescent="0.25">
      <c r="A7705" s="2">
        <v>7700</v>
      </c>
      <c r="B7705" s="3" t="str">
        <f>"00319420"</f>
        <v>00319420</v>
      </c>
    </row>
    <row r="7706" spans="1:2" x14ac:dyDescent="0.25">
      <c r="A7706" s="2">
        <v>7701</v>
      </c>
      <c r="B7706" s="3" t="str">
        <f>"00319462"</f>
        <v>00319462</v>
      </c>
    </row>
    <row r="7707" spans="1:2" x14ac:dyDescent="0.25">
      <c r="A7707" s="2">
        <v>7702</v>
      </c>
      <c r="B7707" s="3" t="str">
        <f>"00319463"</f>
        <v>00319463</v>
      </c>
    </row>
    <row r="7708" spans="1:2" x14ac:dyDescent="0.25">
      <c r="A7708" s="2">
        <v>7703</v>
      </c>
      <c r="B7708" s="3" t="str">
        <f>"00319467"</f>
        <v>00319467</v>
      </c>
    </row>
    <row r="7709" spans="1:2" x14ac:dyDescent="0.25">
      <c r="A7709" s="2">
        <v>7704</v>
      </c>
      <c r="B7709" s="3" t="str">
        <f>"00319470"</f>
        <v>00319470</v>
      </c>
    </row>
    <row r="7710" spans="1:2" x14ac:dyDescent="0.25">
      <c r="A7710" s="2">
        <v>7705</v>
      </c>
      <c r="B7710" s="3" t="str">
        <f>"00319509"</f>
        <v>00319509</v>
      </c>
    </row>
    <row r="7711" spans="1:2" x14ac:dyDescent="0.25">
      <c r="A7711" s="2">
        <v>7706</v>
      </c>
      <c r="B7711" s="3" t="str">
        <f>"00319520"</f>
        <v>00319520</v>
      </c>
    </row>
    <row r="7712" spans="1:2" x14ac:dyDescent="0.25">
      <c r="A7712" s="2">
        <v>7707</v>
      </c>
      <c r="B7712" s="3" t="str">
        <f>"00319537"</f>
        <v>00319537</v>
      </c>
    </row>
    <row r="7713" spans="1:2" x14ac:dyDescent="0.25">
      <c r="A7713" s="2">
        <v>7708</v>
      </c>
      <c r="B7713" s="3" t="str">
        <f>"00319542"</f>
        <v>00319542</v>
      </c>
    </row>
    <row r="7714" spans="1:2" x14ac:dyDescent="0.25">
      <c r="A7714" s="2">
        <v>7709</v>
      </c>
      <c r="B7714" s="3" t="str">
        <f>"00319568"</f>
        <v>00319568</v>
      </c>
    </row>
    <row r="7715" spans="1:2" x14ac:dyDescent="0.25">
      <c r="A7715" s="2">
        <v>7710</v>
      </c>
      <c r="B7715" s="3" t="str">
        <f>"00319570"</f>
        <v>00319570</v>
      </c>
    </row>
    <row r="7716" spans="1:2" x14ac:dyDescent="0.25">
      <c r="A7716" s="2">
        <v>7711</v>
      </c>
      <c r="B7716" s="3" t="str">
        <f>"00319578"</f>
        <v>00319578</v>
      </c>
    </row>
    <row r="7717" spans="1:2" x14ac:dyDescent="0.25">
      <c r="A7717" s="2">
        <v>7712</v>
      </c>
      <c r="B7717" s="3" t="str">
        <f>"00319631"</f>
        <v>00319631</v>
      </c>
    </row>
    <row r="7718" spans="1:2" x14ac:dyDescent="0.25">
      <c r="A7718" s="2">
        <v>7713</v>
      </c>
      <c r="B7718" s="3" t="str">
        <f>"00319645"</f>
        <v>00319645</v>
      </c>
    </row>
    <row r="7719" spans="1:2" x14ac:dyDescent="0.25">
      <c r="A7719" s="2">
        <v>7714</v>
      </c>
      <c r="B7719" s="3" t="str">
        <f>"00319681"</f>
        <v>00319681</v>
      </c>
    </row>
    <row r="7720" spans="1:2" x14ac:dyDescent="0.25">
      <c r="A7720" s="2">
        <v>7715</v>
      </c>
      <c r="B7720" s="3" t="str">
        <f>"00319698"</f>
        <v>00319698</v>
      </c>
    </row>
    <row r="7721" spans="1:2" x14ac:dyDescent="0.25">
      <c r="A7721" s="2">
        <v>7716</v>
      </c>
      <c r="B7721" s="3" t="str">
        <f>"00319708"</f>
        <v>00319708</v>
      </c>
    </row>
    <row r="7722" spans="1:2" x14ac:dyDescent="0.25">
      <c r="A7722" s="2">
        <v>7717</v>
      </c>
      <c r="B7722" s="3" t="str">
        <f>"00319730"</f>
        <v>00319730</v>
      </c>
    </row>
    <row r="7723" spans="1:2" x14ac:dyDescent="0.25">
      <c r="A7723" s="2">
        <v>7718</v>
      </c>
      <c r="B7723" s="3" t="str">
        <f>"00319737"</f>
        <v>00319737</v>
      </c>
    </row>
    <row r="7724" spans="1:2" x14ac:dyDescent="0.25">
      <c r="A7724" s="2">
        <v>7719</v>
      </c>
      <c r="B7724" s="3" t="str">
        <f>"00319742"</f>
        <v>00319742</v>
      </c>
    </row>
    <row r="7725" spans="1:2" x14ac:dyDescent="0.25">
      <c r="A7725" s="2">
        <v>7720</v>
      </c>
      <c r="B7725" s="3" t="str">
        <f>"00319821"</f>
        <v>00319821</v>
      </c>
    </row>
    <row r="7726" spans="1:2" x14ac:dyDescent="0.25">
      <c r="A7726" s="2">
        <v>7721</v>
      </c>
      <c r="B7726" s="3" t="str">
        <f>"00319867"</f>
        <v>00319867</v>
      </c>
    </row>
    <row r="7727" spans="1:2" x14ac:dyDescent="0.25">
      <c r="A7727" s="2">
        <v>7722</v>
      </c>
      <c r="B7727" s="3" t="str">
        <f>"00319884"</f>
        <v>00319884</v>
      </c>
    </row>
    <row r="7728" spans="1:2" x14ac:dyDescent="0.25">
      <c r="A7728" s="2">
        <v>7723</v>
      </c>
      <c r="B7728" s="3" t="str">
        <f>"00319886"</f>
        <v>00319886</v>
      </c>
    </row>
    <row r="7729" spans="1:2" x14ac:dyDescent="0.25">
      <c r="A7729" s="2">
        <v>7724</v>
      </c>
      <c r="B7729" s="3" t="str">
        <f>"00319904"</f>
        <v>00319904</v>
      </c>
    </row>
    <row r="7730" spans="1:2" x14ac:dyDescent="0.25">
      <c r="A7730" s="2">
        <v>7725</v>
      </c>
      <c r="B7730" s="3" t="str">
        <f>"00319974"</f>
        <v>00319974</v>
      </c>
    </row>
    <row r="7731" spans="1:2" x14ac:dyDescent="0.25">
      <c r="A7731" s="2">
        <v>7726</v>
      </c>
      <c r="B7731" s="3" t="str">
        <f>"00320027"</f>
        <v>00320027</v>
      </c>
    </row>
    <row r="7732" spans="1:2" x14ac:dyDescent="0.25">
      <c r="A7732" s="2">
        <v>7727</v>
      </c>
      <c r="B7732" s="3" t="str">
        <f>"00320054"</f>
        <v>00320054</v>
      </c>
    </row>
    <row r="7733" spans="1:2" x14ac:dyDescent="0.25">
      <c r="A7733" s="2">
        <v>7728</v>
      </c>
      <c r="B7733" s="3" t="str">
        <f>"00320094"</f>
        <v>00320094</v>
      </c>
    </row>
    <row r="7734" spans="1:2" x14ac:dyDescent="0.25">
      <c r="A7734" s="2">
        <v>7729</v>
      </c>
      <c r="B7734" s="3" t="str">
        <f>"00320095"</f>
        <v>00320095</v>
      </c>
    </row>
    <row r="7735" spans="1:2" x14ac:dyDescent="0.25">
      <c r="A7735" s="2">
        <v>7730</v>
      </c>
      <c r="B7735" s="3" t="str">
        <f>"00320105"</f>
        <v>00320105</v>
      </c>
    </row>
    <row r="7736" spans="1:2" x14ac:dyDescent="0.25">
      <c r="A7736" s="2">
        <v>7731</v>
      </c>
      <c r="B7736" s="3" t="str">
        <f>"00320120"</f>
        <v>00320120</v>
      </c>
    </row>
    <row r="7737" spans="1:2" x14ac:dyDescent="0.25">
      <c r="A7737" s="2">
        <v>7732</v>
      </c>
      <c r="B7737" s="3" t="str">
        <f>"00320128"</f>
        <v>00320128</v>
      </c>
    </row>
    <row r="7738" spans="1:2" x14ac:dyDescent="0.25">
      <c r="A7738" s="2">
        <v>7733</v>
      </c>
      <c r="B7738" s="3" t="str">
        <f>"00320162"</f>
        <v>00320162</v>
      </c>
    </row>
    <row r="7739" spans="1:2" x14ac:dyDescent="0.25">
      <c r="A7739" s="2">
        <v>7734</v>
      </c>
      <c r="B7739" s="3" t="str">
        <f>"00320163"</f>
        <v>00320163</v>
      </c>
    </row>
    <row r="7740" spans="1:2" x14ac:dyDescent="0.25">
      <c r="A7740" s="2">
        <v>7735</v>
      </c>
      <c r="B7740" s="3" t="str">
        <f>"00320173"</f>
        <v>00320173</v>
      </c>
    </row>
    <row r="7741" spans="1:2" x14ac:dyDescent="0.25">
      <c r="A7741" s="2">
        <v>7736</v>
      </c>
      <c r="B7741" s="3" t="str">
        <f>"00320177"</f>
        <v>00320177</v>
      </c>
    </row>
    <row r="7742" spans="1:2" x14ac:dyDescent="0.25">
      <c r="A7742" s="2">
        <v>7737</v>
      </c>
      <c r="B7742" s="3" t="str">
        <f>"00320178"</f>
        <v>00320178</v>
      </c>
    </row>
    <row r="7743" spans="1:2" x14ac:dyDescent="0.25">
      <c r="A7743" s="2">
        <v>7738</v>
      </c>
      <c r="B7743" s="3" t="str">
        <f>"00320211"</f>
        <v>00320211</v>
      </c>
    </row>
    <row r="7744" spans="1:2" x14ac:dyDescent="0.25">
      <c r="A7744" s="2">
        <v>7739</v>
      </c>
      <c r="B7744" s="3" t="str">
        <f>"00320254"</f>
        <v>00320254</v>
      </c>
    </row>
    <row r="7745" spans="1:2" x14ac:dyDescent="0.25">
      <c r="A7745" s="2">
        <v>7740</v>
      </c>
      <c r="B7745" s="3" t="str">
        <f>"00320268"</f>
        <v>00320268</v>
      </c>
    </row>
    <row r="7746" spans="1:2" x14ac:dyDescent="0.25">
      <c r="A7746" s="2">
        <v>7741</v>
      </c>
      <c r="B7746" s="3" t="str">
        <f>"00320295"</f>
        <v>00320295</v>
      </c>
    </row>
    <row r="7747" spans="1:2" x14ac:dyDescent="0.25">
      <c r="A7747" s="2">
        <v>7742</v>
      </c>
      <c r="B7747" s="3" t="str">
        <f>"00320310"</f>
        <v>00320310</v>
      </c>
    </row>
    <row r="7748" spans="1:2" x14ac:dyDescent="0.25">
      <c r="A7748" s="2">
        <v>7743</v>
      </c>
      <c r="B7748" s="3" t="str">
        <f>"00320365"</f>
        <v>00320365</v>
      </c>
    </row>
    <row r="7749" spans="1:2" x14ac:dyDescent="0.25">
      <c r="A7749" s="2">
        <v>7744</v>
      </c>
      <c r="B7749" s="3" t="str">
        <f>"00320471"</f>
        <v>00320471</v>
      </c>
    </row>
    <row r="7750" spans="1:2" x14ac:dyDescent="0.25">
      <c r="A7750" s="2">
        <v>7745</v>
      </c>
      <c r="B7750" s="3" t="str">
        <f>"00320477"</f>
        <v>00320477</v>
      </c>
    </row>
    <row r="7751" spans="1:2" x14ac:dyDescent="0.25">
      <c r="A7751" s="2">
        <v>7746</v>
      </c>
      <c r="B7751" s="3" t="str">
        <f>"00320506"</f>
        <v>00320506</v>
      </c>
    </row>
    <row r="7752" spans="1:2" x14ac:dyDescent="0.25">
      <c r="A7752" s="2">
        <v>7747</v>
      </c>
      <c r="B7752" s="3" t="str">
        <f>"00320510"</f>
        <v>00320510</v>
      </c>
    </row>
    <row r="7753" spans="1:2" x14ac:dyDescent="0.25">
      <c r="A7753" s="2">
        <v>7748</v>
      </c>
      <c r="B7753" s="3" t="str">
        <f>"00320537"</f>
        <v>00320537</v>
      </c>
    </row>
    <row r="7754" spans="1:2" x14ac:dyDescent="0.25">
      <c r="A7754" s="2">
        <v>7749</v>
      </c>
      <c r="B7754" s="3" t="str">
        <f>"00320557"</f>
        <v>00320557</v>
      </c>
    </row>
    <row r="7755" spans="1:2" x14ac:dyDescent="0.25">
      <c r="A7755" s="2">
        <v>7750</v>
      </c>
      <c r="B7755" s="3" t="str">
        <f>"00320571"</f>
        <v>00320571</v>
      </c>
    </row>
    <row r="7756" spans="1:2" x14ac:dyDescent="0.25">
      <c r="A7756" s="2">
        <v>7751</v>
      </c>
      <c r="B7756" s="3" t="str">
        <f>"00320595"</f>
        <v>00320595</v>
      </c>
    </row>
    <row r="7757" spans="1:2" x14ac:dyDescent="0.25">
      <c r="A7757" s="2">
        <v>7752</v>
      </c>
      <c r="B7757" s="3" t="str">
        <f>"00320602"</f>
        <v>00320602</v>
      </c>
    </row>
    <row r="7758" spans="1:2" x14ac:dyDescent="0.25">
      <c r="A7758" s="2">
        <v>7753</v>
      </c>
      <c r="B7758" s="3" t="str">
        <f>"00320603"</f>
        <v>00320603</v>
      </c>
    </row>
    <row r="7759" spans="1:2" x14ac:dyDescent="0.25">
      <c r="A7759" s="2">
        <v>7754</v>
      </c>
      <c r="B7759" s="3" t="str">
        <f>"00320670"</f>
        <v>00320670</v>
      </c>
    </row>
    <row r="7760" spans="1:2" x14ac:dyDescent="0.25">
      <c r="A7760" s="2">
        <v>7755</v>
      </c>
      <c r="B7760" s="3" t="str">
        <f>"00320679"</f>
        <v>00320679</v>
      </c>
    </row>
    <row r="7761" spans="1:2" x14ac:dyDescent="0.25">
      <c r="A7761" s="2">
        <v>7756</v>
      </c>
      <c r="B7761" s="3" t="str">
        <f>"00320695"</f>
        <v>00320695</v>
      </c>
    </row>
    <row r="7762" spans="1:2" x14ac:dyDescent="0.25">
      <c r="A7762" s="2">
        <v>7757</v>
      </c>
      <c r="B7762" s="3" t="str">
        <f>"00320697"</f>
        <v>00320697</v>
      </c>
    </row>
    <row r="7763" spans="1:2" x14ac:dyDescent="0.25">
      <c r="A7763" s="2">
        <v>7758</v>
      </c>
      <c r="B7763" s="3" t="str">
        <f>"00320741"</f>
        <v>00320741</v>
      </c>
    </row>
    <row r="7764" spans="1:2" x14ac:dyDescent="0.25">
      <c r="A7764" s="2">
        <v>7759</v>
      </c>
      <c r="B7764" s="3" t="str">
        <f>"00320743"</f>
        <v>00320743</v>
      </c>
    </row>
    <row r="7765" spans="1:2" x14ac:dyDescent="0.25">
      <c r="A7765" s="2">
        <v>7760</v>
      </c>
      <c r="B7765" s="3" t="str">
        <f>"00320771"</f>
        <v>00320771</v>
      </c>
    </row>
    <row r="7766" spans="1:2" x14ac:dyDescent="0.25">
      <c r="A7766" s="2">
        <v>7761</v>
      </c>
      <c r="B7766" s="3" t="str">
        <f>"00320807"</f>
        <v>00320807</v>
      </c>
    </row>
    <row r="7767" spans="1:2" x14ac:dyDescent="0.25">
      <c r="A7767" s="2">
        <v>7762</v>
      </c>
      <c r="B7767" s="3" t="str">
        <f>"00320880"</f>
        <v>00320880</v>
      </c>
    </row>
    <row r="7768" spans="1:2" x14ac:dyDescent="0.25">
      <c r="A7768" s="2">
        <v>7763</v>
      </c>
      <c r="B7768" s="3" t="str">
        <f>"00320916"</f>
        <v>00320916</v>
      </c>
    </row>
    <row r="7769" spans="1:2" x14ac:dyDescent="0.25">
      <c r="A7769" s="2">
        <v>7764</v>
      </c>
      <c r="B7769" s="3" t="str">
        <f>"00320935"</f>
        <v>00320935</v>
      </c>
    </row>
    <row r="7770" spans="1:2" x14ac:dyDescent="0.25">
      <c r="A7770" s="2">
        <v>7765</v>
      </c>
      <c r="B7770" s="3" t="str">
        <f>"00320970"</f>
        <v>00320970</v>
      </c>
    </row>
    <row r="7771" spans="1:2" x14ac:dyDescent="0.25">
      <c r="A7771" s="2">
        <v>7766</v>
      </c>
      <c r="B7771" s="3" t="str">
        <f>"00320977"</f>
        <v>00320977</v>
      </c>
    </row>
    <row r="7772" spans="1:2" x14ac:dyDescent="0.25">
      <c r="A7772" s="2">
        <v>7767</v>
      </c>
      <c r="B7772" s="3" t="str">
        <f>"00320995"</f>
        <v>00320995</v>
      </c>
    </row>
    <row r="7773" spans="1:2" x14ac:dyDescent="0.25">
      <c r="A7773" s="2">
        <v>7768</v>
      </c>
      <c r="B7773" s="3" t="str">
        <f>"00320996"</f>
        <v>00320996</v>
      </c>
    </row>
    <row r="7774" spans="1:2" x14ac:dyDescent="0.25">
      <c r="A7774" s="2">
        <v>7769</v>
      </c>
      <c r="B7774" s="3" t="str">
        <f>"00321027"</f>
        <v>00321027</v>
      </c>
    </row>
    <row r="7775" spans="1:2" x14ac:dyDescent="0.25">
      <c r="A7775" s="2">
        <v>7770</v>
      </c>
      <c r="B7775" s="3" t="str">
        <f>"00321029"</f>
        <v>00321029</v>
      </c>
    </row>
    <row r="7776" spans="1:2" x14ac:dyDescent="0.25">
      <c r="A7776" s="2">
        <v>7771</v>
      </c>
      <c r="B7776" s="3" t="str">
        <f>"00321034"</f>
        <v>00321034</v>
      </c>
    </row>
    <row r="7777" spans="1:2" x14ac:dyDescent="0.25">
      <c r="A7777" s="2">
        <v>7772</v>
      </c>
      <c r="B7777" s="3" t="str">
        <f>"00321040"</f>
        <v>00321040</v>
      </c>
    </row>
    <row r="7778" spans="1:2" x14ac:dyDescent="0.25">
      <c r="A7778" s="2">
        <v>7773</v>
      </c>
      <c r="B7778" s="3" t="str">
        <f>"00321097"</f>
        <v>00321097</v>
      </c>
    </row>
    <row r="7779" spans="1:2" x14ac:dyDescent="0.25">
      <c r="A7779" s="2">
        <v>7774</v>
      </c>
      <c r="B7779" s="3" t="str">
        <f>"00321165"</f>
        <v>00321165</v>
      </c>
    </row>
    <row r="7780" spans="1:2" x14ac:dyDescent="0.25">
      <c r="A7780" s="2">
        <v>7775</v>
      </c>
      <c r="B7780" s="3" t="str">
        <f>"00321166"</f>
        <v>00321166</v>
      </c>
    </row>
    <row r="7781" spans="1:2" x14ac:dyDescent="0.25">
      <c r="A7781" s="2">
        <v>7776</v>
      </c>
      <c r="B7781" s="3" t="str">
        <f>"00321214"</f>
        <v>00321214</v>
      </c>
    </row>
    <row r="7782" spans="1:2" x14ac:dyDescent="0.25">
      <c r="A7782" s="2">
        <v>7777</v>
      </c>
      <c r="B7782" s="3" t="str">
        <f>"00321216"</f>
        <v>00321216</v>
      </c>
    </row>
    <row r="7783" spans="1:2" x14ac:dyDescent="0.25">
      <c r="A7783" s="2">
        <v>7778</v>
      </c>
      <c r="B7783" s="3" t="str">
        <f>"00321226"</f>
        <v>00321226</v>
      </c>
    </row>
    <row r="7784" spans="1:2" x14ac:dyDescent="0.25">
      <c r="A7784" s="2">
        <v>7779</v>
      </c>
      <c r="B7784" s="3" t="str">
        <f>"00321280"</f>
        <v>00321280</v>
      </c>
    </row>
    <row r="7785" spans="1:2" x14ac:dyDescent="0.25">
      <c r="A7785" s="2">
        <v>7780</v>
      </c>
      <c r="B7785" s="3" t="str">
        <f>"00321294"</f>
        <v>00321294</v>
      </c>
    </row>
    <row r="7786" spans="1:2" x14ac:dyDescent="0.25">
      <c r="A7786" s="2">
        <v>7781</v>
      </c>
      <c r="B7786" s="3" t="str">
        <f>"00321295"</f>
        <v>00321295</v>
      </c>
    </row>
    <row r="7787" spans="1:2" x14ac:dyDescent="0.25">
      <c r="A7787" s="2">
        <v>7782</v>
      </c>
      <c r="B7787" s="3" t="str">
        <f>"00321304"</f>
        <v>00321304</v>
      </c>
    </row>
    <row r="7788" spans="1:2" x14ac:dyDescent="0.25">
      <c r="A7788" s="2">
        <v>7783</v>
      </c>
      <c r="B7788" s="3" t="str">
        <f>"00321334"</f>
        <v>00321334</v>
      </c>
    </row>
    <row r="7789" spans="1:2" x14ac:dyDescent="0.25">
      <c r="A7789" s="2">
        <v>7784</v>
      </c>
      <c r="B7789" s="3" t="str">
        <f>"00321335"</f>
        <v>00321335</v>
      </c>
    </row>
    <row r="7790" spans="1:2" x14ac:dyDescent="0.25">
      <c r="A7790" s="2">
        <v>7785</v>
      </c>
      <c r="B7790" s="3" t="str">
        <f>"00321360"</f>
        <v>00321360</v>
      </c>
    </row>
    <row r="7791" spans="1:2" x14ac:dyDescent="0.25">
      <c r="A7791" s="2">
        <v>7786</v>
      </c>
      <c r="B7791" s="3" t="str">
        <f>"00321413"</f>
        <v>00321413</v>
      </c>
    </row>
    <row r="7792" spans="1:2" x14ac:dyDescent="0.25">
      <c r="A7792" s="2">
        <v>7787</v>
      </c>
      <c r="B7792" s="3" t="str">
        <f>"00321481"</f>
        <v>00321481</v>
      </c>
    </row>
    <row r="7793" spans="1:2" x14ac:dyDescent="0.25">
      <c r="A7793" s="2">
        <v>7788</v>
      </c>
      <c r="B7793" s="3" t="str">
        <f>"00321487"</f>
        <v>00321487</v>
      </c>
    </row>
    <row r="7794" spans="1:2" x14ac:dyDescent="0.25">
      <c r="A7794" s="2">
        <v>7789</v>
      </c>
      <c r="B7794" s="3" t="str">
        <f>"00321504"</f>
        <v>00321504</v>
      </c>
    </row>
    <row r="7795" spans="1:2" x14ac:dyDescent="0.25">
      <c r="A7795" s="2">
        <v>7790</v>
      </c>
      <c r="B7795" s="3" t="str">
        <f>"00321535"</f>
        <v>00321535</v>
      </c>
    </row>
    <row r="7796" spans="1:2" x14ac:dyDescent="0.25">
      <c r="A7796" s="2">
        <v>7791</v>
      </c>
      <c r="B7796" s="3" t="str">
        <f>"00321562"</f>
        <v>00321562</v>
      </c>
    </row>
    <row r="7797" spans="1:2" x14ac:dyDescent="0.25">
      <c r="A7797" s="2">
        <v>7792</v>
      </c>
      <c r="B7797" s="3" t="str">
        <f>"00321639"</f>
        <v>00321639</v>
      </c>
    </row>
    <row r="7798" spans="1:2" x14ac:dyDescent="0.25">
      <c r="A7798" s="2">
        <v>7793</v>
      </c>
      <c r="B7798" s="3" t="str">
        <f>"00321649"</f>
        <v>00321649</v>
      </c>
    </row>
    <row r="7799" spans="1:2" x14ac:dyDescent="0.25">
      <c r="A7799" s="2">
        <v>7794</v>
      </c>
      <c r="B7799" s="3" t="str">
        <f>"00321653"</f>
        <v>00321653</v>
      </c>
    </row>
    <row r="7800" spans="1:2" x14ac:dyDescent="0.25">
      <c r="A7800" s="2">
        <v>7795</v>
      </c>
      <c r="B7800" s="3" t="str">
        <f>"00321661"</f>
        <v>00321661</v>
      </c>
    </row>
    <row r="7801" spans="1:2" x14ac:dyDescent="0.25">
      <c r="A7801" s="2">
        <v>7796</v>
      </c>
      <c r="B7801" s="3" t="str">
        <f>"00321841"</f>
        <v>00321841</v>
      </c>
    </row>
    <row r="7802" spans="1:2" x14ac:dyDescent="0.25">
      <c r="A7802" s="2">
        <v>7797</v>
      </c>
      <c r="B7802" s="3" t="str">
        <f>"00321874"</f>
        <v>00321874</v>
      </c>
    </row>
    <row r="7803" spans="1:2" x14ac:dyDescent="0.25">
      <c r="A7803" s="2">
        <v>7798</v>
      </c>
      <c r="B7803" s="3" t="str">
        <f>"00321896"</f>
        <v>00321896</v>
      </c>
    </row>
    <row r="7804" spans="1:2" x14ac:dyDescent="0.25">
      <c r="A7804" s="2">
        <v>7799</v>
      </c>
      <c r="B7804" s="3" t="str">
        <f>"00321906"</f>
        <v>00321906</v>
      </c>
    </row>
    <row r="7805" spans="1:2" x14ac:dyDescent="0.25">
      <c r="A7805" s="2">
        <v>7800</v>
      </c>
      <c r="B7805" s="3" t="str">
        <f>"00321926"</f>
        <v>00321926</v>
      </c>
    </row>
    <row r="7806" spans="1:2" x14ac:dyDescent="0.25">
      <c r="A7806" s="2">
        <v>7801</v>
      </c>
      <c r="B7806" s="3" t="str">
        <f>"00321944"</f>
        <v>00321944</v>
      </c>
    </row>
    <row r="7807" spans="1:2" x14ac:dyDescent="0.25">
      <c r="A7807" s="2">
        <v>7802</v>
      </c>
      <c r="B7807" s="3" t="str">
        <f>"00321986"</f>
        <v>00321986</v>
      </c>
    </row>
    <row r="7808" spans="1:2" x14ac:dyDescent="0.25">
      <c r="A7808" s="2">
        <v>7803</v>
      </c>
      <c r="B7808" s="3" t="str">
        <f>"00322005"</f>
        <v>00322005</v>
      </c>
    </row>
    <row r="7809" spans="1:2" x14ac:dyDescent="0.25">
      <c r="A7809" s="2">
        <v>7804</v>
      </c>
      <c r="B7809" s="3" t="str">
        <f>"00322019"</f>
        <v>00322019</v>
      </c>
    </row>
    <row r="7810" spans="1:2" x14ac:dyDescent="0.25">
      <c r="A7810" s="2">
        <v>7805</v>
      </c>
      <c r="B7810" s="3" t="str">
        <f>"00322026"</f>
        <v>00322026</v>
      </c>
    </row>
    <row r="7811" spans="1:2" x14ac:dyDescent="0.25">
      <c r="A7811" s="2">
        <v>7806</v>
      </c>
      <c r="B7811" s="3" t="str">
        <f>"00322054"</f>
        <v>00322054</v>
      </c>
    </row>
    <row r="7812" spans="1:2" x14ac:dyDescent="0.25">
      <c r="A7812" s="2">
        <v>7807</v>
      </c>
      <c r="B7812" s="3" t="str">
        <f>"00322061"</f>
        <v>00322061</v>
      </c>
    </row>
    <row r="7813" spans="1:2" x14ac:dyDescent="0.25">
      <c r="A7813" s="2">
        <v>7808</v>
      </c>
      <c r="B7813" s="3" t="str">
        <f>"00322075"</f>
        <v>00322075</v>
      </c>
    </row>
    <row r="7814" spans="1:2" x14ac:dyDescent="0.25">
      <c r="A7814" s="2">
        <v>7809</v>
      </c>
      <c r="B7814" s="3" t="str">
        <f>"00322097"</f>
        <v>00322097</v>
      </c>
    </row>
    <row r="7815" spans="1:2" x14ac:dyDescent="0.25">
      <c r="A7815" s="2">
        <v>7810</v>
      </c>
      <c r="B7815" s="3" t="str">
        <f>"00322101"</f>
        <v>00322101</v>
      </c>
    </row>
    <row r="7816" spans="1:2" x14ac:dyDescent="0.25">
      <c r="A7816" s="2">
        <v>7811</v>
      </c>
      <c r="B7816" s="3" t="str">
        <f>"00322128"</f>
        <v>00322128</v>
      </c>
    </row>
    <row r="7817" spans="1:2" x14ac:dyDescent="0.25">
      <c r="A7817" s="2">
        <v>7812</v>
      </c>
      <c r="B7817" s="3" t="str">
        <f>"00322292"</f>
        <v>00322292</v>
      </c>
    </row>
    <row r="7818" spans="1:2" x14ac:dyDescent="0.25">
      <c r="A7818" s="2">
        <v>7813</v>
      </c>
      <c r="B7818" s="3" t="str">
        <f>"00322344"</f>
        <v>00322344</v>
      </c>
    </row>
    <row r="7819" spans="1:2" x14ac:dyDescent="0.25">
      <c r="A7819" s="2">
        <v>7814</v>
      </c>
      <c r="B7819" s="3" t="str">
        <f>"00322353"</f>
        <v>00322353</v>
      </c>
    </row>
    <row r="7820" spans="1:2" x14ac:dyDescent="0.25">
      <c r="A7820" s="2">
        <v>7815</v>
      </c>
      <c r="B7820" s="3" t="str">
        <f>"00322374"</f>
        <v>00322374</v>
      </c>
    </row>
    <row r="7821" spans="1:2" x14ac:dyDescent="0.25">
      <c r="A7821" s="2">
        <v>7816</v>
      </c>
      <c r="B7821" s="3" t="str">
        <f>"00322414"</f>
        <v>00322414</v>
      </c>
    </row>
    <row r="7822" spans="1:2" x14ac:dyDescent="0.25">
      <c r="A7822" s="2">
        <v>7817</v>
      </c>
      <c r="B7822" s="3" t="str">
        <f>"00322425"</f>
        <v>00322425</v>
      </c>
    </row>
    <row r="7823" spans="1:2" x14ac:dyDescent="0.25">
      <c r="A7823" s="2">
        <v>7818</v>
      </c>
      <c r="B7823" s="3" t="str">
        <f>"00322455"</f>
        <v>00322455</v>
      </c>
    </row>
    <row r="7824" spans="1:2" x14ac:dyDescent="0.25">
      <c r="A7824" s="2">
        <v>7819</v>
      </c>
      <c r="B7824" s="3" t="str">
        <f>"00322480"</f>
        <v>00322480</v>
      </c>
    </row>
    <row r="7825" spans="1:2" x14ac:dyDescent="0.25">
      <c r="A7825" s="2">
        <v>7820</v>
      </c>
      <c r="B7825" s="3" t="str">
        <f>"00322482"</f>
        <v>00322482</v>
      </c>
    </row>
    <row r="7826" spans="1:2" x14ac:dyDescent="0.25">
      <c r="A7826" s="2">
        <v>7821</v>
      </c>
      <c r="B7826" s="3" t="str">
        <f>"00322521"</f>
        <v>00322521</v>
      </c>
    </row>
    <row r="7827" spans="1:2" x14ac:dyDescent="0.25">
      <c r="A7827" s="2">
        <v>7822</v>
      </c>
      <c r="B7827" s="3" t="str">
        <f>"00322554"</f>
        <v>00322554</v>
      </c>
    </row>
    <row r="7828" spans="1:2" x14ac:dyDescent="0.25">
      <c r="A7828" s="2">
        <v>7823</v>
      </c>
      <c r="B7828" s="3" t="str">
        <f>"00322587"</f>
        <v>00322587</v>
      </c>
    </row>
    <row r="7829" spans="1:2" x14ac:dyDescent="0.25">
      <c r="A7829" s="2">
        <v>7824</v>
      </c>
      <c r="B7829" s="3" t="str">
        <f>"00322609"</f>
        <v>00322609</v>
      </c>
    </row>
    <row r="7830" spans="1:2" x14ac:dyDescent="0.25">
      <c r="A7830" s="2">
        <v>7825</v>
      </c>
      <c r="B7830" s="3" t="str">
        <f>"00322628"</f>
        <v>00322628</v>
      </c>
    </row>
    <row r="7831" spans="1:2" x14ac:dyDescent="0.25">
      <c r="A7831" s="2">
        <v>7826</v>
      </c>
      <c r="B7831" s="3" t="str">
        <f>"00322667"</f>
        <v>00322667</v>
      </c>
    </row>
    <row r="7832" spans="1:2" x14ac:dyDescent="0.25">
      <c r="A7832" s="2">
        <v>7827</v>
      </c>
      <c r="B7832" s="3" t="str">
        <f>"00322670"</f>
        <v>00322670</v>
      </c>
    </row>
    <row r="7833" spans="1:2" x14ac:dyDescent="0.25">
      <c r="A7833" s="2">
        <v>7828</v>
      </c>
      <c r="B7833" s="3" t="str">
        <f>"00322674"</f>
        <v>00322674</v>
      </c>
    </row>
    <row r="7834" spans="1:2" x14ac:dyDescent="0.25">
      <c r="A7834" s="2">
        <v>7829</v>
      </c>
      <c r="B7834" s="3" t="str">
        <f>"00322682"</f>
        <v>00322682</v>
      </c>
    </row>
    <row r="7835" spans="1:2" x14ac:dyDescent="0.25">
      <c r="A7835" s="2">
        <v>7830</v>
      </c>
      <c r="B7835" s="3" t="str">
        <f>"00322696"</f>
        <v>00322696</v>
      </c>
    </row>
    <row r="7836" spans="1:2" x14ac:dyDescent="0.25">
      <c r="A7836" s="2">
        <v>7831</v>
      </c>
      <c r="B7836" s="3" t="str">
        <f>"00322724"</f>
        <v>00322724</v>
      </c>
    </row>
    <row r="7837" spans="1:2" x14ac:dyDescent="0.25">
      <c r="A7837" s="2">
        <v>7832</v>
      </c>
      <c r="B7837" s="3" t="str">
        <f>"00322725"</f>
        <v>00322725</v>
      </c>
    </row>
    <row r="7838" spans="1:2" x14ac:dyDescent="0.25">
      <c r="A7838" s="2">
        <v>7833</v>
      </c>
      <c r="B7838" s="3" t="str">
        <f>"00322771"</f>
        <v>00322771</v>
      </c>
    </row>
    <row r="7839" spans="1:2" x14ac:dyDescent="0.25">
      <c r="A7839" s="2">
        <v>7834</v>
      </c>
      <c r="B7839" s="3" t="str">
        <f>"00322779"</f>
        <v>00322779</v>
      </c>
    </row>
    <row r="7840" spans="1:2" x14ac:dyDescent="0.25">
      <c r="A7840" s="2">
        <v>7835</v>
      </c>
      <c r="B7840" s="3" t="str">
        <f>"00322800"</f>
        <v>00322800</v>
      </c>
    </row>
    <row r="7841" spans="1:2" x14ac:dyDescent="0.25">
      <c r="A7841" s="2">
        <v>7836</v>
      </c>
      <c r="B7841" s="3" t="str">
        <f>"00322846"</f>
        <v>00322846</v>
      </c>
    </row>
    <row r="7842" spans="1:2" x14ac:dyDescent="0.25">
      <c r="A7842" s="2">
        <v>7837</v>
      </c>
      <c r="B7842" s="3" t="str">
        <f>"00322894"</f>
        <v>00322894</v>
      </c>
    </row>
    <row r="7843" spans="1:2" x14ac:dyDescent="0.25">
      <c r="A7843" s="2">
        <v>7838</v>
      </c>
      <c r="B7843" s="3" t="str">
        <f>"00322903"</f>
        <v>00322903</v>
      </c>
    </row>
    <row r="7844" spans="1:2" x14ac:dyDescent="0.25">
      <c r="A7844" s="2">
        <v>7839</v>
      </c>
      <c r="B7844" s="3" t="str">
        <f>"00322970"</f>
        <v>00322970</v>
      </c>
    </row>
    <row r="7845" spans="1:2" x14ac:dyDescent="0.25">
      <c r="A7845" s="2">
        <v>7840</v>
      </c>
      <c r="B7845" s="3" t="str">
        <f>"00323097"</f>
        <v>00323097</v>
      </c>
    </row>
    <row r="7846" spans="1:2" x14ac:dyDescent="0.25">
      <c r="A7846" s="2">
        <v>7841</v>
      </c>
      <c r="B7846" s="3" t="str">
        <f>"00323135"</f>
        <v>00323135</v>
      </c>
    </row>
    <row r="7847" spans="1:2" x14ac:dyDescent="0.25">
      <c r="A7847" s="2">
        <v>7842</v>
      </c>
      <c r="B7847" s="3" t="str">
        <f>"00323137"</f>
        <v>00323137</v>
      </c>
    </row>
    <row r="7848" spans="1:2" x14ac:dyDescent="0.25">
      <c r="A7848" s="2">
        <v>7843</v>
      </c>
      <c r="B7848" s="3" t="str">
        <f>"00323148"</f>
        <v>00323148</v>
      </c>
    </row>
    <row r="7849" spans="1:2" x14ac:dyDescent="0.25">
      <c r="A7849" s="2">
        <v>7844</v>
      </c>
      <c r="B7849" s="3" t="str">
        <f>"00323166"</f>
        <v>00323166</v>
      </c>
    </row>
    <row r="7850" spans="1:2" x14ac:dyDescent="0.25">
      <c r="A7850" s="2">
        <v>7845</v>
      </c>
      <c r="B7850" s="3" t="str">
        <f>"00323190"</f>
        <v>00323190</v>
      </c>
    </row>
    <row r="7851" spans="1:2" x14ac:dyDescent="0.25">
      <c r="A7851" s="2">
        <v>7846</v>
      </c>
      <c r="B7851" s="3" t="str">
        <f>"00323270"</f>
        <v>00323270</v>
      </c>
    </row>
    <row r="7852" spans="1:2" x14ac:dyDescent="0.25">
      <c r="A7852" s="2">
        <v>7847</v>
      </c>
      <c r="B7852" s="3" t="str">
        <f>"00323337"</f>
        <v>00323337</v>
      </c>
    </row>
    <row r="7853" spans="1:2" x14ac:dyDescent="0.25">
      <c r="A7853" s="2">
        <v>7848</v>
      </c>
      <c r="B7853" s="3" t="str">
        <f>"00323387"</f>
        <v>00323387</v>
      </c>
    </row>
    <row r="7854" spans="1:2" x14ac:dyDescent="0.25">
      <c r="A7854" s="2">
        <v>7849</v>
      </c>
      <c r="B7854" s="3" t="str">
        <f>"00323397"</f>
        <v>00323397</v>
      </c>
    </row>
    <row r="7855" spans="1:2" x14ac:dyDescent="0.25">
      <c r="A7855" s="2">
        <v>7850</v>
      </c>
      <c r="B7855" s="3" t="str">
        <f>"00323416"</f>
        <v>00323416</v>
      </c>
    </row>
    <row r="7856" spans="1:2" x14ac:dyDescent="0.25">
      <c r="A7856" s="2">
        <v>7851</v>
      </c>
      <c r="B7856" s="3" t="str">
        <f>"00323444"</f>
        <v>00323444</v>
      </c>
    </row>
    <row r="7857" spans="1:2" x14ac:dyDescent="0.25">
      <c r="A7857" s="2">
        <v>7852</v>
      </c>
      <c r="B7857" s="3" t="str">
        <f>"00323447"</f>
        <v>00323447</v>
      </c>
    </row>
    <row r="7858" spans="1:2" x14ac:dyDescent="0.25">
      <c r="A7858" s="2">
        <v>7853</v>
      </c>
      <c r="B7858" s="3" t="str">
        <f>"00323489"</f>
        <v>00323489</v>
      </c>
    </row>
    <row r="7859" spans="1:2" x14ac:dyDescent="0.25">
      <c r="A7859" s="2">
        <v>7854</v>
      </c>
      <c r="B7859" s="3" t="str">
        <f>"00323521"</f>
        <v>00323521</v>
      </c>
    </row>
    <row r="7860" spans="1:2" x14ac:dyDescent="0.25">
      <c r="A7860" s="2">
        <v>7855</v>
      </c>
      <c r="B7860" s="3" t="str">
        <f>"00323542"</f>
        <v>00323542</v>
      </c>
    </row>
    <row r="7861" spans="1:2" x14ac:dyDescent="0.25">
      <c r="A7861" s="2">
        <v>7856</v>
      </c>
      <c r="B7861" s="3" t="str">
        <f>"00323558"</f>
        <v>00323558</v>
      </c>
    </row>
    <row r="7862" spans="1:2" x14ac:dyDescent="0.25">
      <c r="A7862" s="2">
        <v>7857</v>
      </c>
      <c r="B7862" s="3" t="str">
        <f>"00323566"</f>
        <v>00323566</v>
      </c>
    </row>
    <row r="7863" spans="1:2" x14ac:dyDescent="0.25">
      <c r="A7863" s="2">
        <v>7858</v>
      </c>
      <c r="B7863" s="3" t="str">
        <f>"00323575"</f>
        <v>00323575</v>
      </c>
    </row>
    <row r="7864" spans="1:2" x14ac:dyDescent="0.25">
      <c r="A7864" s="2">
        <v>7859</v>
      </c>
      <c r="B7864" s="3" t="str">
        <f>"00323585"</f>
        <v>00323585</v>
      </c>
    </row>
    <row r="7865" spans="1:2" x14ac:dyDescent="0.25">
      <c r="A7865" s="2">
        <v>7860</v>
      </c>
      <c r="B7865" s="3" t="str">
        <f>"00323596"</f>
        <v>00323596</v>
      </c>
    </row>
    <row r="7866" spans="1:2" x14ac:dyDescent="0.25">
      <c r="A7866" s="2">
        <v>7861</v>
      </c>
      <c r="B7866" s="3" t="str">
        <f>"00323621"</f>
        <v>00323621</v>
      </c>
    </row>
    <row r="7867" spans="1:2" x14ac:dyDescent="0.25">
      <c r="A7867" s="2">
        <v>7862</v>
      </c>
      <c r="B7867" s="3" t="str">
        <f>"00323623"</f>
        <v>00323623</v>
      </c>
    </row>
    <row r="7868" spans="1:2" x14ac:dyDescent="0.25">
      <c r="A7868" s="2">
        <v>7863</v>
      </c>
      <c r="B7868" s="3" t="str">
        <f>"00323668"</f>
        <v>00323668</v>
      </c>
    </row>
    <row r="7869" spans="1:2" x14ac:dyDescent="0.25">
      <c r="A7869" s="2">
        <v>7864</v>
      </c>
      <c r="B7869" s="3" t="str">
        <f>"00323757"</f>
        <v>00323757</v>
      </c>
    </row>
    <row r="7870" spans="1:2" x14ac:dyDescent="0.25">
      <c r="A7870" s="2">
        <v>7865</v>
      </c>
      <c r="B7870" s="3" t="str">
        <f>"00323765"</f>
        <v>00323765</v>
      </c>
    </row>
    <row r="7871" spans="1:2" x14ac:dyDescent="0.25">
      <c r="A7871" s="2">
        <v>7866</v>
      </c>
      <c r="B7871" s="3" t="str">
        <f>"00323767"</f>
        <v>00323767</v>
      </c>
    </row>
    <row r="7872" spans="1:2" x14ac:dyDescent="0.25">
      <c r="A7872" s="2">
        <v>7867</v>
      </c>
      <c r="B7872" s="3" t="str">
        <f>"00323789"</f>
        <v>00323789</v>
      </c>
    </row>
    <row r="7873" spans="1:2" x14ac:dyDescent="0.25">
      <c r="A7873" s="2">
        <v>7868</v>
      </c>
      <c r="B7873" s="3" t="str">
        <f>"00323791"</f>
        <v>00323791</v>
      </c>
    </row>
    <row r="7874" spans="1:2" x14ac:dyDescent="0.25">
      <c r="A7874" s="2">
        <v>7869</v>
      </c>
      <c r="B7874" s="3" t="str">
        <f>"00323870"</f>
        <v>00323870</v>
      </c>
    </row>
    <row r="7875" spans="1:2" x14ac:dyDescent="0.25">
      <c r="A7875" s="2">
        <v>7870</v>
      </c>
      <c r="B7875" s="3" t="str">
        <f>"00323929"</f>
        <v>00323929</v>
      </c>
    </row>
    <row r="7876" spans="1:2" x14ac:dyDescent="0.25">
      <c r="A7876" s="2">
        <v>7871</v>
      </c>
      <c r="B7876" s="3" t="str">
        <f>"00323931"</f>
        <v>00323931</v>
      </c>
    </row>
    <row r="7877" spans="1:2" x14ac:dyDescent="0.25">
      <c r="A7877" s="2">
        <v>7872</v>
      </c>
      <c r="B7877" s="3" t="str">
        <f>"00323941"</f>
        <v>00323941</v>
      </c>
    </row>
    <row r="7878" spans="1:2" x14ac:dyDescent="0.25">
      <c r="A7878" s="2">
        <v>7873</v>
      </c>
      <c r="B7878" s="3" t="str">
        <f>"00323961"</f>
        <v>00323961</v>
      </c>
    </row>
    <row r="7879" spans="1:2" x14ac:dyDescent="0.25">
      <c r="A7879" s="2">
        <v>7874</v>
      </c>
      <c r="B7879" s="3" t="str">
        <f>"00323987"</f>
        <v>00323987</v>
      </c>
    </row>
    <row r="7880" spans="1:2" x14ac:dyDescent="0.25">
      <c r="A7880" s="2">
        <v>7875</v>
      </c>
      <c r="B7880" s="3" t="str">
        <f>"00324099"</f>
        <v>00324099</v>
      </c>
    </row>
    <row r="7881" spans="1:2" x14ac:dyDescent="0.25">
      <c r="A7881" s="2">
        <v>7876</v>
      </c>
      <c r="B7881" s="3" t="str">
        <f>"00324169"</f>
        <v>00324169</v>
      </c>
    </row>
    <row r="7882" spans="1:2" x14ac:dyDescent="0.25">
      <c r="A7882" s="2">
        <v>7877</v>
      </c>
      <c r="B7882" s="3" t="str">
        <f>"00324176"</f>
        <v>00324176</v>
      </c>
    </row>
    <row r="7883" spans="1:2" x14ac:dyDescent="0.25">
      <c r="A7883" s="2">
        <v>7878</v>
      </c>
      <c r="B7883" s="3" t="str">
        <f>"00324180"</f>
        <v>00324180</v>
      </c>
    </row>
    <row r="7884" spans="1:2" x14ac:dyDescent="0.25">
      <c r="A7884" s="2">
        <v>7879</v>
      </c>
      <c r="B7884" s="3" t="str">
        <f>"00324201"</f>
        <v>00324201</v>
      </c>
    </row>
    <row r="7885" spans="1:2" x14ac:dyDescent="0.25">
      <c r="A7885" s="2">
        <v>7880</v>
      </c>
      <c r="B7885" s="3" t="str">
        <f>"00324219"</f>
        <v>00324219</v>
      </c>
    </row>
    <row r="7886" spans="1:2" x14ac:dyDescent="0.25">
      <c r="A7886" s="2">
        <v>7881</v>
      </c>
      <c r="B7886" s="3" t="str">
        <f>"00324258"</f>
        <v>00324258</v>
      </c>
    </row>
    <row r="7887" spans="1:2" x14ac:dyDescent="0.25">
      <c r="A7887" s="2">
        <v>7882</v>
      </c>
      <c r="B7887" s="3" t="str">
        <f>"00324268"</f>
        <v>00324268</v>
      </c>
    </row>
    <row r="7888" spans="1:2" x14ac:dyDescent="0.25">
      <c r="A7888" s="2">
        <v>7883</v>
      </c>
      <c r="B7888" s="3" t="str">
        <f>"00324271"</f>
        <v>00324271</v>
      </c>
    </row>
    <row r="7889" spans="1:2" x14ac:dyDescent="0.25">
      <c r="A7889" s="2">
        <v>7884</v>
      </c>
      <c r="B7889" s="3" t="str">
        <f>"00324292"</f>
        <v>00324292</v>
      </c>
    </row>
    <row r="7890" spans="1:2" x14ac:dyDescent="0.25">
      <c r="A7890" s="2">
        <v>7885</v>
      </c>
      <c r="B7890" s="3" t="str">
        <f>"00324300"</f>
        <v>00324300</v>
      </c>
    </row>
    <row r="7891" spans="1:2" x14ac:dyDescent="0.25">
      <c r="A7891" s="2">
        <v>7886</v>
      </c>
      <c r="B7891" s="3" t="str">
        <f>"00324319"</f>
        <v>00324319</v>
      </c>
    </row>
    <row r="7892" spans="1:2" x14ac:dyDescent="0.25">
      <c r="A7892" s="2">
        <v>7887</v>
      </c>
      <c r="B7892" s="3" t="str">
        <f>"00324478"</f>
        <v>00324478</v>
      </c>
    </row>
    <row r="7893" spans="1:2" x14ac:dyDescent="0.25">
      <c r="A7893" s="2">
        <v>7888</v>
      </c>
      <c r="B7893" s="3" t="str">
        <f>"00324498"</f>
        <v>00324498</v>
      </c>
    </row>
    <row r="7894" spans="1:2" x14ac:dyDescent="0.25">
      <c r="A7894" s="2">
        <v>7889</v>
      </c>
      <c r="B7894" s="3" t="str">
        <f>"00324518"</f>
        <v>00324518</v>
      </c>
    </row>
    <row r="7895" spans="1:2" x14ac:dyDescent="0.25">
      <c r="A7895" s="2">
        <v>7890</v>
      </c>
      <c r="B7895" s="3" t="str">
        <f>"00324539"</f>
        <v>00324539</v>
      </c>
    </row>
    <row r="7896" spans="1:2" x14ac:dyDescent="0.25">
      <c r="A7896" s="2">
        <v>7891</v>
      </c>
      <c r="B7896" s="3" t="str">
        <f>"00324722"</f>
        <v>00324722</v>
      </c>
    </row>
    <row r="7897" spans="1:2" x14ac:dyDescent="0.25">
      <c r="A7897" s="2">
        <v>7892</v>
      </c>
      <c r="B7897" s="3" t="str">
        <f>"00324819"</f>
        <v>00324819</v>
      </c>
    </row>
    <row r="7898" spans="1:2" x14ac:dyDescent="0.25">
      <c r="A7898" s="2">
        <v>7893</v>
      </c>
      <c r="B7898" s="3" t="str">
        <f>"00324865"</f>
        <v>00324865</v>
      </c>
    </row>
    <row r="7899" spans="1:2" x14ac:dyDescent="0.25">
      <c r="A7899" s="2">
        <v>7894</v>
      </c>
      <c r="B7899" s="3" t="str">
        <f>"00324868"</f>
        <v>00324868</v>
      </c>
    </row>
    <row r="7900" spans="1:2" x14ac:dyDescent="0.25">
      <c r="A7900" s="2">
        <v>7895</v>
      </c>
      <c r="B7900" s="3" t="str">
        <f>"00324886"</f>
        <v>00324886</v>
      </c>
    </row>
    <row r="7901" spans="1:2" x14ac:dyDescent="0.25">
      <c r="A7901" s="2">
        <v>7896</v>
      </c>
      <c r="B7901" s="3" t="str">
        <f>"00324891"</f>
        <v>00324891</v>
      </c>
    </row>
    <row r="7902" spans="1:2" x14ac:dyDescent="0.25">
      <c r="A7902" s="2">
        <v>7897</v>
      </c>
      <c r="B7902" s="3" t="str">
        <f>"00324892"</f>
        <v>00324892</v>
      </c>
    </row>
    <row r="7903" spans="1:2" x14ac:dyDescent="0.25">
      <c r="A7903" s="2">
        <v>7898</v>
      </c>
      <c r="B7903" s="3" t="str">
        <f>"00324930"</f>
        <v>00324930</v>
      </c>
    </row>
    <row r="7904" spans="1:2" x14ac:dyDescent="0.25">
      <c r="A7904" s="2">
        <v>7899</v>
      </c>
      <c r="B7904" s="3" t="str">
        <f>"00324945"</f>
        <v>00324945</v>
      </c>
    </row>
    <row r="7905" spans="1:2" x14ac:dyDescent="0.25">
      <c r="A7905" s="2">
        <v>7900</v>
      </c>
      <c r="B7905" s="3" t="str">
        <f>"00324962"</f>
        <v>00324962</v>
      </c>
    </row>
    <row r="7906" spans="1:2" x14ac:dyDescent="0.25">
      <c r="A7906" s="2">
        <v>7901</v>
      </c>
      <c r="B7906" s="3" t="str">
        <f>"00324975"</f>
        <v>00324975</v>
      </c>
    </row>
    <row r="7907" spans="1:2" x14ac:dyDescent="0.25">
      <c r="A7907" s="2">
        <v>7902</v>
      </c>
      <c r="B7907" s="3" t="str">
        <f>"00325009"</f>
        <v>00325009</v>
      </c>
    </row>
    <row r="7908" spans="1:2" x14ac:dyDescent="0.25">
      <c r="A7908" s="2">
        <v>7903</v>
      </c>
      <c r="B7908" s="3" t="str">
        <f>"00325029"</f>
        <v>00325029</v>
      </c>
    </row>
    <row r="7909" spans="1:2" x14ac:dyDescent="0.25">
      <c r="A7909" s="2">
        <v>7904</v>
      </c>
      <c r="B7909" s="3" t="str">
        <f>"00325033"</f>
        <v>00325033</v>
      </c>
    </row>
    <row r="7910" spans="1:2" x14ac:dyDescent="0.25">
      <c r="A7910" s="2">
        <v>7905</v>
      </c>
      <c r="B7910" s="3" t="str">
        <f>"00325112"</f>
        <v>00325112</v>
      </c>
    </row>
    <row r="7911" spans="1:2" x14ac:dyDescent="0.25">
      <c r="A7911" s="2">
        <v>7906</v>
      </c>
      <c r="B7911" s="3" t="str">
        <f>"00325125"</f>
        <v>00325125</v>
      </c>
    </row>
    <row r="7912" spans="1:2" x14ac:dyDescent="0.25">
      <c r="A7912" s="2">
        <v>7907</v>
      </c>
      <c r="B7912" s="3" t="str">
        <f>"00325139"</f>
        <v>00325139</v>
      </c>
    </row>
    <row r="7913" spans="1:2" x14ac:dyDescent="0.25">
      <c r="A7913" s="2">
        <v>7908</v>
      </c>
      <c r="B7913" s="3" t="str">
        <f>"00325162"</f>
        <v>00325162</v>
      </c>
    </row>
    <row r="7914" spans="1:2" x14ac:dyDescent="0.25">
      <c r="A7914" s="2">
        <v>7909</v>
      </c>
      <c r="B7914" s="3" t="str">
        <f>"00325169"</f>
        <v>00325169</v>
      </c>
    </row>
    <row r="7915" spans="1:2" x14ac:dyDescent="0.25">
      <c r="A7915" s="2">
        <v>7910</v>
      </c>
      <c r="B7915" s="3" t="str">
        <f>"00325171"</f>
        <v>00325171</v>
      </c>
    </row>
    <row r="7916" spans="1:2" x14ac:dyDescent="0.25">
      <c r="A7916" s="2">
        <v>7911</v>
      </c>
      <c r="B7916" s="3" t="str">
        <f>"00325178"</f>
        <v>00325178</v>
      </c>
    </row>
    <row r="7917" spans="1:2" x14ac:dyDescent="0.25">
      <c r="A7917" s="2">
        <v>7912</v>
      </c>
      <c r="B7917" s="3" t="str">
        <f>"00325181"</f>
        <v>00325181</v>
      </c>
    </row>
    <row r="7918" spans="1:2" x14ac:dyDescent="0.25">
      <c r="A7918" s="2">
        <v>7913</v>
      </c>
      <c r="B7918" s="3" t="str">
        <f>"00325246"</f>
        <v>00325246</v>
      </c>
    </row>
    <row r="7919" spans="1:2" x14ac:dyDescent="0.25">
      <c r="A7919" s="2">
        <v>7914</v>
      </c>
      <c r="B7919" s="3" t="str">
        <f>"00325324"</f>
        <v>00325324</v>
      </c>
    </row>
    <row r="7920" spans="1:2" x14ac:dyDescent="0.25">
      <c r="A7920" s="2">
        <v>7915</v>
      </c>
      <c r="B7920" s="3" t="str">
        <f>"00325343"</f>
        <v>00325343</v>
      </c>
    </row>
    <row r="7921" spans="1:2" x14ac:dyDescent="0.25">
      <c r="A7921" s="2">
        <v>7916</v>
      </c>
      <c r="B7921" s="3" t="str">
        <f>"00325374"</f>
        <v>00325374</v>
      </c>
    </row>
    <row r="7922" spans="1:2" x14ac:dyDescent="0.25">
      <c r="A7922" s="2">
        <v>7917</v>
      </c>
      <c r="B7922" s="3" t="str">
        <f>"00325409"</f>
        <v>00325409</v>
      </c>
    </row>
    <row r="7923" spans="1:2" x14ac:dyDescent="0.25">
      <c r="A7923" s="2">
        <v>7918</v>
      </c>
      <c r="B7923" s="3" t="str">
        <f>"00325419"</f>
        <v>00325419</v>
      </c>
    </row>
    <row r="7924" spans="1:2" x14ac:dyDescent="0.25">
      <c r="A7924" s="2">
        <v>7919</v>
      </c>
      <c r="B7924" s="3" t="str">
        <f>"00325443"</f>
        <v>00325443</v>
      </c>
    </row>
    <row r="7925" spans="1:2" x14ac:dyDescent="0.25">
      <c r="A7925" s="2">
        <v>7920</v>
      </c>
      <c r="B7925" s="3" t="str">
        <f>"00325586"</f>
        <v>00325586</v>
      </c>
    </row>
    <row r="7926" spans="1:2" x14ac:dyDescent="0.25">
      <c r="A7926" s="2">
        <v>7921</v>
      </c>
      <c r="B7926" s="3" t="str">
        <f>"00325612"</f>
        <v>00325612</v>
      </c>
    </row>
    <row r="7927" spans="1:2" x14ac:dyDescent="0.25">
      <c r="A7927" s="2">
        <v>7922</v>
      </c>
      <c r="B7927" s="3" t="str">
        <f>"00325617"</f>
        <v>00325617</v>
      </c>
    </row>
    <row r="7928" spans="1:2" x14ac:dyDescent="0.25">
      <c r="A7928" s="2">
        <v>7923</v>
      </c>
      <c r="B7928" s="3" t="str">
        <f>"00325684"</f>
        <v>00325684</v>
      </c>
    </row>
    <row r="7929" spans="1:2" x14ac:dyDescent="0.25">
      <c r="A7929" s="2">
        <v>7924</v>
      </c>
      <c r="B7929" s="3" t="str">
        <f>"00325717"</f>
        <v>00325717</v>
      </c>
    </row>
    <row r="7930" spans="1:2" x14ac:dyDescent="0.25">
      <c r="A7930" s="2">
        <v>7925</v>
      </c>
      <c r="B7930" s="3" t="str">
        <f>"00325787"</f>
        <v>00325787</v>
      </c>
    </row>
    <row r="7931" spans="1:2" x14ac:dyDescent="0.25">
      <c r="A7931" s="2">
        <v>7926</v>
      </c>
      <c r="B7931" s="3" t="str">
        <f>"00325793"</f>
        <v>00325793</v>
      </c>
    </row>
    <row r="7932" spans="1:2" x14ac:dyDescent="0.25">
      <c r="A7932" s="2">
        <v>7927</v>
      </c>
      <c r="B7932" s="3" t="str">
        <f>"00325797"</f>
        <v>00325797</v>
      </c>
    </row>
    <row r="7933" spans="1:2" x14ac:dyDescent="0.25">
      <c r="A7933" s="2">
        <v>7928</v>
      </c>
      <c r="B7933" s="3" t="str">
        <f>"00325865"</f>
        <v>00325865</v>
      </c>
    </row>
    <row r="7934" spans="1:2" x14ac:dyDescent="0.25">
      <c r="A7934" s="2">
        <v>7929</v>
      </c>
      <c r="B7934" s="3" t="str">
        <f>"00325887"</f>
        <v>00325887</v>
      </c>
    </row>
    <row r="7935" spans="1:2" x14ac:dyDescent="0.25">
      <c r="A7935" s="2">
        <v>7930</v>
      </c>
      <c r="B7935" s="3" t="str">
        <f>"00325910"</f>
        <v>00325910</v>
      </c>
    </row>
    <row r="7936" spans="1:2" x14ac:dyDescent="0.25">
      <c r="A7936" s="2">
        <v>7931</v>
      </c>
      <c r="B7936" s="3" t="str">
        <f>"00325933"</f>
        <v>00325933</v>
      </c>
    </row>
    <row r="7937" spans="1:2" x14ac:dyDescent="0.25">
      <c r="A7937" s="2">
        <v>7932</v>
      </c>
      <c r="B7937" s="3" t="str">
        <f>"00325941"</f>
        <v>00325941</v>
      </c>
    </row>
    <row r="7938" spans="1:2" x14ac:dyDescent="0.25">
      <c r="A7938" s="2">
        <v>7933</v>
      </c>
      <c r="B7938" s="3" t="str">
        <f>"00325947"</f>
        <v>00325947</v>
      </c>
    </row>
    <row r="7939" spans="1:2" x14ac:dyDescent="0.25">
      <c r="A7939" s="2">
        <v>7934</v>
      </c>
      <c r="B7939" s="3" t="str">
        <f>"00326012"</f>
        <v>00326012</v>
      </c>
    </row>
    <row r="7940" spans="1:2" x14ac:dyDescent="0.25">
      <c r="A7940" s="2">
        <v>7935</v>
      </c>
      <c r="B7940" s="3" t="str">
        <f>"00326014"</f>
        <v>00326014</v>
      </c>
    </row>
    <row r="7941" spans="1:2" x14ac:dyDescent="0.25">
      <c r="A7941" s="2">
        <v>7936</v>
      </c>
      <c r="B7941" s="3" t="str">
        <f>"00326039"</f>
        <v>00326039</v>
      </c>
    </row>
    <row r="7942" spans="1:2" x14ac:dyDescent="0.25">
      <c r="A7942" s="2">
        <v>7937</v>
      </c>
      <c r="B7942" s="3" t="str">
        <f>"00326074"</f>
        <v>00326074</v>
      </c>
    </row>
    <row r="7943" spans="1:2" x14ac:dyDescent="0.25">
      <c r="A7943" s="2">
        <v>7938</v>
      </c>
      <c r="B7943" s="3" t="str">
        <f>"00326082"</f>
        <v>00326082</v>
      </c>
    </row>
    <row r="7944" spans="1:2" x14ac:dyDescent="0.25">
      <c r="A7944" s="2">
        <v>7939</v>
      </c>
      <c r="B7944" s="3" t="str">
        <f>"00326091"</f>
        <v>00326091</v>
      </c>
    </row>
    <row r="7945" spans="1:2" x14ac:dyDescent="0.25">
      <c r="A7945" s="2">
        <v>7940</v>
      </c>
      <c r="B7945" s="3" t="str">
        <f>"00326152"</f>
        <v>00326152</v>
      </c>
    </row>
    <row r="7946" spans="1:2" x14ac:dyDescent="0.25">
      <c r="A7946" s="2">
        <v>7941</v>
      </c>
      <c r="B7946" s="3" t="str">
        <f>"00326199"</f>
        <v>00326199</v>
      </c>
    </row>
    <row r="7947" spans="1:2" x14ac:dyDescent="0.25">
      <c r="A7947" s="2">
        <v>7942</v>
      </c>
      <c r="B7947" s="3" t="str">
        <f>"00326223"</f>
        <v>00326223</v>
      </c>
    </row>
    <row r="7948" spans="1:2" x14ac:dyDescent="0.25">
      <c r="A7948" s="2">
        <v>7943</v>
      </c>
      <c r="B7948" s="3" t="str">
        <f>"00326300"</f>
        <v>00326300</v>
      </c>
    </row>
    <row r="7949" spans="1:2" x14ac:dyDescent="0.25">
      <c r="A7949" s="2">
        <v>7944</v>
      </c>
      <c r="B7949" s="3" t="str">
        <f>"00326301"</f>
        <v>00326301</v>
      </c>
    </row>
    <row r="7950" spans="1:2" x14ac:dyDescent="0.25">
      <c r="A7950" s="2">
        <v>7945</v>
      </c>
      <c r="B7950" s="3" t="str">
        <f>"00326302"</f>
        <v>00326302</v>
      </c>
    </row>
    <row r="7951" spans="1:2" x14ac:dyDescent="0.25">
      <c r="A7951" s="2">
        <v>7946</v>
      </c>
      <c r="B7951" s="3" t="str">
        <f>"00326330"</f>
        <v>00326330</v>
      </c>
    </row>
    <row r="7952" spans="1:2" x14ac:dyDescent="0.25">
      <c r="A7952" s="2">
        <v>7947</v>
      </c>
      <c r="B7952" s="3" t="str">
        <f>"00326370"</f>
        <v>00326370</v>
      </c>
    </row>
    <row r="7953" spans="1:2" x14ac:dyDescent="0.25">
      <c r="A7953" s="2">
        <v>7948</v>
      </c>
      <c r="B7953" s="3" t="str">
        <f>"00326389"</f>
        <v>00326389</v>
      </c>
    </row>
    <row r="7954" spans="1:2" x14ac:dyDescent="0.25">
      <c r="A7954" s="2">
        <v>7949</v>
      </c>
      <c r="B7954" s="3" t="str">
        <f>"00326401"</f>
        <v>00326401</v>
      </c>
    </row>
    <row r="7955" spans="1:2" x14ac:dyDescent="0.25">
      <c r="A7955" s="2">
        <v>7950</v>
      </c>
      <c r="B7955" s="3" t="str">
        <f>"00326406"</f>
        <v>00326406</v>
      </c>
    </row>
    <row r="7956" spans="1:2" x14ac:dyDescent="0.25">
      <c r="A7956" s="2">
        <v>7951</v>
      </c>
      <c r="B7956" s="3" t="str">
        <f>"00326450"</f>
        <v>00326450</v>
      </c>
    </row>
    <row r="7957" spans="1:2" x14ac:dyDescent="0.25">
      <c r="A7957" s="2">
        <v>7952</v>
      </c>
      <c r="B7957" s="3" t="str">
        <f>"00326495"</f>
        <v>00326495</v>
      </c>
    </row>
    <row r="7958" spans="1:2" x14ac:dyDescent="0.25">
      <c r="A7958" s="2">
        <v>7953</v>
      </c>
      <c r="B7958" s="3" t="str">
        <f>"00326889"</f>
        <v>00326889</v>
      </c>
    </row>
    <row r="7959" spans="1:2" x14ac:dyDescent="0.25">
      <c r="A7959" s="2">
        <v>7954</v>
      </c>
      <c r="B7959" s="3" t="str">
        <f>"00326905"</f>
        <v>00326905</v>
      </c>
    </row>
    <row r="7960" spans="1:2" x14ac:dyDescent="0.25">
      <c r="A7960" s="2">
        <v>7955</v>
      </c>
      <c r="B7960" s="3" t="str">
        <f>"00326946"</f>
        <v>00326946</v>
      </c>
    </row>
    <row r="7961" spans="1:2" x14ac:dyDescent="0.25">
      <c r="A7961" s="2">
        <v>7956</v>
      </c>
      <c r="B7961" s="3" t="str">
        <f>"00326979"</f>
        <v>00326979</v>
      </c>
    </row>
    <row r="7962" spans="1:2" x14ac:dyDescent="0.25">
      <c r="A7962" s="2">
        <v>7957</v>
      </c>
      <c r="B7962" s="3" t="str">
        <f>"00326984"</f>
        <v>00326984</v>
      </c>
    </row>
    <row r="7963" spans="1:2" x14ac:dyDescent="0.25">
      <c r="A7963" s="2">
        <v>7958</v>
      </c>
      <c r="B7963" s="3" t="str">
        <f>"00326987"</f>
        <v>00326987</v>
      </c>
    </row>
    <row r="7964" spans="1:2" x14ac:dyDescent="0.25">
      <c r="A7964" s="2">
        <v>7959</v>
      </c>
      <c r="B7964" s="3" t="str">
        <f>"00327009"</f>
        <v>00327009</v>
      </c>
    </row>
    <row r="7965" spans="1:2" x14ac:dyDescent="0.25">
      <c r="A7965" s="2">
        <v>7960</v>
      </c>
      <c r="B7965" s="3" t="str">
        <f>"00327028"</f>
        <v>00327028</v>
      </c>
    </row>
    <row r="7966" spans="1:2" x14ac:dyDescent="0.25">
      <c r="A7966" s="2">
        <v>7961</v>
      </c>
      <c r="B7966" s="3" t="str">
        <f>"00327046"</f>
        <v>00327046</v>
      </c>
    </row>
    <row r="7967" spans="1:2" x14ac:dyDescent="0.25">
      <c r="A7967" s="2">
        <v>7962</v>
      </c>
      <c r="B7967" s="3" t="str">
        <f>"00327069"</f>
        <v>00327069</v>
      </c>
    </row>
    <row r="7968" spans="1:2" x14ac:dyDescent="0.25">
      <c r="A7968" s="2">
        <v>7963</v>
      </c>
      <c r="B7968" s="3" t="str">
        <f>"00327118"</f>
        <v>00327118</v>
      </c>
    </row>
    <row r="7969" spans="1:2" x14ac:dyDescent="0.25">
      <c r="A7969" s="2">
        <v>7964</v>
      </c>
      <c r="B7969" s="3" t="str">
        <f>"00327162"</f>
        <v>00327162</v>
      </c>
    </row>
    <row r="7970" spans="1:2" x14ac:dyDescent="0.25">
      <c r="A7970" s="2">
        <v>7965</v>
      </c>
      <c r="B7970" s="3" t="str">
        <f>"00327221"</f>
        <v>00327221</v>
      </c>
    </row>
    <row r="7971" spans="1:2" x14ac:dyDescent="0.25">
      <c r="A7971" s="2">
        <v>7966</v>
      </c>
      <c r="B7971" s="3" t="str">
        <f>"00327275"</f>
        <v>00327275</v>
      </c>
    </row>
    <row r="7972" spans="1:2" x14ac:dyDescent="0.25">
      <c r="A7972" s="2">
        <v>7967</v>
      </c>
      <c r="B7972" s="3" t="str">
        <f>"00327282"</f>
        <v>00327282</v>
      </c>
    </row>
    <row r="7973" spans="1:2" x14ac:dyDescent="0.25">
      <c r="A7973" s="2">
        <v>7968</v>
      </c>
      <c r="B7973" s="3" t="str">
        <f>"00327380"</f>
        <v>00327380</v>
      </c>
    </row>
    <row r="7974" spans="1:2" x14ac:dyDescent="0.25">
      <c r="A7974" s="2">
        <v>7969</v>
      </c>
      <c r="B7974" s="3" t="str">
        <f>"00327435"</f>
        <v>00327435</v>
      </c>
    </row>
    <row r="7975" spans="1:2" x14ac:dyDescent="0.25">
      <c r="A7975" s="2">
        <v>7970</v>
      </c>
      <c r="B7975" s="3" t="str">
        <f>"00327458"</f>
        <v>00327458</v>
      </c>
    </row>
    <row r="7976" spans="1:2" x14ac:dyDescent="0.25">
      <c r="A7976" s="2">
        <v>7971</v>
      </c>
      <c r="B7976" s="3" t="str">
        <f>"00327522"</f>
        <v>00327522</v>
      </c>
    </row>
    <row r="7977" spans="1:2" x14ac:dyDescent="0.25">
      <c r="A7977" s="2">
        <v>7972</v>
      </c>
      <c r="B7977" s="3" t="str">
        <f>"00327527"</f>
        <v>00327527</v>
      </c>
    </row>
    <row r="7978" spans="1:2" x14ac:dyDescent="0.25">
      <c r="A7978" s="2">
        <v>7973</v>
      </c>
      <c r="B7978" s="3" t="str">
        <f>"00327659"</f>
        <v>00327659</v>
      </c>
    </row>
    <row r="7979" spans="1:2" x14ac:dyDescent="0.25">
      <c r="A7979" s="2">
        <v>7974</v>
      </c>
      <c r="B7979" s="3" t="str">
        <f>"00327777"</f>
        <v>00327777</v>
      </c>
    </row>
    <row r="7980" spans="1:2" x14ac:dyDescent="0.25">
      <c r="A7980" s="2">
        <v>7975</v>
      </c>
      <c r="B7980" s="3" t="str">
        <f>"00327782"</f>
        <v>00327782</v>
      </c>
    </row>
    <row r="7981" spans="1:2" x14ac:dyDescent="0.25">
      <c r="A7981" s="2">
        <v>7976</v>
      </c>
      <c r="B7981" s="3" t="str">
        <f>"00328008"</f>
        <v>00328008</v>
      </c>
    </row>
    <row r="7982" spans="1:2" x14ac:dyDescent="0.25">
      <c r="A7982" s="2">
        <v>7977</v>
      </c>
      <c r="B7982" s="3" t="str">
        <f>"00328012"</f>
        <v>00328012</v>
      </c>
    </row>
    <row r="7983" spans="1:2" x14ac:dyDescent="0.25">
      <c r="A7983" s="2">
        <v>7978</v>
      </c>
      <c r="B7983" s="3" t="str">
        <f>"00328028"</f>
        <v>00328028</v>
      </c>
    </row>
    <row r="7984" spans="1:2" x14ac:dyDescent="0.25">
      <c r="A7984" s="2">
        <v>7979</v>
      </c>
      <c r="B7984" s="3" t="str">
        <f>"00328065"</f>
        <v>00328065</v>
      </c>
    </row>
    <row r="7985" spans="1:2" x14ac:dyDescent="0.25">
      <c r="A7985" s="2">
        <v>7980</v>
      </c>
      <c r="B7985" s="3" t="str">
        <f>"00328089"</f>
        <v>00328089</v>
      </c>
    </row>
    <row r="7986" spans="1:2" x14ac:dyDescent="0.25">
      <c r="A7986" s="2">
        <v>7981</v>
      </c>
      <c r="B7986" s="3" t="str">
        <f>"00328098"</f>
        <v>00328098</v>
      </c>
    </row>
    <row r="7987" spans="1:2" x14ac:dyDescent="0.25">
      <c r="A7987" s="2">
        <v>7982</v>
      </c>
      <c r="B7987" s="3" t="str">
        <f>"00328148"</f>
        <v>00328148</v>
      </c>
    </row>
    <row r="7988" spans="1:2" x14ac:dyDescent="0.25">
      <c r="A7988" s="2">
        <v>7983</v>
      </c>
      <c r="B7988" s="3" t="str">
        <f>"00328188"</f>
        <v>00328188</v>
      </c>
    </row>
    <row r="7989" spans="1:2" x14ac:dyDescent="0.25">
      <c r="A7989" s="2">
        <v>7984</v>
      </c>
      <c r="B7989" s="3" t="str">
        <f>"00328247"</f>
        <v>00328247</v>
      </c>
    </row>
    <row r="7990" spans="1:2" x14ac:dyDescent="0.25">
      <c r="A7990" s="2">
        <v>7985</v>
      </c>
      <c r="B7990" s="3" t="str">
        <f>"00328320"</f>
        <v>00328320</v>
      </c>
    </row>
    <row r="7991" spans="1:2" x14ac:dyDescent="0.25">
      <c r="A7991" s="2">
        <v>7986</v>
      </c>
      <c r="B7991" s="3" t="str">
        <f>"00328344"</f>
        <v>00328344</v>
      </c>
    </row>
    <row r="7992" spans="1:2" x14ac:dyDescent="0.25">
      <c r="A7992" s="2">
        <v>7987</v>
      </c>
      <c r="B7992" s="3" t="str">
        <f>"00328354"</f>
        <v>00328354</v>
      </c>
    </row>
    <row r="7993" spans="1:2" x14ac:dyDescent="0.25">
      <c r="A7993" s="2">
        <v>7988</v>
      </c>
      <c r="B7993" s="3" t="str">
        <f>"00328371"</f>
        <v>00328371</v>
      </c>
    </row>
    <row r="7994" spans="1:2" x14ac:dyDescent="0.25">
      <c r="A7994" s="2">
        <v>7989</v>
      </c>
      <c r="B7994" s="3" t="str">
        <f>"00328376"</f>
        <v>00328376</v>
      </c>
    </row>
    <row r="7995" spans="1:2" x14ac:dyDescent="0.25">
      <c r="A7995" s="2">
        <v>7990</v>
      </c>
      <c r="B7995" s="3" t="str">
        <f>"00328443"</f>
        <v>00328443</v>
      </c>
    </row>
    <row r="7996" spans="1:2" x14ac:dyDescent="0.25">
      <c r="A7996" s="2">
        <v>7991</v>
      </c>
      <c r="B7996" s="3" t="str">
        <f>"00328449"</f>
        <v>00328449</v>
      </c>
    </row>
    <row r="7997" spans="1:2" x14ac:dyDescent="0.25">
      <c r="A7997" s="2">
        <v>7992</v>
      </c>
      <c r="B7997" s="3" t="str">
        <f>"00328479"</f>
        <v>00328479</v>
      </c>
    </row>
    <row r="7998" spans="1:2" x14ac:dyDescent="0.25">
      <c r="A7998" s="2">
        <v>7993</v>
      </c>
      <c r="B7998" s="3" t="str">
        <f>"00328541"</f>
        <v>00328541</v>
      </c>
    </row>
    <row r="7999" spans="1:2" x14ac:dyDescent="0.25">
      <c r="A7999" s="2">
        <v>7994</v>
      </c>
      <c r="B7999" s="3" t="str">
        <f>"00328544"</f>
        <v>00328544</v>
      </c>
    </row>
    <row r="8000" spans="1:2" x14ac:dyDescent="0.25">
      <c r="A8000" s="2">
        <v>7995</v>
      </c>
      <c r="B8000" s="3" t="str">
        <f>"00328552"</f>
        <v>00328552</v>
      </c>
    </row>
    <row r="8001" spans="1:2" x14ac:dyDescent="0.25">
      <c r="A8001" s="2">
        <v>7996</v>
      </c>
      <c r="B8001" s="3" t="str">
        <f>"00328575"</f>
        <v>00328575</v>
      </c>
    </row>
    <row r="8002" spans="1:2" x14ac:dyDescent="0.25">
      <c r="A8002" s="2">
        <v>7997</v>
      </c>
      <c r="B8002" s="3" t="str">
        <f>"00328639"</f>
        <v>00328639</v>
      </c>
    </row>
    <row r="8003" spans="1:2" x14ac:dyDescent="0.25">
      <c r="A8003" s="2">
        <v>7998</v>
      </c>
      <c r="B8003" s="3" t="str">
        <f>"00328643"</f>
        <v>00328643</v>
      </c>
    </row>
    <row r="8004" spans="1:2" x14ac:dyDescent="0.25">
      <c r="A8004" s="2">
        <v>7999</v>
      </c>
      <c r="B8004" s="3" t="str">
        <f>"00328664"</f>
        <v>00328664</v>
      </c>
    </row>
    <row r="8005" spans="1:2" x14ac:dyDescent="0.25">
      <c r="A8005" s="2">
        <v>8000</v>
      </c>
      <c r="B8005" s="3" t="str">
        <f>"00328672"</f>
        <v>00328672</v>
      </c>
    </row>
    <row r="8006" spans="1:2" x14ac:dyDescent="0.25">
      <c r="A8006" s="2">
        <v>8001</v>
      </c>
      <c r="B8006" s="3" t="str">
        <f>"00328678"</f>
        <v>00328678</v>
      </c>
    </row>
    <row r="8007" spans="1:2" x14ac:dyDescent="0.25">
      <c r="A8007" s="2">
        <v>8002</v>
      </c>
      <c r="B8007" s="3" t="str">
        <f>"00328697"</f>
        <v>00328697</v>
      </c>
    </row>
    <row r="8008" spans="1:2" x14ac:dyDescent="0.25">
      <c r="A8008" s="2">
        <v>8003</v>
      </c>
      <c r="B8008" s="3" t="str">
        <f>"00328702"</f>
        <v>00328702</v>
      </c>
    </row>
    <row r="8009" spans="1:2" x14ac:dyDescent="0.25">
      <c r="A8009" s="2">
        <v>8004</v>
      </c>
      <c r="B8009" s="3" t="str">
        <f>"00328723"</f>
        <v>00328723</v>
      </c>
    </row>
    <row r="8010" spans="1:2" x14ac:dyDescent="0.25">
      <c r="A8010" s="2">
        <v>8005</v>
      </c>
      <c r="B8010" s="3" t="str">
        <f>"00328741"</f>
        <v>00328741</v>
      </c>
    </row>
    <row r="8011" spans="1:2" x14ac:dyDescent="0.25">
      <c r="A8011" s="2">
        <v>8006</v>
      </c>
      <c r="B8011" s="3" t="str">
        <f>"00328802"</f>
        <v>00328802</v>
      </c>
    </row>
    <row r="8012" spans="1:2" x14ac:dyDescent="0.25">
      <c r="A8012" s="2">
        <v>8007</v>
      </c>
      <c r="B8012" s="3" t="str">
        <f>"00328935"</f>
        <v>00328935</v>
      </c>
    </row>
    <row r="8013" spans="1:2" x14ac:dyDescent="0.25">
      <c r="A8013" s="2">
        <v>8008</v>
      </c>
      <c r="B8013" s="3" t="str">
        <f>"00328953"</f>
        <v>00328953</v>
      </c>
    </row>
    <row r="8014" spans="1:2" x14ac:dyDescent="0.25">
      <c r="A8014" s="2">
        <v>8009</v>
      </c>
      <c r="B8014" s="3" t="str">
        <f>"00329016"</f>
        <v>00329016</v>
      </c>
    </row>
    <row r="8015" spans="1:2" x14ac:dyDescent="0.25">
      <c r="A8015" s="2">
        <v>8010</v>
      </c>
      <c r="B8015" s="3" t="str">
        <f>"00329033"</f>
        <v>00329033</v>
      </c>
    </row>
    <row r="8016" spans="1:2" x14ac:dyDescent="0.25">
      <c r="A8016" s="2">
        <v>8011</v>
      </c>
      <c r="B8016" s="3" t="str">
        <f>"00329090"</f>
        <v>00329090</v>
      </c>
    </row>
    <row r="8017" spans="1:2" x14ac:dyDescent="0.25">
      <c r="A8017" s="2">
        <v>8012</v>
      </c>
      <c r="B8017" s="3" t="str">
        <f>"00329117"</f>
        <v>00329117</v>
      </c>
    </row>
    <row r="8018" spans="1:2" x14ac:dyDescent="0.25">
      <c r="A8018" s="2">
        <v>8013</v>
      </c>
      <c r="B8018" s="3" t="str">
        <f>"00329124"</f>
        <v>00329124</v>
      </c>
    </row>
    <row r="8019" spans="1:2" x14ac:dyDescent="0.25">
      <c r="A8019" s="2">
        <v>8014</v>
      </c>
      <c r="B8019" s="3" t="str">
        <f>"00329131"</f>
        <v>00329131</v>
      </c>
    </row>
    <row r="8020" spans="1:2" x14ac:dyDescent="0.25">
      <c r="A8020" s="2">
        <v>8015</v>
      </c>
      <c r="B8020" s="3" t="str">
        <f>"00329144"</f>
        <v>00329144</v>
      </c>
    </row>
    <row r="8021" spans="1:2" x14ac:dyDescent="0.25">
      <c r="A8021" s="2">
        <v>8016</v>
      </c>
      <c r="B8021" s="3" t="str">
        <f>"00329146"</f>
        <v>00329146</v>
      </c>
    </row>
    <row r="8022" spans="1:2" x14ac:dyDescent="0.25">
      <c r="A8022" s="2">
        <v>8017</v>
      </c>
      <c r="B8022" s="3" t="str">
        <f>"00329158"</f>
        <v>00329158</v>
      </c>
    </row>
    <row r="8023" spans="1:2" x14ac:dyDescent="0.25">
      <c r="A8023" s="2">
        <v>8018</v>
      </c>
      <c r="B8023" s="3" t="str">
        <f>"00329206"</f>
        <v>00329206</v>
      </c>
    </row>
    <row r="8024" spans="1:2" x14ac:dyDescent="0.25">
      <c r="A8024" s="2">
        <v>8019</v>
      </c>
      <c r="B8024" s="3" t="str">
        <f>"00329260"</f>
        <v>00329260</v>
      </c>
    </row>
    <row r="8025" spans="1:2" x14ac:dyDescent="0.25">
      <c r="A8025" s="2">
        <v>8020</v>
      </c>
      <c r="B8025" s="3" t="str">
        <f>"00329262"</f>
        <v>00329262</v>
      </c>
    </row>
    <row r="8026" spans="1:2" x14ac:dyDescent="0.25">
      <c r="A8026" s="2">
        <v>8021</v>
      </c>
      <c r="B8026" s="3" t="str">
        <f>"00329263"</f>
        <v>00329263</v>
      </c>
    </row>
    <row r="8027" spans="1:2" x14ac:dyDescent="0.25">
      <c r="A8027" s="2">
        <v>8022</v>
      </c>
      <c r="B8027" s="3" t="str">
        <f>"00329294"</f>
        <v>00329294</v>
      </c>
    </row>
    <row r="8028" spans="1:2" x14ac:dyDescent="0.25">
      <c r="A8028" s="2">
        <v>8023</v>
      </c>
      <c r="B8028" s="3" t="str">
        <f>"00329328"</f>
        <v>00329328</v>
      </c>
    </row>
    <row r="8029" spans="1:2" x14ac:dyDescent="0.25">
      <c r="A8029" s="2">
        <v>8024</v>
      </c>
      <c r="B8029" s="3" t="str">
        <f>"00329396"</f>
        <v>00329396</v>
      </c>
    </row>
    <row r="8030" spans="1:2" x14ac:dyDescent="0.25">
      <c r="A8030" s="2">
        <v>8025</v>
      </c>
      <c r="B8030" s="3" t="str">
        <f>"00329400"</f>
        <v>00329400</v>
      </c>
    </row>
    <row r="8031" spans="1:2" x14ac:dyDescent="0.25">
      <c r="A8031" s="2">
        <v>8026</v>
      </c>
      <c r="B8031" s="3" t="str">
        <f>"00329438"</f>
        <v>00329438</v>
      </c>
    </row>
    <row r="8032" spans="1:2" x14ac:dyDescent="0.25">
      <c r="A8032" s="2">
        <v>8027</v>
      </c>
      <c r="B8032" s="3" t="str">
        <f>"00329443"</f>
        <v>00329443</v>
      </c>
    </row>
    <row r="8033" spans="1:2" x14ac:dyDescent="0.25">
      <c r="A8033" s="2">
        <v>8028</v>
      </c>
      <c r="B8033" s="3" t="str">
        <f>"00329465"</f>
        <v>00329465</v>
      </c>
    </row>
    <row r="8034" spans="1:2" x14ac:dyDescent="0.25">
      <c r="A8034" s="2">
        <v>8029</v>
      </c>
      <c r="B8034" s="3" t="str">
        <f>"00329528"</f>
        <v>00329528</v>
      </c>
    </row>
    <row r="8035" spans="1:2" x14ac:dyDescent="0.25">
      <c r="A8035" s="2">
        <v>8030</v>
      </c>
      <c r="B8035" s="3" t="str">
        <f>"00329533"</f>
        <v>00329533</v>
      </c>
    </row>
    <row r="8036" spans="1:2" x14ac:dyDescent="0.25">
      <c r="A8036" s="2">
        <v>8031</v>
      </c>
      <c r="B8036" s="3" t="str">
        <f>"00329542"</f>
        <v>00329542</v>
      </c>
    </row>
    <row r="8037" spans="1:2" x14ac:dyDescent="0.25">
      <c r="A8037" s="2">
        <v>8032</v>
      </c>
      <c r="B8037" s="3" t="str">
        <f>"00329543"</f>
        <v>00329543</v>
      </c>
    </row>
    <row r="8038" spans="1:2" x14ac:dyDescent="0.25">
      <c r="A8038" s="2">
        <v>8033</v>
      </c>
      <c r="B8038" s="3" t="str">
        <f>"00329656"</f>
        <v>00329656</v>
      </c>
    </row>
    <row r="8039" spans="1:2" x14ac:dyDescent="0.25">
      <c r="A8039" s="2">
        <v>8034</v>
      </c>
      <c r="B8039" s="3" t="str">
        <f>"00329658"</f>
        <v>00329658</v>
      </c>
    </row>
    <row r="8040" spans="1:2" x14ac:dyDescent="0.25">
      <c r="A8040" s="2">
        <v>8035</v>
      </c>
      <c r="B8040" s="3" t="str">
        <f>"00329725"</f>
        <v>00329725</v>
      </c>
    </row>
    <row r="8041" spans="1:2" x14ac:dyDescent="0.25">
      <c r="A8041" s="2">
        <v>8036</v>
      </c>
      <c r="B8041" s="3" t="str">
        <f>"00329732"</f>
        <v>00329732</v>
      </c>
    </row>
    <row r="8042" spans="1:2" x14ac:dyDescent="0.25">
      <c r="A8042" s="2">
        <v>8037</v>
      </c>
      <c r="B8042" s="3" t="str">
        <f>"00329748"</f>
        <v>00329748</v>
      </c>
    </row>
    <row r="8043" spans="1:2" x14ac:dyDescent="0.25">
      <c r="A8043" s="2">
        <v>8038</v>
      </c>
      <c r="B8043" s="3" t="str">
        <f>"00329771"</f>
        <v>00329771</v>
      </c>
    </row>
    <row r="8044" spans="1:2" x14ac:dyDescent="0.25">
      <c r="A8044" s="2">
        <v>8039</v>
      </c>
      <c r="B8044" s="3" t="str">
        <f>"00329774"</f>
        <v>00329774</v>
      </c>
    </row>
    <row r="8045" spans="1:2" x14ac:dyDescent="0.25">
      <c r="A8045" s="2">
        <v>8040</v>
      </c>
      <c r="B8045" s="3" t="str">
        <f>"00329861"</f>
        <v>00329861</v>
      </c>
    </row>
    <row r="8046" spans="1:2" x14ac:dyDescent="0.25">
      <c r="A8046" s="2">
        <v>8041</v>
      </c>
      <c r="B8046" s="3" t="str">
        <f>"00329876"</f>
        <v>00329876</v>
      </c>
    </row>
    <row r="8047" spans="1:2" x14ac:dyDescent="0.25">
      <c r="A8047" s="2">
        <v>8042</v>
      </c>
      <c r="B8047" s="3" t="str">
        <f>"00329934"</f>
        <v>00329934</v>
      </c>
    </row>
    <row r="8048" spans="1:2" x14ac:dyDescent="0.25">
      <c r="A8048" s="2">
        <v>8043</v>
      </c>
      <c r="B8048" s="3" t="str">
        <f>"00329940"</f>
        <v>00329940</v>
      </c>
    </row>
    <row r="8049" spans="1:2" x14ac:dyDescent="0.25">
      <c r="A8049" s="2">
        <v>8044</v>
      </c>
      <c r="B8049" s="3" t="str">
        <f>"00329962"</f>
        <v>00329962</v>
      </c>
    </row>
    <row r="8050" spans="1:2" x14ac:dyDescent="0.25">
      <c r="A8050" s="2">
        <v>8045</v>
      </c>
      <c r="B8050" s="3" t="str">
        <f>"00330033"</f>
        <v>00330033</v>
      </c>
    </row>
    <row r="8051" spans="1:2" x14ac:dyDescent="0.25">
      <c r="A8051" s="2">
        <v>8046</v>
      </c>
      <c r="B8051" s="3" t="str">
        <f>"00330099"</f>
        <v>00330099</v>
      </c>
    </row>
    <row r="8052" spans="1:2" x14ac:dyDescent="0.25">
      <c r="A8052" s="2">
        <v>8047</v>
      </c>
      <c r="B8052" s="3" t="str">
        <f>"00330121"</f>
        <v>00330121</v>
      </c>
    </row>
    <row r="8053" spans="1:2" x14ac:dyDescent="0.25">
      <c r="A8053" s="2">
        <v>8048</v>
      </c>
      <c r="B8053" s="3" t="str">
        <f>"00330122"</f>
        <v>00330122</v>
      </c>
    </row>
    <row r="8054" spans="1:2" x14ac:dyDescent="0.25">
      <c r="A8054" s="2">
        <v>8049</v>
      </c>
      <c r="B8054" s="3" t="str">
        <f>"00330323"</f>
        <v>00330323</v>
      </c>
    </row>
    <row r="8055" spans="1:2" x14ac:dyDescent="0.25">
      <c r="A8055" s="2">
        <v>8050</v>
      </c>
      <c r="B8055" s="3" t="str">
        <f>"00330398"</f>
        <v>00330398</v>
      </c>
    </row>
    <row r="8056" spans="1:2" x14ac:dyDescent="0.25">
      <c r="A8056" s="2">
        <v>8051</v>
      </c>
      <c r="B8056" s="3" t="str">
        <f>"00330446"</f>
        <v>00330446</v>
      </c>
    </row>
    <row r="8057" spans="1:2" x14ac:dyDescent="0.25">
      <c r="A8057" s="2">
        <v>8052</v>
      </c>
      <c r="B8057" s="3" t="str">
        <f>"00330447"</f>
        <v>00330447</v>
      </c>
    </row>
    <row r="8058" spans="1:2" x14ac:dyDescent="0.25">
      <c r="A8058" s="2">
        <v>8053</v>
      </c>
      <c r="B8058" s="3" t="str">
        <f>"00330487"</f>
        <v>00330487</v>
      </c>
    </row>
    <row r="8059" spans="1:2" x14ac:dyDescent="0.25">
      <c r="A8059" s="2">
        <v>8054</v>
      </c>
      <c r="B8059" s="3" t="str">
        <f>"00330501"</f>
        <v>00330501</v>
      </c>
    </row>
    <row r="8060" spans="1:2" x14ac:dyDescent="0.25">
      <c r="A8060" s="2">
        <v>8055</v>
      </c>
      <c r="B8060" s="3" t="str">
        <f>"00330502"</f>
        <v>00330502</v>
      </c>
    </row>
    <row r="8061" spans="1:2" x14ac:dyDescent="0.25">
      <c r="A8061" s="2">
        <v>8056</v>
      </c>
      <c r="B8061" s="3" t="str">
        <f>"00330523"</f>
        <v>00330523</v>
      </c>
    </row>
    <row r="8062" spans="1:2" x14ac:dyDescent="0.25">
      <c r="A8062" s="2">
        <v>8057</v>
      </c>
      <c r="B8062" s="3" t="str">
        <f>"00330552"</f>
        <v>00330552</v>
      </c>
    </row>
    <row r="8063" spans="1:2" x14ac:dyDescent="0.25">
      <c r="A8063" s="2">
        <v>8058</v>
      </c>
      <c r="B8063" s="3" t="str">
        <f>"00330609"</f>
        <v>00330609</v>
      </c>
    </row>
    <row r="8064" spans="1:2" x14ac:dyDescent="0.25">
      <c r="A8064" s="2">
        <v>8059</v>
      </c>
      <c r="B8064" s="3" t="str">
        <f>"00330615"</f>
        <v>00330615</v>
      </c>
    </row>
    <row r="8065" spans="1:2" x14ac:dyDescent="0.25">
      <c r="A8065" s="2">
        <v>8060</v>
      </c>
      <c r="B8065" s="3" t="str">
        <f>"00330667"</f>
        <v>00330667</v>
      </c>
    </row>
    <row r="8066" spans="1:2" x14ac:dyDescent="0.25">
      <c r="A8066" s="2">
        <v>8061</v>
      </c>
      <c r="B8066" s="3" t="str">
        <f>"00330697"</f>
        <v>00330697</v>
      </c>
    </row>
    <row r="8067" spans="1:2" x14ac:dyDescent="0.25">
      <c r="A8067" s="2">
        <v>8062</v>
      </c>
      <c r="B8067" s="3" t="str">
        <f>"00330706"</f>
        <v>00330706</v>
      </c>
    </row>
    <row r="8068" spans="1:2" x14ac:dyDescent="0.25">
      <c r="A8068" s="2">
        <v>8063</v>
      </c>
      <c r="B8068" s="3" t="str">
        <f>"00330710"</f>
        <v>00330710</v>
      </c>
    </row>
    <row r="8069" spans="1:2" x14ac:dyDescent="0.25">
      <c r="A8069" s="2">
        <v>8064</v>
      </c>
      <c r="B8069" s="3" t="str">
        <f>"00330715"</f>
        <v>00330715</v>
      </c>
    </row>
    <row r="8070" spans="1:2" x14ac:dyDescent="0.25">
      <c r="A8070" s="2">
        <v>8065</v>
      </c>
      <c r="B8070" s="3" t="str">
        <f>"00330780"</f>
        <v>00330780</v>
      </c>
    </row>
    <row r="8071" spans="1:2" x14ac:dyDescent="0.25">
      <c r="A8071" s="2">
        <v>8066</v>
      </c>
      <c r="B8071" s="3" t="str">
        <f>"00330792"</f>
        <v>00330792</v>
      </c>
    </row>
    <row r="8072" spans="1:2" x14ac:dyDescent="0.25">
      <c r="A8072" s="2">
        <v>8067</v>
      </c>
      <c r="B8072" s="3" t="str">
        <f>"00330813"</f>
        <v>00330813</v>
      </c>
    </row>
    <row r="8073" spans="1:2" x14ac:dyDescent="0.25">
      <c r="A8073" s="2">
        <v>8068</v>
      </c>
      <c r="B8073" s="3" t="str">
        <f>"00330815"</f>
        <v>00330815</v>
      </c>
    </row>
    <row r="8074" spans="1:2" x14ac:dyDescent="0.25">
      <c r="A8074" s="2">
        <v>8069</v>
      </c>
      <c r="B8074" s="3" t="str">
        <f>"00330858"</f>
        <v>00330858</v>
      </c>
    </row>
    <row r="8075" spans="1:2" x14ac:dyDescent="0.25">
      <c r="A8075" s="2">
        <v>8070</v>
      </c>
      <c r="B8075" s="3" t="str">
        <f>"00330865"</f>
        <v>00330865</v>
      </c>
    </row>
    <row r="8076" spans="1:2" x14ac:dyDescent="0.25">
      <c r="A8076" s="2">
        <v>8071</v>
      </c>
      <c r="B8076" s="3" t="str">
        <f>"00330868"</f>
        <v>00330868</v>
      </c>
    </row>
    <row r="8077" spans="1:2" x14ac:dyDescent="0.25">
      <c r="A8077" s="2">
        <v>8072</v>
      </c>
      <c r="B8077" s="3" t="str">
        <f>"00330885"</f>
        <v>00330885</v>
      </c>
    </row>
    <row r="8078" spans="1:2" x14ac:dyDescent="0.25">
      <c r="A8078" s="2">
        <v>8073</v>
      </c>
      <c r="B8078" s="3" t="str">
        <f>"00330887"</f>
        <v>00330887</v>
      </c>
    </row>
    <row r="8079" spans="1:2" x14ac:dyDescent="0.25">
      <c r="A8079" s="2">
        <v>8074</v>
      </c>
      <c r="B8079" s="3" t="str">
        <f>"00330888"</f>
        <v>00330888</v>
      </c>
    </row>
    <row r="8080" spans="1:2" x14ac:dyDescent="0.25">
      <c r="A8080" s="2">
        <v>8075</v>
      </c>
      <c r="B8080" s="3" t="str">
        <f>"00330907"</f>
        <v>00330907</v>
      </c>
    </row>
    <row r="8081" spans="1:2" x14ac:dyDescent="0.25">
      <c r="A8081" s="2">
        <v>8076</v>
      </c>
      <c r="B8081" s="3" t="str">
        <f>"00330919"</f>
        <v>00330919</v>
      </c>
    </row>
    <row r="8082" spans="1:2" x14ac:dyDescent="0.25">
      <c r="A8082" s="2">
        <v>8077</v>
      </c>
      <c r="B8082" s="3" t="str">
        <f>"00330943"</f>
        <v>00330943</v>
      </c>
    </row>
    <row r="8083" spans="1:2" x14ac:dyDescent="0.25">
      <c r="A8083" s="2">
        <v>8078</v>
      </c>
      <c r="B8083" s="3" t="str">
        <f>"00330967"</f>
        <v>00330967</v>
      </c>
    </row>
    <row r="8084" spans="1:2" x14ac:dyDescent="0.25">
      <c r="A8084" s="2">
        <v>8079</v>
      </c>
      <c r="B8084" s="3" t="str">
        <f>"00330989"</f>
        <v>00330989</v>
      </c>
    </row>
    <row r="8085" spans="1:2" x14ac:dyDescent="0.25">
      <c r="A8085" s="2">
        <v>8080</v>
      </c>
      <c r="B8085" s="3" t="str">
        <f>"00331010"</f>
        <v>00331010</v>
      </c>
    </row>
    <row r="8086" spans="1:2" x14ac:dyDescent="0.25">
      <c r="A8086" s="2">
        <v>8081</v>
      </c>
      <c r="B8086" s="3" t="str">
        <f>"00331049"</f>
        <v>00331049</v>
      </c>
    </row>
    <row r="8087" spans="1:2" x14ac:dyDescent="0.25">
      <c r="A8087" s="2">
        <v>8082</v>
      </c>
      <c r="B8087" s="3" t="str">
        <f>"00331162"</f>
        <v>00331162</v>
      </c>
    </row>
    <row r="8088" spans="1:2" x14ac:dyDescent="0.25">
      <c r="A8088" s="2">
        <v>8083</v>
      </c>
      <c r="B8088" s="3" t="str">
        <f>"00331179"</f>
        <v>00331179</v>
      </c>
    </row>
    <row r="8089" spans="1:2" x14ac:dyDescent="0.25">
      <c r="A8089" s="2">
        <v>8084</v>
      </c>
      <c r="B8089" s="3" t="str">
        <f>"00331230"</f>
        <v>00331230</v>
      </c>
    </row>
    <row r="8090" spans="1:2" x14ac:dyDescent="0.25">
      <c r="A8090" s="2">
        <v>8085</v>
      </c>
      <c r="B8090" s="3" t="str">
        <f>"00331266"</f>
        <v>00331266</v>
      </c>
    </row>
    <row r="8091" spans="1:2" x14ac:dyDescent="0.25">
      <c r="A8091" s="2">
        <v>8086</v>
      </c>
      <c r="B8091" s="3" t="str">
        <f>"00331279"</f>
        <v>00331279</v>
      </c>
    </row>
    <row r="8092" spans="1:2" x14ac:dyDescent="0.25">
      <c r="A8092" s="2">
        <v>8087</v>
      </c>
      <c r="B8092" s="3" t="str">
        <f>"00331312"</f>
        <v>00331312</v>
      </c>
    </row>
    <row r="8093" spans="1:2" x14ac:dyDescent="0.25">
      <c r="A8093" s="2">
        <v>8088</v>
      </c>
      <c r="B8093" s="3" t="str">
        <f>"00331348"</f>
        <v>00331348</v>
      </c>
    </row>
    <row r="8094" spans="1:2" x14ac:dyDescent="0.25">
      <c r="A8094" s="2">
        <v>8089</v>
      </c>
      <c r="B8094" s="3" t="str">
        <f>"00331412"</f>
        <v>00331412</v>
      </c>
    </row>
    <row r="8095" spans="1:2" x14ac:dyDescent="0.25">
      <c r="A8095" s="2">
        <v>8090</v>
      </c>
      <c r="B8095" s="3" t="str">
        <f>"00331413"</f>
        <v>00331413</v>
      </c>
    </row>
    <row r="8096" spans="1:2" x14ac:dyDescent="0.25">
      <c r="A8096" s="2">
        <v>8091</v>
      </c>
      <c r="B8096" s="3" t="str">
        <f>"00331466"</f>
        <v>00331466</v>
      </c>
    </row>
    <row r="8097" spans="1:2" x14ac:dyDescent="0.25">
      <c r="A8097" s="2">
        <v>8092</v>
      </c>
      <c r="B8097" s="3" t="str">
        <f>"00331505"</f>
        <v>00331505</v>
      </c>
    </row>
    <row r="8098" spans="1:2" x14ac:dyDescent="0.25">
      <c r="A8098" s="2">
        <v>8093</v>
      </c>
      <c r="B8098" s="3" t="str">
        <f>"00331554"</f>
        <v>00331554</v>
      </c>
    </row>
    <row r="8099" spans="1:2" x14ac:dyDescent="0.25">
      <c r="A8099" s="2">
        <v>8094</v>
      </c>
      <c r="B8099" s="3" t="str">
        <f>"00331584"</f>
        <v>00331584</v>
      </c>
    </row>
    <row r="8100" spans="1:2" x14ac:dyDescent="0.25">
      <c r="A8100" s="2">
        <v>8095</v>
      </c>
      <c r="B8100" s="3" t="str">
        <f>"00331613"</f>
        <v>00331613</v>
      </c>
    </row>
    <row r="8101" spans="1:2" x14ac:dyDescent="0.25">
      <c r="A8101" s="2">
        <v>8096</v>
      </c>
      <c r="B8101" s="3" t="str">
        <f>"00331643"</f>
        <v>00331643</v>
      </c>
    </row>
    <row r="8102" spans="1:2" x14ac:dyDescent="0.25">
      <c r="A8102" s="2">
        <v>8097</v>
      </c>
      <c r="B8102" s="3" t="str">
        <f>"00331655"</f>
        <v>00331655</v>
      </c>
    </row>
    <row r="8103" spans="1:2" x14ac:dyDescent="0.25">
      <c r="A8103" s="2">
        <v>8098</v>
      </c>
      <c r="B8103" s="3" t="str">
        <f>"00331689"</f>
        <v>00331689</v>
      </c>
    </row>
    <row r="8104" spans="1:2" x14ac:dyDescent="0.25">
      <c r="A8104" s="2">
        <v>8099</v>
      </c>
      <c r="B8104" s="3" t="str">
        <f>"00331692"</f>
        <v>00331692</v>
      </c>
    </row>
    <row r="8105" spans="1:2" x14ac:dyDescent="0.25">
      <c r="A8105" s="2">
        <v>8100</v>
      </c>
      <c r="B8105" s="3" t="str">
        <f>"00331751"</f>
        <v>00331751</v>
      </c>
    </row>
    <row r="8106" spans="1:2" x14ac:dyDescent="0.25">
      <c r="A8106" s="2">
        <v>8101</v>
      </c>
      <c r="B8106" s="3" t="str">
        <f>"00331779"</f>
        <v>00331779</v>
      </c>
    </row>
    <row r="8107" spans="1:2" x14ac:dyDescent="0.25">
      <c r="A8107" s="2">
        <v>8102</v>
      </c>
      <c r="B8107" s="3" t="str">
        <f>"00331945"</f>
        <v>00331945</v>
      </c>
    </row>
    <row r="8108" spans="1:2" x14ac:dyDescent="0.25">
      <c r="A8108" s="2">
        <v>8103</v>
      </c>
      <c r="B8108" s="3" t="str">
        <f>"00331993"</f>
        <v>00331993</v>
      </c>
    </row>
    <row r="8109" spans="1:2" x14ac:dyDescent="0.25">
      <c r="A8109" s="2">
        <v>8104</v>
      </c>
      <c r="B8109" s="3" t="str">
        <f>"00331999"</f>
        <v>00331999</v>
      </c>
    </row>
    <row r="8110" spans="1:2" x14ac:dyDescent="0.25">
      <c r="A8110" s="2">
        <v>8105</v>
      </c>
      <c r="B8110" s="3" t="str">
        <f>"00332037"</f>
        <v>00332037</v>
      </c>
    </row>
    <row r="8111" spans="1:2" x14ac:dyDescent="0.25">
      <c r="A8111" s="2">
        <v>8106</v>
      </c>
      <c r="B8111" s="3" t="str">
        <f>"00332111"</f>
        <v>00332111</v>
      </c>
    </row>
    <row r="8112" spans="1:2" x14ac:dyDescent="0.25">
      <c r="A8112" s="2">
        <v>8107</v>
      </c>
      <c r="B8112" s="3" t="str">
        <f>"00332170"</f>
        <v>00332170</v>
      </c>
    </row>
    <row r="8113" spans="1:2" x14ac:dyDescent="0.25">
      <c r="A8113" s="2">
        <v>8108</v>
      </c>
      <c r="B8113" s="3" t="str">
        <f>"00332172"</f>
        <v>00332172</v>
      </c>
    </row>
    <row r="8114" spans="1:2" x14ac:dyDescent="0.25">
      <c r="A8114" s="2">
        <v>8109</v>
      </c>
      <c r="B8114" s="3" t="str">
        <f>"00332249"</f>
        <v>00332249</v>
      </c>
    </row>
    <row r="8115" spans="1:2" x14ac:dyDescent="0.25">
      <c r="A8115" s="2">
        <v>8110</v>
      </c>
      <c r="B8115" s="3" t="str">
        <f>"00332406"</f>
        <v>00332406</v>
      </c>
    </row>
    <row r="8116" spans="1:2" x14ac:dyDescent="0.25">
      <c r="A8116" s="2">
        <v>8111</v>
      </c>
      <c r="B8116" s="3" t="str">
        <f>"00332436"</f>
        <v>00332436</v>
      </c>
    </row>
    <row r="8117" spans="1:2" x14ac:dyDescent="0.25">
      <c r="A8117" s="2">
        <v>8112</v>
      </c>
      <c r="B8117" s="3" t="str">
        <f>"00332440"</f>
        <v>00332440</v>
      </c>
    </row>
    <row r="8118" spans="1:2" x14ac:dyDescent="0.25">
      <c r="A8118" s="2">
        <v>8113</v>
      </c>
      <c r="B8118" s="3" t="str">
        <f>"00332481"</f>
        <v>00332481</v>
      </c>
    </row>
    <row r="8119" spans="1:2" x14ac:dyDescent="0.25">
      <c r="A8119" s="2">
        <v>8114</v>
      </c>
      <c r="B8119" s="3" t="str">
        <f>"00332485"</f>
        <v>00332485</v>
      </c>
    </row>
    <row r="8120" spans="1:2" x14ac:dyDescent="0.25">
      <c r="A8120" s="2">
        <v>8115</v>
      </c>
      <c r="B8120" s="3" t="str">
        <f>"00332495"</f>
        <v>00332495</v>
      </c>
    </row>
    <row r="8121" spans="1:2" x14ac:dyDescent="0.25">
      <c r="A8121" s="2">
        <v>8116</v>
      </c>
      <c r="B8121" s="3" t="str">
        <f>"00332498"</f>
        <v>00332498</v>
      </c>
    </row>
    <row r="8122" spans="1:2" x14ac:dyDescent="0.25">
      <c r="A8122" s="2">
        <v>8117</v>
      </c>
      <c r="B8122" s="3" t="str">
        <f>"00332507"</f>
        <v>00332507</v>
      </c>
    </row>
    <row r="8123" spans="1:2" x14ac:dyDescent="0.25">
      <c r="A8123" s="2">
        <v>8118</v>
      </c>
      <c r="B8123" s="3" t="str">
        <f>"00332588"</f>
        <v>00332588</v>
      </c>
    </row>
    <row r="8124" spans="1:2" x14ac:dyDescent="0.25">
      <c r="A8124" s="2">
        <v>8119</v>
      </c>
      <c r="B8124" s="3" t="str">
        <f>"00332666"</f>
        <v>00332666</v>
      </c>
    </row>
    <row r="8125" spans="1:2" x14ac:dyDescent="0.25">
      <c r="A8125" s="2">
        <v>8120</v>
      </c>
      <c r="B8125" s="3" t="str">
        <f>"00332689"</f>
        <v>00332689</v>
      </c>
    </row>
    <row r="8126" spans="1:2" x14ac:dyDescent="0.25">
      <c r="A8126" s="2">
        <v>8121</v>
      </c>
      <c r="B8126" s="3" t="str">
        <f>"00332696"</f>
        <v>00332696</v>
      </c>
    </row>
    <row r="8127" spans="1:2" x14ac:dyDescent="0.25">
      <c r="A8127" s="2">
        <v>8122</v>
      </c>
      <c r="B8127" s="3" t="str">
        <f>"00332699"</f>
        <v>00332699</v>
      </c>
    </row>
    <row r="8128" spans="1:2" x14ac:dyDescent="0.25">
      <c r="A8128" s="2">
        <v>8123</v>
      </c>
      <c r="B8128" s="3" t="str">
        <f>"00332752"</f>
        <v>00332752</v>
      </c>
    </row>
    <row r="8129" spans="1:2" x14ac:dyDescent="0.25">
      <c r="A8129" s="2">
        <v>8124</v>
      </c>
      <c r="B8129" s="3" t="str">
        <f>"00332779"</f>
        <v>00332779</v>
      </c>
    </row>
    <row r="8130" spans="1:2" x14ac:dyDescent="0.25">
      <c r="A8130" s="2">
        <v>8125</v>
      </c>
      <c r="B8130" s="3" t="str">
        <f>"00332802"</f>
        <v>00332802</v>
      </c>
    </row>
    <row r="8131" spans="1:2" x14ac:dyDescent="0.25">
      <c r="A8131" s="2">
        <v>8126</v>
      </c>
      <c r="B8131" s="3" t="str">
        <f>"00332820"</f>
        <v>00332820</v>
      </c>
    </row>
    <row r="8132" spans="1:2" x14ac:dyDescent="0.25">
      <c r="A8132" s="2">
        <v>8127</v>
      </c>
      <c r="B8132" s="3" t="str">
        <f>"00332833"</f>
        <v>00332833</v>
      </c>
    </row>
    <row r="8133" spans="1:2" x14ac:dyDescent="0.25">
      <c r="A8133" s="2">
        <v>8128</v>
      </c>
      <c r="B8133" s="3" t="str">
        <f>"00332841"</f>
        <v>00332841</v>
      </c>
    </row>
    <row r="8134" spans="1:2" x14ac:dyDescent="0.25">
      <c r="A8134" s="2">
        <v>8129</v>
      </c>
      <c r="B8134" s="3" t="str">
        <f>"00332858"</f>
        <v>00332858</v>
      </c>
    </row>
    <row r="8135" spans="1:2" x14ac:dyDescent="0.25">
      <c r="A8135" s="2">
        <v>8130</v>
      </c>
      <c r="B8135" s="3" t="str">
        <f>"00332876"</f>
        <v>00332876</v>
      </c>
    </row>
    <row r="8136" spans="1:2" x14ac:dyDescent="0.25">
      <c r="A8136" s="2">
        <v>8131</v>
      </c>
      <c r="B8136" s="3" t="str">
        <f>"00332902"</f>
        <v>00332902</v>
      </c>
    </row>
    <row r="8137" spans="1:2" x14ac:dyDescent="0.25">
      <c r="A8137" s="2">
        <v>8132</v>
      </c>
      <c r="B8137" s="3" t="str">
        <f>"00332903"</f>
        <v>00332903</v>
      </c>
    </row>
    <row r="8138" spans="1:2" x14ac:dyDescent="0.25">
      <c r="A8138" s="2">
        <v>8133</v>
      </c>
      <c r="B8138" s="3" t="str">
        <f>"00332915"</f>
        <v>00332915</v>
      </c>
    </row>
    <row r="8139" spans="1:2" x14ac:dyDescent="0.25">
      <c r="A8139" s="2">
        <v>8134</v>
      </c>
      <c r="B8139" s="3" t="str">
        <f>"00332939"</f>
        <v>00332939</v>
      </c>
    </row>
    <row r="8140" spans="1:2" x14ac:dyDescent="0.25">
      <c r="A8140" s="2">
        <v>8135</v>
      </c>
      <c r="B8140" s="3" t="str">
        <f>"00332941"</f>
        <v>00332941</v>
      </c>
    </row>
    <row r="8141" spans="1:2" x14ac:dyDescent="0.25">
      <c r="A8141" s="2">
        <v>8136</v>
      </c>
      <c r="B8141" s="3" t="str">
        <f>"00332981"</f>
        <v>00332981</v>
      </c>
    </row>
    <row r="8142" spans="1:2" x14ac:dyDescent="0.25">
      <c r="A8142" s="2">
        <v>8137</v>
      </c>
      <c r="B8142" s="3" t="str">
        <f>"00332983"</f>
        <v>00332983</v>
      </c>
    </row>
    <row r="8143" spans="1:2" x14ac:dyDescent="0.25">
      <c r="A8143" s="2">
        <v>8138</v>
      </c>
      <c r="B8143" s="3" t="str">
        <f>"00332986"</f>
        <v>00332986</v>
      </c>
    </row>
    <row r="8144" spans="1:2" x14ac:dyDescent="0.25">
      <c r="A8144" s="2">
        <v>8139</v>
      </c>
      <c r="B8144" s="3" t="str">
        <f>"00332996"</f>
        <v>00332996</v>
      </c>
    </row>
    <row r="8145" spans="1:2" x14ac:dyDescent="0.25">
      <c r="A8145" s="2">
        <v>8140</v>
      </c>
      <c r="B8145" s="3" t="str">
        <f>"00333006"</f>
        <v>00333006</v>
      </c>
    </row>
    <row r="8146" spans="1:2" x14ac:dyDescent="0.25">
      <c r="A8146" s="2">
        <v>8141</v>
      </c>
      <c r="B8146" s="3" t="str">
        <f>"00333044"</f>
        <v>00333044</v>
      </c>
    </row>
    <row r="8147" spans="1:2" x14ac:dyDescent="0.25">
      <c r="A8147" s="2">
        <v>8142</v>
      </c>
      <c r="B8147" s="3" t="str">
        <f>"00333055"</f>
        <v>00333055</v>
      </c>
    </row>
    <row r="8148" spans="1:2" x14ac:dyDescent="0.25">
      <c r="A8148" s="2">
        <v>8143</v>
      </c>
      <c r="B8148" s="3" t="str">
        <f>"00333144"</f>
        <v>00333144</v>
      </c>
    </row>
    <row r="8149" spans="1:2" x14ac:dyDescent="0.25">
      <c r="A8149" s="2">
        <v>8144</v>
      </c>
      <c r="B8149" s="3" t="str">
        <f>"00333146"</f>
        <v>00333146</v>
      </c>
    </row>
    <row r="8150" spans="1:2" x14ac:dyDescent="0.25">
      <c r="A8150" s="2">
        <v>8145</v>
      </c>
      <c r="B8150" s="3" t="str">
        <f>"00333163"</f>
        <v>00333163</v>
      </c>
    </row>
    <row r="8151" spans="1:2" x14ac:dyDescent="0.25">
      <c r="A8151" s="2">
        <v>8146</v>
      </c>
      <c r="B8151" s="3" t="str">
        <f>"00333178"</f>
        <v>00333178</v>
      </c>
    </row>
    <row r="8152" spans="1:2" x14ac:dyDescent="0.25">
      <c r="A8152" s="2">
        <v>8147</v>
      </c>
      <c r="B8152" s="3" t="str">
        <f>"00333180"</f>
        <v>00333180</v>
      </c>
    </row>
    <row r="8153" spans="1:2" x14ac:dyDescent="0.25">
      <c r="A8153" s="2">
        <v>8148</v>
      </c>
      <c r="B8153" s="3" t="str">
        <f>"00333195"</f>
        <v>00333195</v>
      </c>
    </row>
    <row r="8154" spans="1:2" x14ac:dyDescent="0.25">
      <c r="A8154" s="2">
        <v>8149</v>
      </c>
      <c r="B8154" s="3" t="str">
        <f>"00333206"</f>
        <v>00333206</v>
      </c>
    </row>
    <row r="8155" spans="1:2" x14ac:dyDescent="0.25">
      <c r="A8155" s="2">
        <v>8150</v>
      </c>
      <c r="B8155" s="3" t="str">
        <f>"00333207"</f>
        <v>00333207</v>
      </c>
    </row>
    <row r="8156" spans="1:2" x14ac:dyDescent="0.25">
      <c r="A8156" s="2">
        <v>8151</v>
      </c>
      <c r="B8156" s="3" t="str">
        <f>"00333213"</f>
        <v>00333213</v>
      </c>
    </row>
    <row r="8157" spans="1:2" x14ac:dyDescent="0.25">
      <c r="A8157" s="2">
        <v>8152</v>
      </c>
      <c r="B8157" s="3" t="str">
        <f>"00333232"</f>
        <v>00333232</v>
      </c>
    </row>
    <row r="8158" spans="1:2" x14ac:dyDescent="0.25">
      <c r="A8158" s="2">
        <v>8153</v>
      </c>
      <c r="B8158" s="3" t="str">
        <f>"00333233"</f>
        <v>00333233</v>
      </c>
    </row>
    <row r="8159" spans="1:2" x14ac:dyDescent="0.25">
      <c r="A8159" s="2">
        <v>8154</v>
      </c>
      <c r="B8159" s="3" t="str">
        <f>"00333235"</f>
        <v>00333235</v>
      </c>
    </row>
    <row r="8160" spans="1:2" x14ac:dyDescent="0.25">
      <c r="A8160" s="2">
        <v>8155</v>
      </c>
      <c r="B8160" s="3" t="str">
        <f>"00333307"</f>
        <v>00333307</v>
      </c>
    </row>
    <row r="8161" spans="1:2" x14ac:dyDescent="0.25">
      <c r="A8161" s="2">
        <v>8156</v>
      </c>
      <c r="B8161" s="3" t="str">
        <f>"00333318"</f>
        <v>00333318</v>
      </c>
    </row>
    <row r="8162" spans="1:2" x14ac:dyDescent="0.25">
      <c r="A8162" s="2">
        <v>8157</v>
      </c>
      <c r="B8162" s="3" t="str">
        <f>"00333340"</f>
        <v>00333340</v>
      </c>
    </row>
    <row r="8163" spans="1:2" x14ac:dyDescent="0.25">
      <c r="A8163" s="2">
        <v>8158</v>
      </c>
      <c r="B8163" s="3" t="str">
        <f>"00333392"</f>
        <v>00333392</v>
      </c>
    </row>
    <row r="8164" spans="1:2" x14ac:dyDescent="0.25">
      <c r="A8164" s="2">
        <v>8159</v>
      </c>
      <c r="B8164" s="3" t="str">
        <f>"00333428"</f>
        <v>00333428</v>
      </c>
    </row>
    <row r="8165" spans="1:2" x14ac:dyDescent="0.25">
      <c r="A8165" s="2">
        <v>8160</v>
      </c>
      <c r="B8165" s="3" t="str">
        <f>"00333429"</f>
        <v>00333429</v>
      </c>
    </row>
    <row r="8166" spans="1:2" x14ac:dyDescent="0.25">
      <c r="A8166" s="2">
        <v>8161</v>
      </c>
      <c r="B8166" s="3" t="str">
        <f>"00333452"</f>
        <v>00333452</v>
      </c>
    </row>
    <row r="8167" spans="1:2" x14ac:dyDescent="0.25">
      <c r="A8167" s="2">
        <v>8162</v>
      </c>
      <c r="B8167" s="3" t="str">
        <f>"00333457"</f>
        <v>00333457</v>
      </c>
    </row>
    <row r="8168" spans="1:2" x14ac:dyDescent="0.25">
      <c r="A8168" s="2">
        <v>8163</v>
      </c>
      <c r="B8168" s="3" t="str">
        <f>"00333466"</f>
        <v>00333466</v>
      </c>
    </row>
    <row r="8169" spans="1:2" x14ac:dyDescent="0.25">
      <c r="A8169" s="2">
        <v>8164</v>
      </c>
      <c r="B8169" s="3" t="str">
        <f>"00333581"</f>
        <v>00333581</v>
      </c>
    </row>
    <row r="8170" spans="1:2" x14ac:dyDescent="0.25">
      <c r="A8170" s="2">
        <v>8165</v>
      </c>
      <c r="B8170" s="3" t="str">
        <f>"00333603"</f>
        <v>00333603</v>
      </c>
    </row>
    <row r="8171" spans="1:2" x14ac:dyDescent="0.25">
      <c r="A8171" s="2">
        <v>8166</v>
      </c>
      <c r="B8171" s="3" t="str">
        <f>"00333616"</f>
        <v>00333616</v>
      </c>
    </row>
    <row r="8172" spans="1:2" x14ac:dyDescent="0.25">
      <c r="A8172" s="2">
        <v>8167</v>
      </c>
      <c r="B8172" s="3" t="str">
        <f>"00333667"</f>
        <v>00333667</v>
      </c>
    </row>
    <row r="8173" spans="1:2" x14ac:dyDescent="0.25">
      <c r="A8173" s="2">
        <v>8168</v>
      </c>
      <c r="B8173" s="3" t="str">
        <f>"00333686"</f>
        <v>00333686</v>
      </c>
    </row>
    <row r="8174" spans="1:2" x14ac:dyDescent="0.25">
      <c r="A8174" s="2">
        <v>8169</v>
      </c>
      <c r="B8174" s="3" t="str">
        <f>"00333744"</f>
        <v>00333744</v>
      </c>
    </row>
    <row r="8175" spans="1:2" x14ac:dyDescent="0.25">
      <c r="A8175" s="2">
        <v>8170</v>
      </c>
      <c r="B8175" s="3" t="str">
        <f>"00333813"</f>
        <v>00333813</v>
      </c>
    </row>
    <row r="8176" spans="1:2" x14ac:dyDescent="0.25">
      <c r="A8176" s="2">
        <v>8171</v>
      </c>
      <c r="B8176" s="3" t="str">
        <f>"00333823"</f>
        <v>00333823</v>
      </c>
    </row>
    <row r="8177" spans="1:2" x14ac:dyDescent="0.25">
      <c r="A8177" s="2">
        <v>8172</v>
      </c>
      <c r="B8177" s="3" t="str">
        <f>"00333835"</f>
        <v>00333835</v>
      </c>
    </row>
    <row r="8178" spans="1:2" x14ac:dyDescent="0.25">
      <c r="A8178" s="2">
        <v>8173</v>
      </c>
      <c r="B8178" s="3" t="str">
        <f>"00333895"</f>
        <v>00333895</v>
      </c>
    </row>
    <row r="8179" spans="1:2" x14ac:dyDescent="0.25">
      <c r="A8179" s="2">
        <v>8174</v>
      </c>
      <c r="B8179" s="3" t="str">
        <f>"00333981"</f>
        <v>00333981</v>
      </c>
    </row>
    <row r="8180" spans="1:2" x14ac:dyDescent="0.25">
      <c r="A8180" s="2">
        <v>8175</v>
      </c>
      <c r="B8180" s="3" t="str">
        <f>"00334000"</f>
        <v>00334000</v>
      </c>
    </row>
    <row r="8181" spans="1:2" x14ac:dyDescent="0.25">
      <c r="A8181" s="2">
        <v>8176</v>
      </c>
      <c r="B8181" s="3" t="str">
        <f>"00334028"</f>
        <v>00334028</v>
      </c>
    </row>
    <row r="8182" spans="1:2" x14ac:dyDescent="0.25">
      <c r="A8182" s="2">
        <v>8177</v>
      </c>
      <c r="B8182" s="3" t="str">
        <f>"00334041"</f>
        <v>00334041</v>
      </c>
    </row>
    <row r="8183" spans="1:2" x14ac:dyDescent="0.25">
      <c r="A8183" s="2">
        <v>8178</v>
      </c>
      <c r="B8183" s="3" t="str">
        <f>"00334082"</f>
        <v>00334082</v>
      </c>
    </row>
    <row r="8184" spans="1:2" x14ac:dyDescent="0.25">
      <c r="A8184" s="2">
        <v>8179</v>
      </c>
      <c r="B8184" s="3" t="str">
        <f>"00334083"</f>
        <v>00334083</v>
      </c>
    </row>
    <row r="8185" spans="1:2" x14ac:dyDescent="0.25">
      <c r="A8185" s="2">
        <v>8180</v>
      </c>
      <c r="B8185" s="3" t="str">
        <f>"00334124"</f>
        <v>00334124</v>
      </c>
    </row>
    <row r="8186" spans="1:2" x14ac:dyDescent="0.25">
      <c r="A8186" s="2">
        <v>8181</v>
      </c>
      <c r="B8186" s="3" t="str">
        <f>"00334136"</f>
        <v>00334136</v>
      </c>
    </row>
    <row r="8187" spans="1:2" x14ac:dyDescent="0.25">
      <c r="A8187" s="2">
        <v>8182</v>
      </c>
      <c r="B8187" s="3" t="str">
        <f>"00334177"</f>
        <v>00334177</v>
      </c>
    </row>
    <row r="8188" spans="1:2" x14ac:dyDescent="0.25">
      <c r="A8188" s="2">
        <v>8183</v>
      </c>
      <c r="B8188" s="3" t="str">
        <f>"00334194"</f>
        <v>00334194</v>
      </c>
    </row>
    <row r="8189" spans="1:2" x14ac:dyDescent="0.25">
      <c r="A8189" s="2">
        <v>8184</v>
      </c>
      <c r="B8189" s="3" t="str">
        <f>"00334197"</f>
        <v>00334197</v>
      </c>
    </row>
    <row r="8190" spans="1:2" x14ac:dyDescent="0.25">
      <c r="A8190" s="2">
        <v>8185</v>
      </c>
      <c r="B8190" s="3" t="str">
        <f>"00334227"</f>
        <v>00334227</v>
      </c>
    </row>
    <row r="8191" spans="1:2" x14ac:dyDescent="0.25">
      <c r="A8191" s="2">
        <v>8186</v>
      </c>
      <c r="B8191" s="3" t="str">
        <f>"00334233"</f>
        <v>00334233</v>
      </c>
    </row>
    <row r="8192" spans="1:2" x14ac:dyDescent="0.25">
      <c r="A8192" s="2">
        <v>8187</v>
      </c>
      <c r="B8192" s="3" t="str">
        <f>"00334246"</f>
        <v>00334246</v>
      </c>
    </row>
    <row r="8193" spans="1:2" x14ac:dyDescent="0.25">
      <c r="A8193" s="2">
        <v>8188</v>
      </c>
      <c r="B8193" s="3" t="str">
        <f>"00334348"</f>
        <v>00334348</v>
      </c>
    </row>
    <row r="8194" spans="1:2" x14ac:dyDescent="0.25">
      <c r="A8194" s="2">
        <v>8189</v>
      </c>
      <c r="B8194" s="3" t="str">
        <f>"00334415"</f>
        <v>00334415</v>
      </c>
    </row>
    <row r="8195" spans="1:2" x14ac:dyDescent="0.25">
      <c r="A8195" s="2">
        <v>8190</v>
      </c>
      <c r="B8195" s="3" t="str">
        <f>"00334434"</f>
        <v>00334434</v>
      </c>
    </row>
    <row r="8196" spans="1:2" x14ac:dyDescent="0.25">
      <c r="A8196" s="2">
        <v>8191</v>
      </c>
      <c r="B8196" s="3" t="str">
        <f>"00334485"</f>
        <v>00334485</v>
      </c>
    </row>
    <row r="8197" spans="1:2" x14ac:dyDescent="0.25">
      <c r="A8197" s="2">
        <v>8192</v>
      </c>
      <c r="B8197" s="3" t="str">
        <f>"00334487"</f>
        <v>00334487</v>
      </c>
    </row>
    <row r="8198" spans="1:2" x14ac:dyDescent="0.25">
      <c r="A8198" s="2">
        <v>8193</v>
      </c>
      <c r="B8198" s="3" t="str">
        <f>"00334494"</f>
        <v>00334494</v>
      </c>
    </row>
    <row r="8199" spans="1:2" x14ac:dyDescent="0.25">
      <c r="A8199" s="2">
        <v>8194</v>
      </c>
      <c r="B8199" s="3" t="str">
        <f>"00334518"</f>
        <v>00334518</v>
      </c>
    </row>
    <row r="8200" spans="1:2" x14ac:dyDescent="0.25">
      <c r="A8200" s="2">
        <v>8195</v>
      </c>
      <c r="B8200" s="3" t="str">
        <f>"00334546"</f>
        <v>00334546</v>
      </c>
    </row>
    <row r="8201" spans="1:2" x14ac:dyDescent="0.25">
      <c r="A8201" s="2">
        <v>8196</v>
      </c>
      <c r="B8201" s="3" t="str">
        <f>"00334592"</f>
        <v>00334592</v>
      </c>
    </row>
    <row r="8202" spans="1:2" x14ac:dyDescent="0.25">
      <c r="A8202" s="2">
        <v>8197</v>
      </c>
      <c r="B8202" s="3" t="str">
        <f>"00334662"</f>
        <v>00334662</v>
      </c>
    </row>
    <row r="8203" spans="1:2" x14ac:dyDescent="0.25">
      <c r="A8203" s="2">
        <v>8198</v>
      </c>
      <c r="B8203" s="3" t="str">
        <f>"00334667"</f>
        <v>00334667</v>
      </c>
    </row>
    <row r="8204" spans="1:2" x14ac:dyDescent="0.25">
      <c r="A8204" s="2">
        <v>8199</v>
      </c>
      <c r="B8204" s="3" t="str">
        <f>"00334734"</f>
        <v>00334734</v>
      </c>
    </row>
    <row r="8205" spans="1:2" x14ac:dyDescent="0.25">
      <c r="A8205" s="2">
        <v>8200</v>
      </c>
      <c r="B8205" s="3" t="str">
        <f>"00334807"</f>
        <v>00334807</v>
      </c>
    </row>
    <row r="8206" spans="1:2" x14ac:dyDescent="0.25">
      <c r="A8206" s="2">
        <v>8201</v>
      </c>
      <c r="B8206" s="3" t="str">
        <f>"00334857"</f>
        <v>00334857</v>
      </c>
    </row>
    <row r="8207" spans="1:2" x14ac:dyDescent="0.25">
      <c r="A8207" s="2">
        <v>8202</v>
      </c>
      <c r="B8207" s="3" t="str">
        <f>"00334882"</f>
        <v>00334882</v>
      </c>
    </row>
    <row r="8208" spans="1:2" x14ac:dyDescent="0.25">
      <c r="A8208" s="2">
        <v>8203</v>
      </c>
      <c r="B8208" s="3" t="str">
        <f>"00334891"</f>
        <v>00334891</v>
      </c>
    </row>
    <row r="8209" spans="1:2" x14ac:dyDescent="0.25">
      <c r="A8209" s="2">
        <v>8204</v>
      </c>
      <c r="B8209" s="3" t="str">
        <f>"00334909"</f>
        <v>00334909</v>
      </c>
    </row>
    <row r="8210" spans="1:2" x14ac:dyDescent="0.25">
      <c r="A8210" s="2">
        <v>8205</v>
      </c>
      <c r="B8210" s="3" t="str">
        <f>"00334917"</f>
        <v>00334917</v>
      </c>
    </row>
    <row r="8211" spans="1:2" x14ac:dyDescent="0.25">
      <c r="A8211" s="2">
        <v>8206</v>
      </c>
      <c r="B8211" s="3" t="str">
        <f>"00334929"</f>
        <v>00334929</v>
      </c>
    </row>
    <row r="8212" spans="1:2" x14ac:dyDescent="0.25">
      <c r="A8212" s="2">
        <v>8207</v>
      </c>
      <c r="B8212" s="3" t="str">
        <f>"00334934"</f>
        <v>00334934</v>
      </c>
    </row>
    <row r="8213" spans="1:2" x14ac:dyDescent="0.25">
      <c r="A8213" s="2">
        <v>8208</v>
      </c>
      <c r="B8213" s="3" t="str">
        <f>"00334988"</f>
        <v>00334988</v>
      </c>
    </row>
    <row r="8214" spans="1:2" x14ac:dyDescent="0.25">
      <c r="A8214" s="2">
        <v>8209</v>
      </c>
      <c r="B8214" s="3" t="str">
        <f>"00334996"</f>
        <v>00334996</v>
      </c>
    </row>
    <row r="8215" spans="1:2" x14ac:dyDescent="0.25">
      <c r="A8215" s="2">
        <v>8210</v>
      </c>
      <c r="B8215" s="3" t="str">
        <f>"00335014"</f>
        <v>00335014</v>
      </c>
    </row>
    <row r="8216" spans="1:2" x14ac:dyDescent="0.25">
      <c r="A8216" s="2">
        <v>8211</v>
      </c>
      <c r="B8216" s="3" t="str">
        <f>"00335033"</f>
        <v>00335033</v>
      </c>
    </row>
    <row r="8217" spans="1:2" x14ac:dyDescent="0.25">
      <c r="A8217" s="2">
        <v>8212</v>
      </c>
      <c r="B8217" s="3" t="str">
        <f>"00335045"</f>
        <v>00335045</v>
      </c>
    </row>
    <row r="8218" spans="1:2" x14ac:dyDescent="0.25">
      <c r="A8218" s="2">
        <v>8213</v>
      </c>
      <c r="B8218" s="3" t="str">
        <f>"00335054"</f>
        <v>00335054</v>
      </c>
    </row>
    <row r="8219" spans="1:2" x14ac:dyDescent="0.25">
      <c r="A8219" s="2">
        <v>8214</v>
      </c>
      <c r="B8219" s="3" t="str">
        <f>"00335086"</f>
        <v>00335086</v>
      </c>
    </row>
    <row r="8220" spans="1:2" x14ac:dyDescent="0.25">
      <c r="A8220" s="2">
        <v>8215</v>
      </c>
      <c r="B8220" s="3" t="str">
        <f>"00335101"</f>
        <v>00335101</v>
      </c>
    </row>
    <row r="8221" spans="1:2" x14ac:dyDescent="0.25">
      <c r="A8221" s="2">
        <v>8216</v>
      </c>
      <c r="B8221" s="3" t="str">
        <f>"00335134"</f>
        <v>00335134</v>
      </c>
    </row>
    <row r="8222" spans="1:2" x14ac:dyDescent="0.25">
      <c r="A8222" s="2">
        <v>8217</v>
      </c>
      <c r="B8222" s="3" t="str">
        <f>"00335137"</f>
        <v>00335137</v>
      </c>
    </row>
    <row r="8223" spans="1:2" x14ac:dyDescent="0.25">
      <c r="A8223" s="2">
        <v>8218</v>
      </c>
      <c r="B8223" s="3" t="str">
        <f>"00335161"</f>
        <v>00335161</v>
      </c>
    </row>
    <row r="8224" spans="1:2" x14ac:dyDescent="0.25">
      <c r="A8224" s="2">
        <v>8219</v>
      </c>
      <c r="B8224" s="3" t="str">
        <f>"00335171"</f>
        <v>00335171</v>
      </c>
    </row>
    <row r="8225" spans="1:2" x14ac:dyDescent="0.25">
      <c r="A8225" s="2">
        <v>8220</v>
      </c>
      <c r="B8225" s="3" t="str">
        <f>"00335208"</f>
        <v>00335208</v>
      </c>
    </row>
    <row r="8226" spans="1:2" x14ac:dyDescent="0.25">
      <c r="A8226" s="2">
        <v>8221</v>
      </c>
      <c r="B8226" s="3" t="str">
        <f>"00335331"</f>
        <v>00335331</v>
      </c>
    </row>
    <row r="8227" spans="1:2" x14ac:dyDescent="0.25">
      <c r="A8227" s="2">
        <v>8222</v>
      </c>
      <c r="B8227" s="3" t="str">
        <f>"00335364"</f>
        <v>00335364</v>
      </c>
    </row>
    <row r="8228" spans="1:2" x14ac:dyDescent="0.25">
      <c r="A8228" s="2">
        <v>8223</v>
      </c>
      <c r="B8228" s="3" t="str">
        <f>"00335379"</f>
        <v>00335379</v>
      </c>
    </row>
    <row r="8229" spans="1:2" x14ac:dyDescent="0.25">
      <c r="A8229" s="2">
        <v>8224</v>
      </c>
      <c r="B8229" s="3" t="str">
        <f>"00335399"</f>
        <v>00335399</v>
      </c>
    </row>
    <row r="8230" spans="1:2" x14ac:dyDescent="0.25">
      <c r="A8230" s="2">
        <v>8225</v>
      </c>
      <c r="B8230" s="3" t="str">
        <f>"00335413"</f>
        <v>00335413</v>
      </c>
    </row>
    <row r="8231" spans="1:2" x14ac:dyDescent="0.25">
      <c r="A8231" s="2">
        <v>8226</v>
      </c>
      <c r="B8231" s="3" t="str">
        <f>"00335424"</f>
        <v>00335424</v>
      </c>
    </row>
    <row r="8232" spans="1:2" x14ac:dyDescent="0.25">
      <c r="A8232" s="2">
        <v>8227</v>
      </c>
      <c r="B8232" s="3" t="str">
        <f>"00335492"</f>
        <v>00335492</v>
      </c>
    </row>
    <row r="8233" spans="1:2" x14ac:dyDescent="0.25">
      <c r="A8233" s="2">
        <v>8228</v>
      </c>
      <c r="B8233" s="3" t="str">
        <f>"00335517"</f>
        <v>00335517</v>
      </c>
    </row>
    <row r="8234" spans="1:2" x14ac:dyDescent="0.25">
      <c r="A8234" s="2">
        <v>8229</v>
      </c>
      <c r="B8234" s="3" t="str">
        <f>"00335524"</f>
        <v>00335524</v>
      </c>
    </row>
    <row r="8235" spans="1:2" x14ac:dyDescent="0.25">
      <c r="A8235" s="2">
        <v>8230</v>
      </c>
      <c r="B8235" s="3" t="str">
        <f>"00335534"</f>
        <v>00335534</v>
      </c>
    </row>
    <row r="8236" spans="1:2" x14ac:dyDescent="0.25">
      <c r="A8236" s="2">
        <v>8231</v>
      </c>
      <c r="B8236" s="3" t="str">
        <f>"00335544"</f>
        <v>00335544</v>
      </c>
    </row>
    <row r="8237" spans="1:2" x14ac:dyDescent="0.25">
      <c r="A8237" s="2">
        <v>8232</v>
      </c>
      <c r="B8237" s="3" t="str">
        <f>"00335616"</f>
        <v>00335616</v>
      </c>
    </row>
    <row r="8238" spans="1:2" x14ac:dyDescent="0.25">
      <c r="A8238" s="2">
        <v>8233</v>
      </c>
      <c r="B8238" s="3" t="str">
        <f>"00335896"</f>
        <v>00335896</v>
      </c>
    </row>
    <row r="8239" spans="1:2" x14ac:dyDescent="0.25">
      <c r="A8239" s="2">
        <v>8234</v>
      </c>
      <c r="B8239" s="3" t="str">
        <f>"00335942"</f>
        <v>00335942</v>
      </c>
    </row>
    <row r="8240" spans="1:2" x14ac:dyDescent="0.25">
      <c r="A8240" s="2">
        <v>8235</v>
      </c>
      <c r="B8240" s="3" t="str">
        <f>"00335956"</f>
        <v>00335956</v>
      </c>
    </row>
    <row r="8241" spans="1:2" x14ac:dyDescent="0.25">
      <c r="A8241" s="2">
        <v>8236</v>
      </c>
      <c r="B8241" s="3" t="str">
        <f>"00335974"</f>
        <v>00335974</v>
      </c>
    </row>
    <row r="8242" spans="1:2" x14ac:dyDescent="0.25">
      <c r="A8242" s="2">
        <v>8237</v>
      </c>
      <c r="B8242" s="3" t="str">
        <f>"00336007"</f>
        <v>00336007</v>
      </c>
    </row>
    <row r="8243" spans="1:2" x14ac:dyDescent="0.25">
      <c r="A8243" s="2">
        <v>8238</v>
      </c>
      <c r="B8243" s="3" t="str">
        <f>"00336039"</f>
        <v>00336039</v>
      </c>
    </row>
    <row r="8244" spans="1:2" x14ac:dyDescent="0.25">
      <c r="A8244" s="2">
        <v>8239</v>
      </c>
      <c r="B8244" s="3" t="str">
        <f>"00336095"</f>
        <v>00336095</v>
      </c>
    </row>
    <row r="8245" spans="1:2" x14ac:dyDescent="0.25">
      <c r="A8245" s="2">
        <v>8240</v>
      </c>
      <c r="B8245" s="3" t="str">
        <f>"00336134"</f>
        <v>00336134</v>
      </c>
    </row>
    <row r="8246" spans="1:2" x14ac:dyDescent="0.25">
      <c r="A8246" s="2">
        <v>8241</v>
      </c>
      <c r="B8246" s="3" t="str">
        <f>"00336140"</f>
        <v>00336140</v>
      </c>
    </row>
    <row r="8247" spans="1:2" x14ac:dyDescent="0.25">
      <c r="A8247" s="2">
        <v>8242</v>
      </c>
      <c r="B8247" s="3" t="str">
        <f>"00336145"</f>
        <v>00336145</v>
      </c>
    </row>
    <row r="8248" spans="1:2" x14ac:dyDescent="0.25">
      <c r="A8248" s="2">
        <v>8243</v>
      </c>
      <c r="B8248" s="3" t="str">
        <f>"00336158"</f>
        <v>00336158</v>
      </c>
    </row>
    <row r="8249" spans="1:2" x14ac:dyDescent="0.25">
      <c r="A8249" s="2">
        <v>8244</v>
      </c>
      <c r="B8249" s="3" t="str">
        <f>"00336173"</f>
        <v>00336173</v>
      </c>
    </row>
    <row r="8250" spans="1:2" x14ac:dyDescent="0.25">
      <c r="A8250" s="2">
        <v>8245</v>
      </c>
      <c r="B8250" s="3" t="str">
        <f>"00336224"</f>
        <v>00336224</v>
      </c>
    </row>
    <row r="8251" spans="1:2" x14ac:dyDescent="0.25">
      <c r="A8251" s="2">
        <v>8246</v>
      </c>
      <c r="B8251" s="3" t="str">
        <f>"00336241"</f>
        <v>00336241</v>
      </c>
    </row>
    <row r="8252" spans="1:2" x14ac:dyDescent="0.25">
      <c r="A8252" s="2">
        <v>8247</v>
      </c>
      <c r="B8252" s="3" t="str">
        <f>"00336250"</f>
        <v>00336250</v>
      </c>
    </row>
    <row r="8253" spans="1:2" x14ac:dyDescent="0.25">
      <c r="A8253" s="2">
        <v>8248</v>
      </c>
      <c r="B8253" s="3" t="str">
        <f>"00336266"</f>
        <v>00336266</v>
      </c>
    </row>
    <row r="8254" spans="1:2" x14ac:dyDescent="0.25">
      <c r="A8254" s="2">
        <v>8249</v>
      </c>
      <c r="B8254" s="3" t="str">
        <f>"00336268"</f>
        <v>00336268</v>
      </c>
    </row>
    <row r="8255" spans="1:2" x14ac:dyDescent="0.25">
      <c r="A8255" s="2">
        <v>8250</v>
      </c>
      <c r="B8255" s="3" t="str">
        <f>"00336303"</f>
        <v>00336303</v>
      </c>
    </row>
    <row r="8256" spans="1:2" x14ac:dyDescent="0.25">
      <c r="A8256" s="2">
        <v>8251</v>
      </c>
      <c r="B8256" s="3" t="str">
        <f>"00336329"</f>
        <v>00336329</v>
      </c>
    </row>
    <row r="8257" spans="1:2" x14ac:dyDescent="0.25">
      <c r="A8257" s="2">
        <v>8252</v>
      </c>
      <c r="B8257" s="3" t="str">
        <f>"00336342"</f>
        <v>00336342</v>
      </c>
    </row>
    <row r="8258" spans="1:2" x14ac:dyDescent="0.25">
      <c r="A8258" s="2">
        <v>8253</v>
      </c>
      <c r="B8258" s="3" t="str">
        <f>"00336374"</f>
        <v>00336374</v>
      </c>
    </row>
    <row r="8259" spans="1:2" x14ac:dyDescent="0.25">
      <c r="A8259" s="2">
        <v>8254</v>
      </c>
      <c r="B8259" s="3" t="str">
        <f>"00336382"</f>
        <v>00336382</v>
      </c>
    </row>
    <row r="8260" spans="1:2" x14ac:dyDescent="0.25">
      <c r="A8260" s="2">
        <v>8255</v>
      </c>
      <c r="B8260" s="3" t="str">
        <f>"00336402"</f>
        <v>00336402</v>
      </c>
    </row>
    <row r="8261" spans="1:2" x14ac:dyDescent="0.25">
      <c r="A8261" s="2">
        <v>8256</v>
      </c>
      <c r="B8261" s="3" t="str">
        <f>"00336481"</f>
        <v>00336481</v>
      </c>
    </row>
    <row r="8262" spans="1:2" x14ac:dyDescent="0.25">
      <c r="A8262" s="2">
        <v>8257</v>
      </c>
      <c r="B8262" s="3" t="str">
        <f>"00336487"</f>
        <v>00336487</v>
      </c>
    </row>
    <row r="8263" spans="1:2" x14ac:dyDescent="0.25">
      <c r="A8263" s="2">
        <v>8258</v>
      </c>
      <c r="B8263" s="3" t="str">
        <f>"00336509"</f>
        <v>00336509</v>
      </c>
    </row>
    <row r="8264" spans="1:2" x14ac:dyDescent="0.25">
      <c r="A8264" s="2">
        <v>8259</v>
      </c>
      <c r="B8264" s="3" t="str">
        <f>"00336562"</f>
        <v>00336562</v>
      </c>
    </row>
    <row r="8265" spans="1:2" x14ac:dyDescent="0.25">
      <c r="A8265" s="2">
        <v>8260</v>
      </c>
      <c r="B8265" s="3" t="str">
        <f>"00336781"</f>
        <v>00336781</v>
      </c>
    </row>
    <row r="8266" spans="1:2" x14ac:dyDescent="0.25">
      <c r="A8266" s="2">
        <v>8261</v>
      </c>
      <c r="B8266" s="3" t="str">
        <f>"00336824"</f>
        <v>00336824</v>
      </c>
    </row>
    <row r="8267" spans="1:2" x14ac:dyDescent="0.25">
      <c r="A8267" s="2">
        <v>8262</v>
      </c>
      <c r="B8267" s="3" t="str">
        <f>"00336873"</f>
        <v>00336873</v>
      </c>
    </row>
    <row r="8268" spans="1:2" x14ac:dyDescent="0.25">
      <c r="A8268" s="2">
        <v>8263</v>
      </c>
      <c r="B8268" s="3" t="str">
        <f>"00336880"</f>
        <v>00336880</v>
      </c>
    </row>
    <row r="8269" spans="1:2" x14ac:dyDescent="0.25">
      <c r="A8269" s="2">
        <v>8264</v>
      </c>
      <c r="B8269" s="3" t="str">
        <f>"00336958"</f>
        <v>00336958</v>
      </c>
    </row>
    <row r="8270" spans="1:2" x14ac:dyDescent="0.25">
      <c r="A8270" s="2">
        <v>8265</v>
      </c>
      <c r="B8270" s="3" t="str">
        <f>"00336984"</f>
        <v>00336984</v>
      </c>
    </row>
    <row r="8271" spans="1:2" x14ac:dyDescent="0.25">
      <c r="A8271" s="2">
        <v>8266</v>
      </c>
      <c r="B8271" s="3" t="str">
        <f>"00337036"</f>
        <v>00337036</v>
      </c>
    </row>
    <row r="8272" spans="1:2" x14ac:dyDescent="0.25">
      <c r="A8272" s="2">
        <v>8267</v>
      </c>
      <c r="B8272" s="3" t="str">
        <f>"00337117"</f>
        <v>00337117</v>
      </c>
    </row>
    <row r="8273" spans="1:2" x14ac:dyDescent="0.25">
      <c r="A8273" s="2">
        <v>8268</v>
      </c>
      <c r="B8273" s="3" t="str">
        <f>"00337139"</f>
        <v>00337139</v>
      </c>
    </row>
    <row r="8274" spans="1:2" x14ac:dyDescent="0.25">
      <c r="A8274" s="2">
        <v>8269</v>
      </c>
      <c r="B8274" s="3" t="str">
        <f>"00337284"</f>
        <v>00337284</v>
      </c>
    </row>
    <row r="8275" spans="1:2" x14ac:dyDescent="0.25">
      <c r="A8275" s="2">
        <v>8270</v>
      </c>
      <c r="B8275" s="3" t="str">
        <f>"00337293"</f>
        <v>00337293</v>
      </c>
    </row>
    <row r="8276" spans="1:2" x14ac:dyDescent="0.25">
      <c r="A8276" s="2">
        <v>8271</v>
      </c>
      <c r="B8276" s="3" t="str">
        <f>"00337296"</f>
        <v>00337296</v>
      </c>
    </row>
    <row r="8277" spans="1:2" x14ac:dyDescent="0.25">
      <c r="A8277" s="2">
        <v>8272</v>
      </c>
      <c r="B8277" s="3" t="str">
        <f>"00337307"</f>
        <v>00337307</v>
      </c>
    </row>
    <row r="8278" spans="1:2" x14ac:dyDescent="0.25">
      <c r="A8278" s="2">
        <v>8273</v>
      </c>
      <c r="B8278" s="3" t="str">
        <f>"00337368"</f>
        <v>00337368</v>
      </c>
    </row>
    <row r="8279" spans="1:2" x14ac:dyDescent="0.25">
      <c r="A8279" s="2">
        <v>8274</v>
      </c>
      <c r="B8279" s="3" t="str">
        <f>"00337395"</f>
        <v>00337395</v>
      </c>
    </row>
    <row r="8280" spans="1:2" x14ac:dyDescent="0.25">
      <c r="A8280" s="2">
        <v>8275</v>
      </c>
      <c r="B8280" s="3" t="str">
        <f>"00337401"</f>
        <v>00337401</v>
      </c>
    </row>
    <row r="8281" spans="1:2" x14ac:dyDescent="0.25">
      <c r="A8281" s="2">
        <v>8276</v>
      </c>
      <c r="B8281" s="3" t="str">
        <f>"00337485"</f>
        <v>00337485</v>
      </c>
    </row>
    <row r="8282" spans="1:2" x14ac:dyDescent="0.25">
      <c r="A8282" s="2">
        <v>8277</v>
      </c>
      <c r="B8282" s="3" t="str">
        <f>"00337507"</f>
        <v>00337507</v>
      </c>
    </row>
    <row r="8283" spans="1:2" x14ac:dyDescent="0.25">
      <c r="A8283" s="2">
        <v>8278</v>
      </c>
      <c r="B8283" s="3" t="str">
        <f>"00337555"</f>
        <v>00337555</v>
      </c>
    </row>
    <row r="8284" spans="1:2" x14ac:dyDescent="0.25">
      <c r="A8284" s="2">
        <v>8279</v>
      </c>
      <c r="B8284" s="3" t="str">
        <f>"00337561"</f>
        <v>00337561</v>
      </c>
    </row>
    <row r="8285" spans="1:2" x14ac:dyDescent="0.25">
      <c r="A8285" s="2">
        <v>8280</v>
      </c>
      <c r="B8285" s="3" t="str">
        <f>"00337571"</f>
        <v>00337571</v>
      </c>
    </row>
    <row r="8286" spans="1:2" x14ac:dyDescent="0.25">
      <c r="A8286" s="2">
        <v>8281</v>
      </c>
      <c r="B8286" s="3" t="str">
        <f>"00337587"</f>
        <v>00337587</v>
      </c>
    </row>
    <row r="8287" spans="1:2" x14ac:dyDescent="0.25">
      <c r="A8287" s="2">
        <v>8282</v>
      </c>
      <c r="B8287" s="3" t="str">
        <f>"00337634"</f>
        <v>00337634</v>
      </c>
    </row>
    <row r="8288" spans="1:2" x14ac:dyDescent="0.25">
      <c r="A8288" s="2">
        <v>8283</v>
      </c>
      <c r="B8288" s="3" t="str">
        <f>"00337637"</f>
        <v>00337637</v>
      </c>
    </row>
    <row r="8289" spans="1:2" x14ac:dyDescent="0.25">
      <c r="A8289" s="2">
        <v>8284</v>
      </c>
      <c r="B8289" s="3" t="str">
        <f>"00337699"</f>
        <v>00337699</v>
      </c>
    </row>
    <row r="8290" spans="1:2" x14ac:dyDescent="0.25">
      <c r="A8290" s="2">
        <v>8285</v>
      </c>
      <c r="B8290" s="3" t="str">
        <f>"00337738"</f>
        <v>00337738</v>
      </c>
    </row>
    <row r="8291" spans="1:2" x14ac:dyDescent="0.25">
      <c r="A8291" s="2">
        <v>8286</v>
      </c>
      <c r="B8291" s="3" t="str">
        <f>"00337739"</f>
        <v>00337739</v>
      </c>
    </row>
    <row r="8292" spans="1:2" x14ac:dyDescent="0.25">
      <c r="A8292" s="2">
        <v>8287</v>
      </c>
      <c r="B8292" s="3" t="str">
        <f>"00337751"</f>
        <v>00337751</v>
      </c>
    </row>
    <row r="8293" spans="1:2" x14ac:dyDescent="0.25">
      <c r="A8293" s="2">
        <v>8288</v>
      </c>
      <c r="B8293" s="3" t="str">
        <f>"00337753"</f>
        <v>00337753</v>
      </c>
    </row>
    <row r="8294" spans="1:2" x14ac:dyDescent="0.25">
      <c r="A8294" s="2">
        <v>8289</v>
      </c>
      <c r="B8294" s="3" t="str">
        <f>"00337766"</f>
        <v>00337766</v>
      </c>
    </row>
    <row r="8295" spans="1:2" x14ac:dyDescent="0.25">
      <c r="A8295" s="2">
        <v>8290</v>
      </c>
      <c r="B8295" s="3" t="str">
        <f>"00337796"</f>
        <v>00337796</v>
      </c>
    </row>
    <row r="8296" spans="1:2" x14ac:dyDescent="0.25">
      <c r="A8296" s="2">
        <v>8291</v>
      </c>
      <c r="B8296" s="3" t="str">
        <f>"00337802"</f>
        <v>00337802</v>
      </c>
    </row>
    <row r="8297" spans="1:2" x14ac:dyDescent="0.25">
      <c r="A8297" s="2">
        <v>8292</v>
      </c>
      <c r="B8297" s="3" t="str">
        <f>"00337827"</f>
        <v>00337827</v>
      </c>
    </row>
    <row r="8298" spans="1:2" x14ac:dyDescent="0.25">
      <c r="A8298" s="2">
        <v>8293</v>
      </c>
      <c r="B8298" s="3" t="str">
        <f>"00337835"</f>
        <v>00337835</v>
      </c>
    </row>
    <row r="8299" spans="1:2" x14ac:dyDescent="0.25">
      <c r="A8299" s="2">
        <v>8294</v>
      </c>
      <c r="B8299" s="3" t="str">
        <f>"00337916"</f>
        <v>00337916</v>
      </c>
    </row>
    <row r="8300" spans="1:2" x14ac:dyDescent="0.25">
      <c r="A8300" s="2">
        <v>8295</v>
      </c>
      <c r="B8300" s="3" t="str">
        <f>"00337919"</f>
        <v>00337919</v>
      </c>
    </row>
    <row r="8301" spans="1:2" x14ac:dyDescent="0.25">
      <c r="A8301" s="2">
        <v>8296</v>
      </c>
      <c r="B8301" s="3" t="str">
        <f>"00337929"</f>
        <v>00337929</v>
      </c>
    </row>
    <row r="8302" spans="1:2" x14ac:dyDescent="0.25">
      <c r="A8302" s="2">
        <v>8297</v>
      </c>
      <c r="B8302" s="3" t="str">
        <f>"00338047"</f>
        <v>00338047</v>
      </c>
    </row>
    <row r="8303" spans="1:2" x14ac:dyDescent="0.25">
      <c r="A8303" s="2">
        <v>8298</v>
      </c>
      <c r="B8303" s="3" t="str">
        <f>"00338132"</f>
        <v>00338132</v>
      </c>
    </row>
    <row r="8304" spans="1:2" x14ac:dyDescent="0.25">
      <c r="A8304" s="2">
        <v>8299</v>
      </c>
      <c r="B8304" s="3" t="str">
        <f>"00338136"</f>
        <v>00338136</v>
      </c>
    </row>
    <row r="8305" spans="1:2" x14ac:dyDescent="0.25">
      <c r="A8305" s="2">
        <v>8300</v>
      </c>
      <c r="B8305" s="3" t="str">
        <f>"00338200"</f>
        <v>00338200</v>
      </c>
    </row>
    <row r="8306" spans="1:2" x14ac:dyDescent="0.25">
      <c r="A8306" s="2">
        <v>8301</v>
      </c>
      <c r="B8306" s="3" t="str">
        <f>"00338215"</f>
        <v>00338215</v>
      </c>
    </row>
    <row r="8307" spans="1:2" x14ac:dyDescent="0.25">
      <c r="A8307" s="2">
        <v>8302</v>
      </c>
      <c r="B8307" s="3" t="str">
        <f>"00338217"</f>
        <v>00338217</v>
      </c>
    </row>
    <row r="8308" spans="1:2" x14ac:dyDescent="0.25">
      <c r="A8308" s="2">
        <v>8303</v>
      </c>
      <c r="B8308" s="3" t="str">
        <f>"00338244"</f>
        <v>00338244</v>
      </c>
    </row>
    <row r="8309" spans="1:2" x14ac:dyDescent="0.25">
      <c r="A8309" s="2">
        <v>8304</v>
      </c>
      <c r="B8309" s="3" t="str">
        <f>"00338284"</f>
        <v>00338284</v>
      </c>
    </row>
    <row r="8310" spans="1:2" x14ac:dyDescent="0.25">
      <c r="A8310" s="2">
        <v>8305</v>
      </c>
      <c r="B8310" s="3" t="str">
        <f>"00338327"</f>
        <v>00338327</v>
      </c>
    </row>
    <row r="8311" spans="1:2" x14ac:dyDescent="0.25">
      <c r="A8311" s="2">
        <v>8306</v>
      </c>
      <c r="B8311" s="3" t="str">
        <f>"00338427"</f>
        <v>00338427</v>
      </c>
    </row>
    <row r="8312" spans="1:2" x14ac:dyDescent="0.25">
      <c r="A8312" s="2">
        <v>8307</v>
      </c>
      <c r="B8312" s="3" t="str">
        <f>"00338438"</f>
        <v>00338438</v>
      </c>
    </row>
    <row r="8313" spans="1:2" x14ac:dyDescent="0.25">
      <c r="A8313" s="2">
        <v>8308</v>
      </c>
      <c r="B8313" s="3" t="str">
        <f>"00338439"</f>
        <v>00338439</v>
      </c>
    </row>
    <row r="8314" spans="1:2" x14ac:dyDescent="0.25">
      <c r="A8314" s="2">
        <v>8309</v>
      </c>
      <c r="B8314" s="3" t="str">
        <f>"00338445"</f>
        <v>00338445</v>
      </c>
    </row>
    <row r="8315" spans="1:2" x14ac:dyDescent="0.25">
      <c r="A8315" s="2">
        <v>8310</v>
      </c>
      <c r="B8315" s="3" t="str">
        <f>"00338464"</f>
        <v>00338464</v>
      </c>
    </row>
    <row r="8316" spans="1:2" x14ac:dyDescent="0.25">
      <c r="A8316" s="2">
        <v>8311</v>
      </c>
      <c r="B8316" s="3" t="str">
        <f>"00338492"</f>
        <v>00338492</v>
      </c>
    </row>
    <row r="8317" spans="1:2" x14ac:dyDescent="0.25">
      <c r="A8317" s="2">
        <v>8312</v>
      </c>
      <c r="B8317" s="3" t="str">
        <f>"00338535"</f>
        <v>00338535</v>
      </c>
    </row>
    <row r="8318" spans="1:2" x14ac:dyDescent="0.25">
      <c r="A8318" s="2">
        <v>8313</v>
      </c>
      <c r="B8318" s="3" t="str">
        <f>"00338541"</f>
        <v>00338541</v>
      </c>
    </row>
    <row r="8319" spans="1:2" x14ac:dyDescent="0.25">
      <c r="A8319" s="2">
        <v>8314</v>
      </c>
      <c r="B8319" s="3" t="str">
        <f>"00338574"</f>
        <v>00338574</v>
      </c>
    </row>
    <row r="8320" spans="1:2" x14ac:dyDescent="0.25">
      <c r="A8320" s="2">
        <v>8315</v>
      </c>
      <c r="B8320" s="3" t="str">
        <f>"00338588"</f>
        <v>00338588</v>
      </c>
    </row>
    <row r="8321" spans="1:2" x14ac:dyDescent="0.25">
      <c r="A8321" s="2">
        <v>8316</v>
      </c>
      <c r="B8321" s="3" t="str">
        <f>"00338634"</f>
        <v>00338634</v>
      </c>
    </row>
    <row r="8322" spans="1:2" x14ac:dyDescent="0.25">
      <c r="A8322" s="2">
        <v>8317</v>
      </c>
      <c r="B8322" s="3" t="str">
        <f>"00338837"</f>
        <v>00338837</v>
      </c>
    </row>
    <row r="8323" spans="1:2" x14ac:dyDescent="0.25">
      <c r="A8323" s="2">
        <v>8318</v>
      </c>
      <c r="B8323" s="3" t="str">
        <f>"00338851"</f>
        <v>00338851</v>
      </c>
    </row>
    <row r="8324" spans="1:2" x14ac:dyDescent="0.25">
      <c r="A8324" s="2">
        <v>8319</v>
      </c>
      <c r="B8324" s="3" t="str">
        <f>"00338884"</f>
        <v>00338884</v>
      </c>
    </row>
    <row r="8325" spans="1:2" x14ac:dyDescent="0.25">
      <c r="A8325" s="2">
        <v>8320</v>
      </c>
      <c r="B8325" s="3" t="str">
        <f>"00338914"</f>
        <v>00338914</v>
      </c>
    </row>
    <row r="8326" spans="1:2" x14ac:dyDescent="0.25">
      <c r="A8326" s="2">
        <v>8321</v>
      </c>
      <c r="B8326" s="3" t="str">
        <f>"00338930"</f>
        <v>00338930</v>
      </c>
    </row>
    <row r="8327" spans="1:2" x14ac:dyDescent="0.25">
      <c r="A8327" s="2">
        <v>8322</v>
      </c>
      <c r="B8327" s="3" t="str">
        <f>"00338937"</f>
        <v>00338937</v>
      </c>
    </row>
    <row r="8328" spans="1:2" x14ac:dyDescent="0.25">
      <c r="A8328" s="2">
        <v>8323</v>
      </c>
      <c r="B8328" s="3" t="str">
        <f>"00339007"</f>
        <v>00339007</v>
      </c>
    </row>
    <row r="8329" spans="1:2" x14ac:dyDescent="0.25">
      <c r="A8329" s="2">
        <v>8324</v>
      </c>
      <c r="B8329" s="3" t="str">
        <f>"00339039"</f>
        <v>00339039</v>
      </c>
    </row>
    <row r="8330" spans="1:2" x14ac:dyDescent="0.25">
      <c r="A8330" s="2">
        <v>8325</v>
      </c>
      <c r="B8330" s="3" t="str">
        <f>"00339079"</f>
        <v>00339079</v>
      </c>
    </row>
    <row r="8331" spans="1:2" x14ac:dyDescent="0.25">
      <c r="A8331" s="2">
        <v>8326</v>
      </c>
      <c r="B8331" s="3" t="str">
        <f>"00339087"</f>
        <v>00339087</v>
      </c>
    </row>
    <row r="8332" spans="1:2" x14ac:dyDescent="0.25">
      <c r="A8332" s="2">
        <v>8327</v>
      </c>
      <c r="B8332" s="3" t="str">
        <f>"00339089"</f>
        <v>00339089</v>
      </c>
    </row>
    <row r="8333" spans="1:2" x14ac:dyDescent="0.25">
      <c r="A8333" s="2">
        <v>8328</v>
      </c>
      <c r="B8333" s="3" t="str">
        <f>"00339107"</f>
        <v>00339107</v>
      </c>
    </row>
    <row r="8334" spans="1:2" x14ac:dyDescent="0.25">
      <c r="A8334" s="2">
        <v>8329</v>
      </c>
      <c r="B8334" s="3" t="str">
        <f>"00339123"</f>
        <v>00339123</v>
      </c>
    </row>
    <row r="8335" spans="1:2" x14ac:dyDescent="0.25">
      <c r="A8335" s="2">
        <v>8330</v>
      </c>
      <c r="B8335" s="3" t="str">
        <f>"00339143"</f>
        <v>00339143</v>
      </c>
    </row>
    <row r="8336" spans="1:2" x14ac:dyDescent="0.25">
      <c r="A8336" s="2">
        <v>8331</v>
      </c>
      <c r="B8336" s="3" t="str">
        <f>"00339156"</f>
        <v>00339156</v>
      </c>
    </row>
    <row r="8337" spans="1:2" x14ac:dyDescent="0.25">
      <c r="A8337" s="2">
        <v>8332</v>
      </c>
      <c r="B8337" s="3" t="str">
        <f>"00339165"</f>
        <v>00339165</v>
      </c>
    </row>
    <row r="8338" spans="1:2" x14ac:dyDescent="0.25">
      <c r="A8338" s="2">
        <v>8333</v>
      </c>
      <c r="B8338" s="3" t="str">
        <f>"00339181"</f>
        <v>00339181</v>
      </c>
    </row>
    <row r="8339" spans="1:2" x14ac:dyDescent="0.25">
      <c r="A8339" s="2">
        <v>8334</v>
      </c>
      <c r="B8339" s="3" t="str">
        <f>"00339196"</f>
        <v>00339196</v>
      </c>
    </row>
    <row r="8340" spans="1:2" x14ac:dyDescent="0.25">
      <c r="A8340" s="2">
        <v>8335</v>
      </c>
      <c r="B8340" s="3" t="str">
        <f>"00339226"</f>
        <v>00339226</v>
      </c>
    </row>
    <row r="8341" spans="1:2" x14ac:dyDescent="0.25">
      <c r="A8341" s="2">
        <v>8336</v>
      </c>
      <c r="B8341" s="3" t="str">
        <f>"00339248"</f>
        <v>00339248</v>
      </c>
    </row>
    <row r="8342" spans="1:2" x14ac:dyDescent="0.25">
      <c r="A8342" s="2">
        <v>8337</v>
      </c>
      <c r="B8342" s="3" t="str">
        <f>"00339292"</f>
        <v>00339292</v>
      </c>
    </row>
    <row r="8343" spans="1:2" x14ac:dyDescent="0.25">
      <c r="A8343" s="2">
        <v>8338</v>
      </c>
      <c r="B8343" s="3" t="str">
        <f>"00339299"</f>
        <v>00339299</v>
      </c>
    </row>
    <row r="8344" spans="1:2" x14ac:dyDescent="0.25">
      <c r="A8344" s="2">
        <v>8339</v>
      </c>
      <c r="B8344" s="3" t="str">
        <f>"00339301"</f>
        <v>00339301</v>
      </c>
    </row>
    <row r="8345" spans="1:2" x14ac:dyDescent="0.25">
      <c r="A8345" s="2">
        <v>8340</v>
      </c>
      <c r="B8345" s="3" t="str">
        <f>"00339337"</f>
        <v>00339337</v>
      </c>
    </row>
    <row r="8346" spans="1:2" x14ac:dyDescent="0.25">
      <c r="A8346" s="2">
        <v>8341</v>
      </c>
      <c r="B8346" s="3" t="str">
        <f>"00339352"</f>
        <v>00339352</v>
      </c>
    </row>
    <row r="8347" spans="1:2" x14ac:dyDescent="0.25">
      <c r="A8347" s="2">
        <v>8342</v>
      </c>
      <c r="B8347" s="3" t="str">
        <f>"00339357"</f>
        <v>00339357</v>
      </c>
    </row>
    <row r="8348" spans="1:2" x14ac:dyDescent="0.25">
      <c r="A8348" s="2">
        <v>8343</v>
      </c>
      <c r="B8348" s="3" t="str">
        <f>"00339377"</f>
        <v>00339377</v>
      </c>
    </row>
    <row r="8349" spans="1:2" x14ac:dyDescent="0.25">
      <c r="A8349" s="2">
        <v>8344</v>
      </c>
      <c r="B8349" s="3" t="str">
        <f>"00339441"</f>
        <v>00339441</v>
      </c>
    </row>
    <row r="8350" spans="1:2" x14ac:dyDescent="0.25">
      <c r="A8350" s="2">
        <v>8345</v>
      </c>
      <c r="B8350" s="3" t="str">
        <f>"00339458"</f>
        <v>00339458</v>
      </c>
    </row>
    <row r="8351" spans="1:2" x14ac:dyDescent="0.25">
      <c r="A8351" s="2">
        <v>8346</v>
      </c>
      <c r="B8351" s="3" t="str">
        <f>"00339485"</f>
        <v>00339485</v>
      </c>
    </row>
    <row r="8352" spans="1:2" x14ac:dyDescent="0.25">
      <c r="A8352" s="2">
        <v>8347</v>
      </c>
      <c r="B8352" s="3" t="str">
        <f>"00339499"</f>
        <v>00339499</v>
      </c>
    </row>
    <row r="8353" spans="1:2" x14ac:dyDescent="0.25">
      <c r="A8353" s="2">
        <v>8348</v>
      </c>
      <c r="B8353" s="3" t="str">
        <f>"00339541"</f>
        <v>00339541</v>
      </c>
    </row>
    <row r="8354" spans="1:2" x14ac:dyDescent="0.25">
      <c r="A8354" s="2">
        <v>8349</v>
      </c>
      <c r="B8354" s="3" t="str">
        <f>"00339548"</f>
        <v>00339548</v>
      </c>
    </row>
    <row r="8355" spans="1:2" x14ac:dyDescent="0.25">
      <c r="A8355" s="2">
        <v>8350</v>
      </c>
      <c r="B8355" s="3" t="str">
        <f>"00339591"</f>
        <v>00339591</v>
      </c>
    </row>
    <row r="8356" spans="1:2" x14ac:dyDescent="0.25">
      <c r="A8356" s="2">
        <v>8351</v>
      </c>
      <c r="B8356" s="3" t="str">
        <f>"00339617"</f>
        <v>00339617</v>
      </c>
    </row>
    <row r="8357" spans="1:2" x14ac:dyDescent="0.25">
      <c r="A8357" s="2">
        <v>8352</v>
      </c>
      <c r="B8357" s="3" t="str">
        <f>"00339653"</f>
        <v>00339653</v>
      </c>
    </row>
    <row r="8358" spans="1:2" x14ac:dyDescent="0.25">
      <c r="A8358" s="2">
        <v>8353</v>
      </c>
      <c r="B8358" s="3" t="str">
        <f>"00339691"</f>
        <v>00339691</v>
      </c>
    </row>
    <row r="8359" spans="1:2" x14ac:dyDescent="0.25">
      <c r="A8359" s="2">
        <v>8354</v>
      </c>
      <c r="B8359" s="3" t="str">
        <f>"00339788"</f>
        <v>00339788</v>
      </c>
    </row>
    <row r="8360" spans="1:2" x14ac:dyDescent="0.25">
      <c r="A8360" s="2">
        <v>8355</v>
      </c>
      <c r="B8360" s="3" t="str">
        <f>"00339905"</f>
        <v>00339905</v>
      </c>
    </row>
    <row r="8361" spans="1:2" x14ac:dyDescent="0.25">
      <c r="A8361" s="2">
        <v>8356</v>
      </c>
      <c r="B8361" s="3" t="str">
        <f>"00339922"</f>
        <v>00339922</v>
      </c>
    </row>
    <row r="8362" spans="1:2" x14ac:dyDescent="0.25">
      <c r="A8362" s="2">
        <v>8357</v>
      </c>
      <c r="B8362" s="3" t="str">
        <f>"00340007"</f>
        <v>00340007</v>
      </c>
    </row>
    <row r="8363" spans="1:2" x14ac:dyDescent="0.25">
      <c r="A8363" s="2">
        <v>8358</v>
      </c>
      <c r="B8363" s="3" t="str">
        <f>"00340080"</f>
        <v>00340080</v>
      </c>
    </row>
    <row r="8364" spans="1:2" x14ac:dyDescent="0.25">
      <c r="A8364" s="2">
        <v>8359</v>
      </c>
      <c r="B8364" s="3" t="str">
        <f>"00340091"</f>
        <v>00340091</v>
      </c>
    </row>
    <row r="8365" spans="1:2" x14ac:dyDescent="0.25">
      <c r="A8365" s="2">
        <v>8360</v>
      </c>
      <c r="B8365" s="3" t="str">
        <f>"00340093"</f>
        <v>00340093</v>
      </c>
    </row>
    <row r="8366" spans="1:2" x14ac:dyDescent="0.25">
      <c r="A8366" s="2">
        <v>8361</v>
      </c>
      <c r="B8366" s="3" t="str">
        <f>"00340113"</f>
        <v>00340113</v>
      </c>
    </row>
    <row r="8367" spans="1:2" x14ac:dyDescent="0.25">
      <c r="A8367" s="2">
        <v>8362</v>
      </c>
      <c r="B8367" s="3" t="str">
        <f>"00340131"</f>
        <v>00340131</v>
      </c>
    </row>
    <row r="8368" spans="1:2" x14ac:dyDescent="0.25">
      <c r="A8368" s="2">
        <v>8363</v>
      </c>
      <c r="B8368" s="3" t="str">
        <f>"00340151"</f>
        <v>00340151</v>
      </c>
    </row>
    <row r="8369" spans="1:2" x14ac:dyDescent="0.25">
      <c r="A8369" s="2">
        <v>8364</v>
      </c>
      <c r="B8369" s="3" t="str">
        <f>"00340156"</f>
        <v>00340156</v>
      </c>
    </row>
    <row r="8370" spans="1:2" x14ac:dyDescent="0.25">
      <c r="A8370" s="2">
        <v>8365</v>
      </c>
      <c r="B8370" s="3" t="str">
        <f>"00340193"</f>
        <v>00340193</v>
      </c>
    </row>
    <row r="8371" spans="1:2" x14ac:dyDescent="0.25">
      <c r="A8371" s="2">
        <v>8366</v>
      </c>
      <c r="B8371" s="3" t="str">
        <f>"00340210"</f>
        <v>00340210</v>
      </c>
    </row>
    <row r="8372" spans="1:2" x14ac:dyDescent="0.25">
      <c r="A8372" s="2">
        <v>8367</v>
      </c>
      <c r="B8372" s="3" t="str">
        <f>"00340217"</f>
        <v>00340217</v>
      </c>
    </row>
    <row r="8373" spans="1:2" x14ac:dyDescent="0.25">
      <c r="A8373" s="2">
        <v>8368</v>
      </c>
      <c r="B8373" s="3" t="str">
        <f>"00340253"</f>
        <v>00340253</v>
      </c>
    </row>
    <row r="8374" spans="1:2" x14ac:dyDescent="0.25">
      <c r="A8374" s="2">
        <v>8369</v>
      </c>
      <c r="B8374" s="3" t="str">
        <f>"00340371"</f>
        <v>00340371</v>
      </c>
    </row>
    <row r="8375" spans="1:2" x14ac:dyDescent="0.25">
      <c r="A8375" s="2">
        <v>8370</v>
      </c>
      <c r="B8375" s="3" t="str">
        <f>"00340488"</f>
        <v>00340488</v>
      </c>
    </row>
    <row r="8376" spans="1:2" x14ac:dyDescent="0.25">
      <c r="A8376" s="2">
        <v>8371</v>
      </c>
      <c r="B8376" s="3" t="str">
        <f>"00340517"</f>
        <v>00340517</v>
      </c>
    </row>
    <row r="8377" spans="1:2" x14ac:dyDescent="0.25">
      <c r="A8377" s="2">
        <v>8372</v>
      </c>
      <c r="B8377" s="3" t="str">
        <f>"00340561"</f>
        <v>00340561</v>
      </c>
    </row>
    <row r="8378" spans="1:2" x14ac:dyDescent="0.25">
      <c r="A8378" s="2">
        <v>8373</v>
      </c>
      <c r="B8378" s="3" t="str">
        <f>"00340587"</f>
        <v>00340587</v>
      </c>
    </row>
    <row r="8379" spans="1:2" x14ac:dyDescent="0.25">
      <c r="A8379" s="2">
        <v>8374</v>
      </c>
      <c r="B8379" s="3" t="str">
        <f>"00340595"</f>
        <v>00340595</v>
      </c>
    </row>
    <row r="8380" spans="1:2" x14ac:dyDescent="0.25">
      <c r="A8380" s="2">
        <v>8375</v>
      </c>
      <c r="B8380" s="3" t="str">
        <f>"00340596"</f>
        <v>00340596</v>
      </c>
    </row>
    <row r="8381" spans="1:2" x14ac:dyDescent="0.25">
      <c r="A8381" s="2">
        <v>8376</v>
      </c>
      <c r="B8381" s="3" t="str">
        <f>"00340610"</f>
        <v>00340610</v>
      </c>
    </row>
    <row r="8382" spans="1:2" x14ac:dyDescent="0.25">
      <c r="A8382" s="2">
        <v>8377</v>
      </c>
      <c r="B8382" s="3" t="str">
        <f>"00340642"</f>
        <v>00340642</v>
      </c>
    </row>
    <row r="8383" spans="1:2" x14ac:dyDescent="0.25">
      <c r="A8383" s="2">
        <v>8378</v>
      </c>
      <c r="B8383" s="3" t="str">
        <f>"00340696"</f>
        <v>00340696</v>
      </c>
    </row>
    <row r="8384" spans="1:2" x14ac:dyDescent="0.25">
      <c r="A8384" s="2">
        <v>8379</v>
      </c>
      <c r="B8384" s="3" t="str">
        <f>"00340718"</f>
        <v>00340718</v>
      </c>
    </row>
    <row r="8385" spans="1:2" x14ac:dyDescent="0.25">
      <c r="A8385" s="2">
        <v>8380</v>
      </c>
      <c r="B8385" s="3" t="str">
        <f>"00340770"</f>
        <v>00340770</v>
      </c>
    </row>
    <row r="8386" spans="1:2" x14ac:dyDescent="0.25">
      <c r="A8386" s="2">
        <v>8381</v>
      </c>
      <c r="B8386" s="3" t="str">
        <f>"00340832"</f>
        <v>00340832</v>
      </c>
    </row>
    <row r="8387" spans="1:2" x14ac:dyDescent="0.25">
      <c r="A8387" s="2">
        <v>8382</v>
      </c>
      <c r="B8387" s="3" t="str">
        <f>"00340874"</f>
        <v>00340874</v>
      </c>
    </row>
    <row r="8388" spans="1:2" x14ac:dyDescent="0.25">
      <c r="A8388" s="2">
        <v>8383</v>
      </c>
      <c r="B8388" s="3" t="str">
        <f>"00341007"</f>
        <v>00341007</v>
      </c>
    </row>
    <row r="8389" spans="1:2" x14ac:dyDescent="0.25">
      <c r="A8389" s="2">
        <v>8384</v>
      </c>
      <c r="B8389" s="3" t="str">
        <f>"00341029"</f>
        <v>00341029</v>
      </c>
    </row>
    <row r="8390" spans="1:2" x14ac:dyDescent="0.25">
      <c r="A8390" s="2">
        <v>8385</v>
      </c>
      <c r="B8390" s="3" t="str">
        <f>"00341058"</f>
        <v>00341058</v>
      </c>
    </row>
    <row r="8391" spans="1:2" x14ac:dyDescent="0.25">
      <c r="A8391" s="2">
        <v>8386</v>
      </c>
      <c r="B8391" s="3" t="str">
        <f>"00341094"</f>
        <v>00341094</v>
      </c>
    </row>
    <row r="8392" spans="1:2" x14ac:dyDescent="0.25">
      <c r="A8392" s="2">
        <v>8387</v>
      </c>
      <c r="B8392" s="3" t="str">
        <f>"00341112"</f>
        <v>00341112</v>
      </c>
    </row>
    <row r="8393" spans="1:2" x14ac:dyDescent="0.25">
      <c r="A8393" s="2">
        <v>8388</v>
      </c>
      <c r="B8393" s="3" t="str">
        <f>"00341125"</f>
        <v>00341125</v>
      </c>
    </row>
    <row r="8394" spans="1:2" x14ac:dyDescent="0.25">
      <c r="A8394" s="2">
        <v>8389</v>
      </c>
      <c r="B8394" s="3" t="str">
        <f>"00341127"</f>
        <v>00341127</v>
      </c>
    </row>
    <row r="8395" spans="1:2" x14ac:dyDescent="0.25">
      <c r="A8395" s="2">
        <v>8390</v>
      </c>
      <c r="B8395" s="3" t="str">
        <f>"00341138"</f>
        <v>00341138</v>
      </c>
    </row>
    <row r="8396" spans="1:2" x14ac:dyDescent="0.25">
      <c r="A8396" s="2">
        <v>8391</v>
      </c>
      <c r="B8396" s="3" t="str">
        <f>"00341174"</f>
        <v>00341174</v>
      </c>
    </row>
    <row r="8397" spans="1:2" x14ac:dyDescent="0.25">
      <c r="A8397" s="2">
        <v>8392</v>
      </c>
      <c r="B8397" s="3" t="str">
        <f>"00341177"</f>
        <v>00341177</v>
      </c>
    </row>
    <row r="8398" spans="1:2" x14ac:dyDescent="0.25">
      <c r="A8398" s="2">
        <v>8393</v>
      </c>
      <c r="B8398" s="3" t="str">
        <f>"00341178"</f>
        <v>00341178</v>
      </c>
    </row>
    <row r="8399" spans="1:2" x14ac:dyDescent="0.25">
      <c r="A8399" s="2">
        <v>8394</v>
      </c>
      <c r="B8399" s="3" t="str">
        <f>"00341217"</f>
        <v>00341217</v>
      </c>
    </row>
    <row r="8400" spans="1:2" x14ac:dyDescent="0.25">
      <c r="A8400" s="2">
        <v>8395</v>
      </c>
      <c r="B8400" s="3" t="str">
        <f>"00341224"</f>
        <v>00341224</v>
      </c>
    </row>
    <row r="8401" spans="1:2" x14ac:dyDescent="0.25">
      <c r="A8401" s="2">
        <v>8396</v>
      </c>
      <c r="B8401" s="3" t="str">
        <f>"00341291"</f>
        <v>00341291</v>
      </c>
    </row>
    <row r="8402" spans="1:2" x14ac:dyDescent="0.25">
      <c r="A8402" s="2">
        <v>8397</v>
      </c>
      <c r="B8402" s="3" t="str">
        <f>"00341341"</f>
        <v>00341341</v>
      </c>
    </row>
    <row r="8403" spans="1:2" x14ac:dyDescent="0.25">
      <c r="A8403" s="2">
        <v>8398</v>
      </c>
      <c r="B8403" s="3" t="str">
        <f>"00341346"</f>
        <v>00341346</v>
      </c>
    </row>
    <row r="8404" spans="1:2" x14ac:dyDescent="0.25">
      <c r="A8404" s="2">
        <v>8399</v>
      </c>
      <c r="B8404" s="3" t="str">
        <f>"00341362"</f>
        <v>00341362</v>
      </c>
    </row>
    <row r="8405" spans="1:2" x14ac:dyDescent="0.25">
      <c r="A8405" s="2">
        <v>8400</v>
      </c>
      <c r="B8405" s="3" t="str">
        <f>"00341441"</f>
        <v>00341441</v>
      </c>
    </row>
    <row r="8406" spans="1:2" x14ac:dyDescent="0.25">
      <c r="A8406" s="2">
        <v>8401</v>
      </c>
      <c r="B8406" s="3" t="str">
        <f>"00341464"</f>
        <v>00341464</v>
      </c>
    </row>
    <row r="8407" spans="1:2" x14ac:dyDescent="0.25">
      <c r="A8407" s="2">
        <v>8402</v>
      </c>
      <c r="B8407" s="3" t="str">
        <f>"00341706"</f>
        <v>00341706</v>
      </c>
    </row>
    <row r="8408" spans="1:2" x14ac:dyDescent="0.25">
      <c r="A8408" s="2">
        <v>8403</v>
      </c>
      <c r="B8408" s="3" t="str">
        <f>"00341846"</f>
        <v>00341846</v>
      </c>
    </row>
    <row r="8409" spans="1:2" x14ac:dyDescent="0.25">
      <c r="A8409" s="2">
        <v>8404</v>
      </c>
      <c r="B8409" s="3" t="str">
        <f>"00341860"</f>
        <v>00341860</v>
      </c>
    </row>
    <row r="8410" spans="1:2" x14ac:dyDescent="0.25">
      <c r="A8410" s="2">
        <v>8405</v>
      </c>
      <c r="B8410" s="3" t="str">
        <f>"00341876"</f>
        <v>00341876</v>
      </c>
    </row>
    <row r="8411" spans="1:2" x14ac:dyDescent="0.25">
      <c r="A8411" s="2">
        <v>8406</v>
      </c>
      <c r="B8411" s="3" t="str">
        <f>"00341927"</f>
        <v>00341927</v>
      </c>
    </row>
    <row r="8412" spans="1:2" x14ac:dyDescent="0.25">
      <c r="A8412" s="2">
        <v>8407</v>
      </c>
      <c r="B8412" s="3" t="str">
        <f>"00341930"</f>
        <v>00341930</v>
      </c>
    </row>
    <row r="8413" spans="1:2" x14ac:dyDescent="0.25">
      <c r="A8413" s="2">
        <v>8408</v>
      </c>
      <c r="B8413" s="3" t="str">
        <f>"00341940"</f>
        <v>00341940</v>
      </c>
    </row>
    <row r="8414" spans="1:2" x14ac:dyDescent="0.25">
      <c r="A8414" s="2">
        <v>8409</v>
      </c>
      <c r="B8414" s="3" t="str">
        <f>"00341943"</f>
        <v>00341943</v>
      </c>
    </row>
    <row r="8415" spans="1:2" x14ac:dyDescent="0.25">
      <c r="A8415" s="2">
        <v>8410</v>
      </c>
      <c r="B8415" s="3" t="str">
        <f>"00341945"</f>
        <v>00341945</v>
      </c>
    </row>
    <row r="8416" spans="1:2" x14ac:dyDescent="0.25">
      <c r="A8416" s="2">
        <v>8411</v>
      </c>
      <c r="B8416" s="3" t="str">
        <f>"00341958"</f>
        <v>00341958</v>
      </c>
    </row>
    <row r="8417" spans="1:2" x14ac:dyDescent="0.25">
      <c r="A8417" s="2">
        <v>8412</v>
      </c>
      <c r="B8417" s="3" t="str">
        <f>"00341959"</f>
        <v>00341959</v>
      </c>
    </row>
    <row r="8418" spans="1:2" x14ac:dyDescent="0.25">
      <c r="A8418" s="2">
        <v>8413</v>
      </c>
      <c r="B8418" s="3" t="str">
        <f>"00341980"</f>
        <v>00341980</v>
      </c>
    </row>
    <row r="8419" spans="1:2" x14ac:dyDescent="0.25">
      <c r="A8419" s="2">
        <v>8414</v>
      </c>
      <c r="B8419" s="3" t="str">
        <f>"00342004"</f>
        <v>00342004</v>
      </c>
    </row>
    <row r="8420" spans="1:2" x14ac:dyDescent="0.25">
      <c r="A8420" s="2">
        <v>8415</v>
      </c>
      <c r="B8420" s="3" t="str">
        <f>"00342005"</f>
        <v>00342005</v>
      </c>
    </row>
    <row r="8421" spans="1:2" x14ac:dyDescent="0.25">
      <c r="A8421" s="2">
        <v>8416</v>
      </c>
      <c r="B8421" s="3" t="str">
        <f>"00342040"</f>
        <v>00342040</v>
      </c>
    </row>
    <row r="8422" spans="1:2" x14ac:dyDescent="0.25">
      <c r="A8422" s="2">
        <v>8417</v>
      </c>
      <c r="B8422" s="3" t="str">
        <f>"00342084"</f>
        <v>00342084</v>
      </c>
    </row>
    <row r="8423" spans="1:2" x14ac:dyDescent="0.25">
      <c r="A8423" s="2">
        <v>8418</v>
      </c>
      <c r="B8423" s="3" t="str">
        <f>"00342187"</f>
        <v>00342187</v>
      </c>
    </row>
    <row r="8424" spans="1:2" x14ac:dyDescent="0.25">
      <c r="A8424" s="2">
        <v>8419</v>
      </c>
      <c r="B8424" s="3" t="str">
        <f>"00342284"</f>
        <v>00342284</v>
      </c>
    </row>
    <row r="8425" spans="1:2" x14ac:dyDescent="0.25">
      <c r="A8425" s="2">
        <v>8420</v>
      </c>
      <c r="B8425" s="3" t="str">
        <f>"00342310"</f>
        <v>00342310</v>
      </c>
    </row>
    <row r="8426" spans="1:2" x14ac:dyDescent="0.25">
      <c r="A8426" s="2">
        <v>8421</v>
      </c>
      <c r="B8426" s="3" t="str">
        <f>"00342383"</f>
        <v>00342383</v>
      </c>
    </row>
    <row r="8427" spans="1:2" x14ac:dyDescent="0.25">
      <c r="A8427" s="2">
        <v>8422</v>
      </c>
      <c r="B8427" s="3" t="str">
        <f>"00342388"</f>
        <v>00342388</v>
      </c>
    </row>
    <row r="8428" spans="1:2" x14ac:dyDescent="0.25">
      <c r="A8428" s="2">
        <v>8423</v>
      </c>
      <c r="B8428" s="3" t="str">
        <f>"00342487"</f>
        <v>00342487</v>
      </c>
    </row>
    <row r="8429" spans="1:2" x14ac:dyDescent="0.25">
      <c r="A8429" s="2">
        <v>8424</v>
      </c>
      <c r="B8429" s="3" t="str">
        <f>"00342520"</f>
        <v>00342520</v>
      </c>
    </row>
    <row r="8430" spans="1:2" x14ac:dyDescent="0.25">
      <c r="A8430" s="2">
        <v>8425</v>
      </c>
      <c r="B8430" s="3" t="str">
        <f>"00342525"</f>
        <v>00342525</v>
      </c>
    </row>
    <row r="8431" spans="1:2" x14ac:dyDescent="0.25">
      <c r="A8431" s="2">
        <v>8426</v>
      </c>
      <c r="B8431" s="3" t="str">
        <f>"00342628"</f>
        <v>00342628</v>
      </c>
    </row>
    <row r="8432" spans="1:2" x14ac:dyDescent="0.25">
      <c r="A8432" s="2">
        <v>8427</v>
      </c>
      <c r="B8432" s="3" t="str">
        <f>"00342630"</f>
        <v>00342630</v>
      </c>
    </row>
    <row r="8433" spans="1:2" x14ac:dyDescent="0.25">
      <c r="A8433" s="2">
        <v>8428</v>
      </c>
      <c r="B8433" s="3" t="str">
        <f>"00342771"</f>
        <v>00342771</v>
      </c>
    </row>
    <row r="8434" spans="1:2" x14ac:dyDescent="0.25">
      <c r="A8434" s="2">
        <v>8429</v>
      </c>
      <c r="B8434" s="3" t="str">
        <f>"00342888"</f>
        <v>00342888</v>
      </c>
    </row>
    <row r="8435" spans="1:2" x14ac:dyDescent="0.25">
      <c r="A8435" s="2">
        <v>8430</v>
      </c>
      <c r="B8435" s="3" t="str">
        <f>"00342952"</f>
        <v>00342952</v>
      </c>
    </row>
    <row r="8436" spans="1:2" x14ac:dyDescent="0.25">
      <c r="A8436" s="2">
        <v>8431</v>
      </c>
      <c r="B8436" s="3" t="str">
        <f>"00343053"</f>
        <v>00343053</v>
      </c>
    </row>
    <row r="8437" spans="1:2" x14ac:dyDescent="0.25">
      <c r="A8437" s="2">
        <v>8432</v>
      </c>
      <c r="B8437" s="3" t="str">
        <f>"00343073"</f>
        <v>00343073</v>
      </c>
    </row>
    <row r="8438" spans="1:2" x14ac:dyDescent="0.25">
      <c r="A8438" s="2">
        <v>8433</v>
      </c>
      <c r="B8438" s="3" t="str">
        <f>"00343094"</f>
        <v>00343094</v>
      </c>
    </row>
    <row r="8439" spans="1:2" x14ac:dyDescent="0.25">
      <c r="A8439" s="2">
        <v>8434</v>
      </c>
      <c r="B8439" s="3" t="str">
        <f>"00343108"</f>
        <v>00343108</v>
      </c>
    </row>
    <row r="8440" spans="1:2" x14ac:dyDescent="0.25">
      <c r="A8440" s="2">
        <v>8435</v>
      </c>
      <c r="B8440" s="3" t="str">
        <f>"00343156"</f>
        <v>00343156</v>
      </c>
    </row>
    <row r="8441" spans="1:2" x14ac:dyDescent="0.25">
      <c r="A8441" s="2">
        <v>8436</v>
      </c>
      <c r="B8441" s="3" t="str">
        <f>"00343195"</f>
        <v>00343195</v>
      </c>
    </row>
    <row r="8442" spans="1:2" x14ac:dyDescent="0.25">
      <c r="A8442" s="2">
        <v>8437</v>
      </c>
      <c r="B8442" s="3" t="str">
        <f>"00343204"</f>
        <v>00343204</v>
      </c>
    </row>
    <row r="8443" spans="1:2" x14ac:dyDescent="0.25">
      <c r="A8443" s="2">
        <v>8438</v>
      </c>
      <c r="B8443" s="3" t="str">
        <f>"00343215"</f>
        <v>00343215</v>
      </c>
    </row>
    <row r="8444" spans="1:2" x14ac:dyDescent="0.25">
      <c r="A8444" s="2">
        <v>8439</v>
      </c>
      <c r="B8444" s="3" t="str">
        <f>"00343269"</f>
        <v>00343269</v>
      </c>
    </row>
    <row r="8445" spans="1:2" x14ac:dyDescent="0.25">
      <c r="A8445" s="2">
        <v>8440</v>
      </c>
      <c r="B8445" s="3" t="str">
        <f>"00343287"</f>
        <v>00343287</v>
      </c>
    </row>
    <row r="8446" spans="1:2" x14ac:dyDescent="0.25">
      <c r="A8446" s="2">
        <v>8441</v>
      </c>
      <c r="B8446" s="3" t="str">
        <f>"00343325"</f>
        <v>00343325</v>
      </c>
    </row>
    <row r="8447" spans="1:2" x14ac:dyDescent="0.25">
      <c r="A8447" s="2">
        <v>8442</v>
      </c>
      <c r="B8447" s="3" t="str">
        <f>"00343371"</f>
        <v>00343371</v>
      </c>
    </row>
    <row r="8448" spans="1:2" x14ac:dyDescent="0.25">
      <c r="A8448" s="2">
        <v>8443</v>
      </c>
      <c r="B8448" s="3" t="str">
        <f>"00343376"</f>
        <v>00343376</v>
      </c>
    </row>
    <row r="8449" spans="1:2" x14ac:dyDescent="0.25">
      <c r="A8449" s="2">
        <v>8444</v>
      </c>
      <c r="B8449" s="3" t="str">
        <f>"00343393"</f>
        <v>00343393</v>
      </c>
    </row>
    <row r="8450" spans="1:2" x14ac:dyDescent="0.25">
      <c r="A8450" s="2">
        <v>8445</v>
      </c>
      <c r="B8450" s="3" t="str">
        <f>"00343463"</f>
        <v>00343463</v>
      </c>
    </row>
    <row r="8451" spans="1:2" x14ac:dyDescent="0.25">
      <c r="A8451" s="2">
        <v>8446</v>
      </c>
      <c r="B8451" s="3" t="str">
        <f>"00343466"</f>
        <v>00343466</v>
      </c>
    </row>
    <row r="8452" spans="1:2" x14ac:dyDescent="0.25">
      <c r="A8452" s="2">
        <v>8447</v>
      </c>
      <c r="B8452" s="3" t="str">
        <f>"00343473"</f>
        <v>00343473</v>
      </c>
    </row>
    <row r="8453" spans="1:2" x14ac:dyDescent="0.25">
      <c r="A8453" s="2">
        <v>8448</v>
      </c>
      <c r="B8453" s="3" t="str">
        <f>"00343481"</f>
        <v>00343481</v>
      </c>
    </row>
    <row r="8454" spans="1:2" x14ac:dyDescent="0.25">
      <c r="A8454" s="2">
        <v>8449</v>
      </c>
      <c r="B8454" s="3" t="str">
        <f>"00343483"</f>
        <v>00343483</v>
      </c>
    </row>
    <row r="8455" spans="1:2" x14ac:dyDescent="0.25">
      <c r="A8455" s="2">
        <v>8450</v>
      </c>
      <c r="B8455" s="3" t="str">
        <f>"00343511"</f>
        <v>00343511</v>
      </c>
    </row>
    <row r="8456" spans="1:2" x14ac:dyDescent="0.25">
      <c r="A8456" s="2">
        <v>8451</v>
      </c>
      <c r="B8456" s="3" t="str">
        <f>"00343520"</f>
        <v>00343520</v>
      </c>
    </row>
    <row r="8457" spans="1:2" x14ac:dyDescent="0.25">
      <c r="A8457" s="2">
        <v>8452</v>
      </c>
      <c r="B8457" s="3" t="str">
        <f>"00343639"</f>
        <v>00343639</v>
      </c>
    </row>
    <row r="8458" spans="1:2" x14ac:dyDescent="0.25">
      <c r="A8458" s="2">
        <v>8453</v>
      </c>
      <c r="B8458" s="3" t="str">
        <f>"00343656"</f>
        <v>00343656</v>
      </c>
    </row>
    <row r="8459" spans="1:2" x14ac:dyDescent="0.25">
      <c r="A8459" s="2">
        <v>8454</v>
      </c>
      <c r="B8459" s="3" t="str">
        <f>"00343672"</f>
        <v>00343672</v>
      </c>
    </row>
    <row r="8460" spans="1:2" x14ac:dyDescent="0.25">
      <c r="A8460" s="2">
        <v>8455</v>
      </c>
      <c r="B8460" s="3" t="str">
        <f>"00343680"</f>
        <v>00343680</v>
      </c>
    </row>
    <row r="8461" spans="1:2" x14ac:dyDescent="0.25">
      <c r="A8461" s="2">
        <v>8456</v>
      </c>
      <c r="B8461" s="3" t="str">
        <f>"00343715"</f>
        <v>00343715</v>
      </c>
    </row>
    <row r="8462" spans="1:2" x14ac:dyDescent="0.25">
      <c r="A8462" s="2">
        <v>8457</v>
      </c>
      <c r="B8462" s="3" t="str">
        <f>"00343728"</f>
        <v>00343728</v>
      </c>
    </row>
    <row r="8463" spans="1:2" x14ac:dyDescent="0.25">
      <c r="A8463" s="2">
        <v>8458</v>
      </c>
      <c r="B8463" s="3" t="str">
        <f>"00343834"</f>
        <v>00343834</v>
      </c>
    </row>
    <row r="8464" spans="1:2" x14ac:dyDescent="0.25">
      <c r="A8464" s="2">
        <v>8459</v>
      </c>
      <c r="B8464" s="3" t="str">
        <f>"00343871"</f>
        <v>00343871</v>
      </c>
    </row>
    <row r="8465" spans="1:2" x14ac:dyDescent="0.25">
      <c r="A8465" s="2">
        <v>8460</v>
      </c>
      <c r="B8465" s="3" t="str">
        <f>"00343890"</f>
        <v>00343890</v>
      </c>
    </row>
    <row r="8466" spans="1:2" x14ac:dyDescent="0.25">
      <c r="A8466" s="2">
        <v>8461</v>
      </c>
      <c r="B8466" s="3" t="str">
        <f>"00343941"</f>
        <v>00343941</v>
      </c>
    </row>
    <row r="8467" spans="1:2" x14ac:dyDescent="0.25">
      <c r="A8467" s="2">
        <v>8462</v>
      </c>
      <c r="B8467" s="3" t="str">
        <f>"00344012"</f>
        <v>00344012</v>
      </c>
    </row>
    <row r="8468" spans="1:2" x14ac:dyDescent="0.25">
      <c r="A8468" s="2">
        <v>8463</v>
      </c>
      <c r="B8468" s="3" t="str">
        <f>"00344027"</f>
        <v>00344027</v>
      </c>
    </row>
    <row r="8469" spans="1:2" x14ac:dyDescent="0.25">
      <c r="A8469" s="2">
        <v>8464</v>
      </c>
      <c r="B8469" s="3" t="str">
        <f>"00344072"</f>
        <v>00344072</v>
      </c>
    </row>
    <row r="8470" spans="1:2" x14ac:dyDescent="0.25">
      <c r="A8470" s="2">
        <v>8465</v>
      </c>
      <c r="B8470" s="3" t="str">
        <f>"00344083"</f>
        <v>00344083</v>
      </c>
    </row>
    <row r="8471" spans="1:2" x14ac:dyDescent="0.25">
      <c r="A8471" s="2">
        <v>8466</v>
      </c>
      <c r="B8471" s="3" t="str">
        <f>"00344096"</f>
        <v>00344096</v>
      </c>
    </row>
    <row r="8472" spans="1:2" x14ac:dyDescent="0.25">
      <c r="A8472" s="2">
        <v>8467</v>
      </c>
      <c r="B8472" s="3" t="str">
        <f>"00344150"</f>
        <v>00344150</v>
      </c>
    </row>
    <row r="8473" spans="1:2" x14ac:dyDescent="0.25">
      <c r="A8473" s="2">
        <v>8468</v>
      </c>
      <c r="B8473" s="3" t="str">
        <f>"00344187"</f>
        <v>00344187</v>
      </c>
    </row>
    <row r="8474" spans="1:2" x14ac:dyDescent="0.25">
      <c r="A8474" s="2">
        <v>8469</v>
      </c>
      <c r="B8474" s="3" t="str">
        <f>"00344214"</f>
        <v>00344214</v>
      </c>
    </row>
    <row r="8475" spans="1:2" x14ac:dyDescent="0.25">
      <c r="A8475" s="2">
        <v>8470</v>
      </c>
      <c r="B8475" s="3" t="str">
        <f>"00344229"</f>
        <v>00344229</v>
      </c>
    </row>
    <row r="8476" spans="1:2" x14ac:dyDescent="0.25">
      <c r="A8476" s="2">
        <v>8471</v>
      </c>
      <c r="B8476" s="3" t="str">
        <f>"00344276"</f>
        <v>00344276</v>
      </c>
    </row>
    <row r="8477" spans="1:2" x14ac:dyDescent="0.25">
      <c r="A8477" s="2">
        <v>8472</v>
      </c>
      <c r="B8477" s="3" t="str">
        <f>"00344307"</f>
        <v>00344307</v>
      </c>
    </row>
    <row r="8478" spans="1:2" x14ac:dyDescent="0.25">
      <c r="A8478" s="2">
        <v>8473</v>
      </c>
      <c r="B8478" s="3" t="str">
        <f>"00344342"</f>
        <v>00344342</v>
      </c>
    </row>
    <row r="8479" spans="1:2" x14ac:dyDescent="0.25">
      <c r="A8479" s="2">
        <v>8474</v>
      </c>
      <c r="B8479" s="3" t="str">
        <f>"00344360"</f>
        <v>00344360</v>
      </c>
    </row>
    <row r="8480" spans="1:2" x14ac:dyDescent="0.25">
      <c r="A8480" s="2">
        <v>8475</v>
      </c>
      <c r="B8480" s="3" t="str">
        <f>"00344383"</f>
        <v>00344383</v>
      </c>
    </row>
    <row r="8481" spans="1:2" x14ac:dyDescent="0.25">
      <c r="A8481" s="2">
        <v>8476</v>
      </c>
      <c r="B8481" s="3" t="str">
        <f>"00344415"</f>
        <v>00344415</v>
      </c>
    </row>
    <row r="8482" spans="1:2" x14ac:dyDescent="0.25">
      <c r="A8482" s="2">
        <v>8477</v>
      </c>
      <c r="B8482" s="3" t="str">
        <f>"00344422"</f>
        <v>00344422</v>
      </c>
    </row>
    <row r="8483" spans="1:2" x14ac:dyDescent="0.25">
      <c r="A8483" s="2">
        <v>8478</v>
      </c>
      <c r="B8483" s="3" t="str">
        <f>"00344480"</f>
        <v>00344480</v>
      </c>
    </row>
    <row r="8484" spans="1:2" x14ac:dyDescent="0.25">
      <c r="A8484" s="2">
        <v>8479</v>
      </c>
      <c r="B8484" s="3" t="str">
        <f>"00344498"</f>
        <v>00344498</v>
      </c>
    </row>
    <row r="8485" spans="1:2" x14ac:dyDescent="0.25">
      <c r="A8485" s="2">
        <v>8480</v>
      </c>
      <c r="B8485" s="3" t="str">
        <f>"00344505"</f>
        <v>00344505</v>
      </c>
    </row>
    <row r="8486" spans="1:2" x14ac:dyDescent="0.25">
      <c r="A8486" s="2">
        <v>8481</v>
      </c>
      <c r="B8486" s="3" t="str">
        <f>"00344739"</f>
        <v>00344739</v>
      </c>
    </row>
    <row r="8487" spans="1:2" x14ac:dyDescent="0.25">
      <c r="A8487" s="2">
        <v>8482</v>
      </c>
      <c r="B8487" s="3" t="str">
        <f>"00344762"</f>
        <v>00344762</v>
      </c>
    </row>
    <row r="8488" spans="1:2" x14ac:dyDescent="0.25">
      <c r="A8488" s="2">
        <v>8483</v>
      </c>
      <c r="B8488" s="3" t="str">
        <f>"00344779"</f>
        <v>00344779</v>
      </c>
    </row>
    <row r="8489" spans="1:2" x14ac:dyDescent="0.25">
      <c r="A8489" s="2">
        <v>8484</v>
      </c>
      <c r="B8489" s="3" t="str">
        <f>"00344886"</f>
        <v>00344886</v>
      </c>
    </row>
    <row r="8490" spans="1:2" x14ac:dyDescent="0.25">
      <c r="A8490" s="2">
        <v>8485</v>
      </c>
      <c r="B8490" s="3" t="str">
        <f>"00344931"</f>
        <v>00344931</v>
      </c>
    </row>
    <row r="8491" spans="1:2" x14ac:dyDescent="0.25">
      <c r="A8491" s="2">
        <v>8486</v>
      </c>
      <c r="B8491" s="3" t="str">
        <f>"00345014"</f>
        <v>00345014</v>
      </c>
    </row>
    <row r="8492" spans="1:2" x14ac:dyDescent="0.25">
      <c r="A8492" s="2">
        <v>8487</v>
      </c>
      <c r="B8492" s="3" t="str">
        <f>"00345062"</f>
        <v>00345062</v>
      </c>
    </row>
    <row r="8493" spans="1:2" x14ac:dyDescent="0.25">
      <c r="A8493" s="2">
        <v>8488</v>
      </c>
      <c r="B8493" s="3" t="str">
        <f>"00345118"</f>
        <v>00345118</v>
      </c>
    </row>
    <row r="8494" spans="1:2" x14ac:dyDescent="0.25">
      <c r="A8494" s="2">
        <v>8489</v>
      </c>
      <c r="B8494" s="3" t="str">
        <f>"00345126"</f>
        <v>00345126</v>
      </c>
    </row>
    <row r="8495" spans="1:2" x14ac:dyDescent="0.25">
      <c r="A8495" s="2">
        <v>8490</v>
      </c>
      <c r="B8495" s="3" t="str">
        <f>"00345149"</f>
        <v>00345149</v>
      </c>
    </row>
    <row r="8496" spans="1:2" x14ac:dyDescent="0.25">
      <c r="A8496" s="2">
        <v>8491</v>
      </c>
      <c r="B8496" s="3" t="str">
        <f>"00345170"</f>
        <v>00345170</v>
      </c>
    </row>
    <row r="8497" spans="1:2" x14ac:dyDescent="0.25">
      <c r="A8497" s="2">
        <v>8492</v>
      </c>
      <c r="B8497" s="3" t="str">
        <f>"00345201"</f>
        <v>00345201</v>
      </c>
    </row>
    <row r="8498" spans="1:2" x14ac:dyDescent="0.25">
      <c r="A8498" s="2">
        <v>8493</v>
      </c>
      <c r="B8498" s="3" t="str">
        <f>"00345217"</f>
        <v>00345217</v>
      </c>
    </row>
    <row r="8499" spans="1:2" x14ac:dyDescent="0.25">
      <c r="A8499" s="2">
        <v>8494</v>
      </c>
      <c r="B8499" s="3" t="str">
        <f>"00345236"</f>
        <v>00345236</v>
      </c>
    </row>
    <row r="8500" spans="1:2" x14ac:dyDescent="0.25">
      <c r="A8500" s="2">
        <v>8495</v>
      </c>
      <c r="B8500" s="3" t="str">
        <f>"00345270"</f>
        <v>00345270</v>
      </c>
    </row>
    <row r="8501" spans="1:2" x14ac:dyDescent="0.25">
      <c r="A8501" s="2">
        <v>8496</v>
      </c>
      <c r="B8501" s="3" t="str">
        <f>"00345321"</f>
        <v>00345321</v>
      </c>
    </row>
    <row r="8502" spans="1:2" x14ac:dyDescent="0.25">
      <c r="A8502" s="2">
        <v>8497</v>
      </c>
      <c r="B8502" s="3" t="str">
        <f>"00345354"</f>
        <v>00345354</v>
      </c>
    </row>
    <row r="8503" spans="1:2" x14ac:dyDescent="0.25">
      <c r="A8503" s="2">
        <v>8498</v>
      </c>
      <c r="B8503" s="3" t="str">
        <f>"00345465"</f>
        <v>00345465</v>
      </c>
    </row>
    <row r="8504" spans="1:2" x14ac:dyDescent="0.25">
      <c r="A8504" s="2">
        <v>8499</v>
      </c>
      <c r="B8504" s="3" t="str">
        <f>"00345483"</f>
        <v>00345483</v>
      </c>
    </row>
    <row r="8505" spans="1:2" x14ac:dyDescent="0.25">
      <c r="A8505" s="2">
        <v>8500</v>
      </c>
      <c r="B8505" s="3" t="str">
        <f>"00345486"</f>
        <v>00345486</v>
      </c>
    </row>
    <row r="8506" spans="1:2" x14ac:dyDescent="0.25">
      <c r="A8506" s="2">
        <v>8501</v>
      </c>
      <c r="B8506" s="3" t="str">
        <f>"00345529"</f>
        <v>00345529</v>
      </c>
    </row>
    <row r="8507" spans="1:2" x14ac:dyDescent="0.25">
      <c r="A8507" s="2">
        <v>8502</v>
      </c>
      <c r="B8507" s="3" t="str">
        <f>"00345622"</f>
        <v>00345622</v>
      </c>
    </row>
    <row r="8508" spans="1:2" x14ac:dyDescent="0.25">
      <c r="A8508" s="2">
        <v>8503</v>
      </c>
      <c r="B8508" s="3" t="str">
        <f>"00345629"</f>
        <v>00345629</v>
      </c>
    </row>
    <row r="8509" spans="1:2" x14ac:dyDescent="0.25">
      <c r="A8509" s="2">
        <v>8504</v>
      </c>
      <c r="B8509" s="3" t="str">
        <f>"00345638"</f>
        <v>00345638</v>
      </c>
    </row>
    <row r="8510" spans="1:2" x14ac:dyDescent="0.25">
      <c r="A8510" s="2">
        <v>8505</v>
      </c>
      <c r="B8510" s="3" t="str">
        <f>"00345697"</f>
        <v>00345697</v>
      </c>
    </row>
    <row r="8511" spans="1:2" x14ac:dyDescent="0.25">
      <c r="A8511" s="2">
        <v>8506</v>
      </c>
      <c r="B8511" s="3" t="str">
        <f>"00345704"</f>
        <v>00345704</v>
      </c>
    </row>
    <row r="8512" spans="1:2" x14ac:dyDescent="0.25">
      <c r="A8512" s="2">
        <v>8507</v>
      </c>
      <c r="B8512" s="3" t="str">
        <f>"00345727"</f>
        <v>00345727</v>
      </c>
    </row>
    <row r="8513" spans="1:2" x14ac:dyDescent="0.25">
      <c r="A8513" s="2">
        <v>8508</v>
      </c>
      <c r="B8513" s="3" t="str">
        <f>"00345761"</f>
        <v>00345761</v>
      </c>
    </row>
    <row r="8514" spans="1:2" x14ac:dyDescent="0.25">
      <c r="A8514" s="2">
        <v>8509</v>
      </c>
      <c r="B8514" s="3" t="str">
        <f>"00345799"</f>
        <v>00345799</v>
      </c>
    </row>
    <row r="8515" spans="1:2" x14ac:dyDescent="0.25">
      <c r="A8515" s="2">
        <v>8510</v>
      </c>
      <c r="B8515" s="3" t="str">
        <f>"00345866"</f>
        <v>00345866</v>
      </c>
    </row>
    <row r="8516" spans="1:2" x14ac:dyDescent="0.25">
      <c r="A8516" s="2">
        <v>8511</v>
      </c>
      <c r="B8516" s="3" t="str">
        <f>"00345872"</f>
        <v>00345872</v>
      </c>
    </row>
    <row r="8517" spans="1:2" x14ac:dyDescent="0.25">
      <c r="A8517" s="2">
        <v>8512</v>
      </c>
      <c r="B8517" s="3" t="str">
        <f>"00345901"</f>
        <v>00345901</v>
      </c>
    </row>
    <row r="8518" spans="1:2" x14ac:dyDescent="0.25">
      <c r="A8518" s="2">
        <v>8513</v>
      </c>
      <c r="B8518" s="3" t="str">
        <f>"00345914"</f>
        <v>00345914</v>
      </c>
    </row>
    <row r="8519" spans="1:2" x14ac:dyDescent="0.25">
      <c r="A8519" s="2">
        <v>8514</v>
      </c>
      <c r="B8519" s="3" t="str">
        <f>"00345942"</f>
        <v>00345942</v>
      </c>
    </row>
    <row r="8520" spans="1:2" x14ac:dyDescent="0.25">
      <c r="A8520" s="2">
        <v>8515</v>
      </c>
      <c r="B8520" s="3" t="str">
        <f>"00345950"</f>
        <v>00345950</v>
      </c>
    </row>
    <row r="8521" spans="1:2" x14ac:dyDescent="0.25">
      <c r="A8521" s="2">
        <v>8516</v>
      </c>
      <c r="B8521" s="3" t="str">
        <f>"00345999"</f>
        <v>00345999</v>
      </c>
    </row>
    <row r="8522" spans="1:2" x14ac:dyDescent="0.25">
      <c r="A8522" s="2">
        <v>8517</v>
      </c>
      <c r="B8522" s="3" t="str">
        <f>"00346072"</f>
        <v>00346072</v>
      </c>
    </row>
    <row r="8523" spans="1:2" x14ac:dyDescent="0.25">
      <c r="A8523" s="2">
        <v>8518</v>
      </c>
      <c r="B8523" s="3" t="str">
        <f>"00346095"</f>
        <v>00346095</v>
      </c>
    </row>
    <row r="8524" spans="1:2" x14ac:dyDescent="0.25">
      <c r="A8524" s="2">
        <v>8519</v>
      </c>
      <c r="B8524" s="3" t="str">
        <f>"00346139"</f>
        <v>00346139</v>
      </c>
    </row>
    <row r="8525" spans="1:2" x14ac:dyDescent="0.25">
      <c r="A8525" s="2">
        <v>8520</v>
      </c>
      <c r="B8525" s="3" t="str">
        <f>"00346291"</f>
        <v>00346291</v>
      </c>
    </row>
    <row r="8526" spans="1:2" x14ac:dyDescent="0.25">
      <c r="A8526" s="2">
        <v>8521</v>
      </c>
      <c r="B8526" s="3" t="str">
        <f>"00346324"</f>
        <v>00346324</v>
      </c>
    </row>
    <row r="8527" spans="1:2" x14ac:dyDescent="0.25">
      <c r="A8527" s="2">
        <v>8522</v>
      </c>
      <c r="B8527" s="3" t="str">
        <f>"00346332"</f>
        <v>00346332</v>
      </c>
    </row>
    <row r="8528" spans="1:2" x14ac:dyDescent="0.25">
      <c r="A8528" s="2">
        <v>8523</v>
      </c>
      <c r="B8528" s="3" t="str">
        <f>"00346363"</f>
        <v>00346363</v>
      </c>
    </row>
    <row r="8529" spans="1:2" x14ac:dyDescent="0.25">
      <c r="A8529" s="2">
        <v>8524</v>
      </c>
      <c r="B8529" s="3" t="str">
        <f>"00346391"</f>
        <v>00346391</v>
      </c>
    </row>
    <row r="8530" spans="1:2" x14ac:dyDescent="0.25">
      <c r="A8530" s="2">
        <v>8525</v>
      </c>
      <c r="B8530" s="3" t="str">
        <f>"00346427"</f>
        <v>00346427</v>
      </c>
    </row>
    <row r="8531" spans="1:2" x14ac:dyDescent="0.25">
      <c r="A8531" s="2">
        <v>8526</v>
      </c>
      <c r="B8531" s="3" t="str">
        <f>"00346449"</f>
        <v>00346449</v>
      </c>
    </row>
    <row r="8532" spans="1:2" x14ac:dyDescent="0.25">
      <c r="A8532" s="2">
        <v>8527</v>
      </c>
      <c r="B8532" s="3" t="str">
        <f>"00346475"</f>
        <v>00346475</v>
      </c>
    </row>
    <row r="8533" spans="1:2" x14ac:dyDescent="0.25">
      <c r="A8533" s="2">
        <v>8528</v>
      </c>
      <c r="B8533" s="3" t="str">
        <f>"00346508"</f>
        <v>00346508</v>
      </c>
    </row>
    <row r="8534" spans="1:2" x14ac:dyDescent="0.25">
      <c r="A8534" s="2">
        <v>8529</v>
      </c>
      <c r="B8534" s="3" t="str">
        <f>"00346556"</f>
        <v>00346556</v>
      </c>
    </row>
    <row r="8535" spans="1:2" x14ac:dyDescent="0.25">
      <c r="A8535" s="2">
        <v>8530</v>
      </c>
      <c r="B8535" s="3" t="str">
        <f>"00346628"</f>
        <v>00346628</v>
      </c>
    </row>
    <row r="8536" spans="1:2" x14ac:dyDescent="0.25">
      <c r="A8536" s="2">
        <v>8531</v>
      </c>
      <c r="B8536" s="3" t="str">
        <f>"00346719"</f>
        <v>00346719</v>
      </c>
    </row>
    <row r="8537" spans="1:2" x14ac:dyDescent="0.25">
      <c r="A8537" s="2">
        <v>8532</v>
      </c>
      <c r="B8537" s="3" t="str">
        <f>"00346726"</f>
        <v>00346726</v>
      </c>
    </row>
    <row r="8538" spans="1:2" x14ac:dyDescent="0.25">
      <c r="A8538" s="2">
        <v>8533</v>
      </c>
      <c r="B8538" s="3" t="str">
        <f>"00346779"</f>
        <v>00346779</v>
      </c>
    </row>
    <row r="8539" spans="1:2" x14ac:dyDescent="0.25">
      <c r="A8539" s="2">
        <v>8534</v>
      </c>
      <c r="B8539" s="3" t="str">
        <f>"00346985"</f>
        <v>00346985</v>
      </c>
    </row>
    <row r="8540" spans="1:2" x14ac:dyDescent="0.25">
      <c r="A8540" s="2">
        <v>8535</v>
      </c>
      <c r="B8540" s="3" t="str">
        <f>"00347004"</f>
        <v>00347004</v>
      </c>
    </row>
    <row r="8541" spans="1:2" x14ac:dyDescent="0.25">
      <c r="A8541" s="2">
        <v>8536</v>
      </c>
      <c r="B8541" s="3" t="str">
        <f>"00347048"</f>
        <v>00347048</v>
      </c>
    </row>
    <row r="8542" spans="1:2" x14ac:dyDescent="0.25">
      <c r="A8542" s="2">
        <v>8537</v>
      </c>
      <c r="B8542" s="3" t="str">
        <f>"00347089"</f>
        <v>00347089</v>
      </c>
    </row>
    <row r="8543" spans="1:2" x14ac:dyDescent="0.25">
      <c r="A8543" s="2">
        <v>8538</v>
      </c>
      <c r="B8543" s="3" t="str">
        <f>"00347271"</f>
        <v>00347271</v>
      </c>
    </row>
    <row r="8544" spans="1:2" x14ac:dyDescent="0.25">
      <c r="A8544" s="2">
        <v>8539</v>
      </c>
      <c r="B8544" s="3" t="str">
        <f>"00347338"</f>
        <v>00347338</v>
      </c>
    </row>
    <row r="8545" spans="1:2" x14ac:dyDescent="0.25">
      <c r="A8545" s="2">
        <v>8540</v>
      </c>
      <c r="B8545" s="3" t="str">
        <f>"00347356"</f>
        <v>00347356</v>
      </c>
    </row>
    <row r="8546" spans="1:2" x14ac:dyDescent="0.25">
      <c r="A8546" s="2">
        <v>8541</v>
      </c>
      <c r="B8546" s="3" t="str">
        <f>"00347371"</f>
        <v>00347371</v>
      </c>
    </row>
    <row r="8547" spans="1:2" x14ac:dyDescent="0.25">
      <c r="A8547" s="2">
        <v>8542</v>
      </c>
      <c r="B8547" s="3" t="str">
        <f>"00347469"</f>
        <v>00347469</v>
      </c>
    </row>
    <row r="8548" spans="1:2" x14ac:dyDescent="0.25">
      <c r="A8548" s="2">
        <v>8543</v>
      </c>
      <c r="B8548" s="3" t="str">
        <f>"00347514"</f>
        <v>00347514</v>
      </c>
    </row>
    <row r="8549" spans="1:2" x14ac:dyDescent="0.25">
      <c r="A8549" s="2">
        <v>8544</v>
      </c>
      <c r="B8549" s="3" t="str">
        <f>"00347515"</f>
        <v>00347515</v>
      </c>
    </row>
    <row r="8550" spans="1:2" x14ac:dyDescent="0.25">
      <c r="A8550" s="2">
        <v>8545</v>
      </c>
      <c r="B8550" s="3" t="str">
        <f>"00347523"</f>
        <v>00347523</v>
      </c>
    </row>
    <row r="8551" spans="1:2" x14ac:dyDescent="0.25">
      <c r="A8551" s="2">
        <v>8546</v>
      </c>
      <c r="B8551" s="3" t="str">
        <f>"00347534"</f>
        <v>00347534</v>
      </c>
    </row>
    <row r="8552" spans="1:2" x14ac:dyDescent="0.25">
      <c r="A8552" s="2">
        <v>8547</v>
      </c>
      <c r="B8552" s="3" t="str">
        <f>"00347552"</f>
        <v>00347552</v>
      </c>
    </row>
    <row r="8553" spans="1:2" x14ac:dyDescent="0.25">
      <c r="A8553" s="2">
        <v>8548</v>
      </c>
      <c r="B8553" s="3" t="str">
        <f>"00347593"</f>
        <v>00347593</v>
      </c>
    </row>
    <row r="8554" spans="1:2" x14ac:dyDescent="0.25">
      <c r="A8554" s="2">
        <v>8549</v>
      </c>
      <c r="B8554" s="3" t="str">
        <f>"00347662"</f>
        <v>00347662</v>
      </c>
    </row>
    <row r="8555" spans="1:2" x14ac:dyDescent="0.25">
      <c r="A8555" s="2">
        <v>8550</v>
      </c>
      <c r="B8555" s="3" t="str">
        <f>"00347716"</f>
        <v>00347716</v>
      </c>
    </row>
    <row r="8556" spans="1:2" x14ac:dyDescent="0.25">
      <c r="A8556" s="2">
        <v>8551</v>
      </c>
      <c r="B8556" s="3" t="str">
        <f>"00348026"</f>
        <v>00348026</v>
      </c>
    </row>
    <row r="8557" spans="1:2" x14ac:dyDescent="0.25">
      <c r="A8557" s="2">
        <v>8552</v>
      </c>
      <c r="B8557" s="3" t="str">
        <f>"00348172"</f>
        <v>00348172</v>
      </c>
    </row>
    <row r="8558" spans="1:2" x14ac:dyDescent="0.25">
      <c r="A8558" s="2">
        <v>8553</v>
      </c>
      <c r="B8558" s="3" t="str">
        <f>"00348274"</f>
        <v>00348274</v>
      </c>
    </row>
    <row r="8559" spans="1:2" x14ac:dyDescent="0.25">
      <c r="A8559" s="2">
        <v>8554</v>
      </c>
      <c r="B8559" s="3" t="str">
        <f>"00348323"</f>
        <v>00348323</v>
      </c>
    </row>
    <row r="8560" spans="1:2" x14ac:dyDescent="0.25">
      <c r="A8560" s="2">
        <v>8555</v>
      </c>
      <c r="B8560" s="3" t="str">
        <f>"00348347"</f>
        <v>00348347</v>
      </c>
    </row>
    <row r="8561" spans="1:2" x14ac:dyDescent="0.25">
      <c r="A8561" s="2">
        <v>8556</v>
      </c>
      <c r="B8561" s="3" t="str">
        <f>"00348402"</f>
        <v>00348402</v>
      </c>
    </row>
    <row r="8562" spans="1:2" x14ac:dyDescent="0.25">
      <c r="A8562" s="2">
        <v>8557</v>
      </c>
      <c r="B8562" s="3" t="str">
        <f>"00348427"</f>
        <v>00348427</v>
      </c>
    </row>
    <row r="8563" spans="1:2" x14ac:dyDescent="0.25">
      <c r="A8563" s="2">
        <v>8558</v>
      </c>
      <c r="B8563" s="3" t="str">
        <f>"00348493"</f>
        <v>00348493</v>
      </c>
    </row>
    <row r="8564" spans="1:2" x14ac:dyDescent="0.25">
      <c r="A8564" s="2">
        <v>8559</v>
      </c>
      <c r="B8564" s="3" t="str">
        <f>"00348555"</f>
        <v>00348555</v>
      </c>
    </row>
    <row r="8565" spans="1:2" x14ac:dyDescent="0.25">
      <c r="A8565" s="2">
        <v>8560</v>
      </c>
      <c r="B8565" s="3" t="str">
        <f>"00348586"</f>
        <v>00348586</v>
      </c>
    </row>
    <row r="8566" spans="1:2" x14ac:dyDescent="0.25">
      <c r="A8566" s="2">
        <v>8561</v>
      </c>
      <c r="B8566" s="3" t="str">
        <f>"00348790"</f>
        <v>00348790</v>
      </c>
    </row>
    <row r="8567" spans="1:2" x14ac:dyDescent="0.25">
      <c r="A8567" s="2">
        <v>8562</v>
      </c>
      <c r="B8567" s="3" t="str">
        <f>"00348838"</f>
        <v>00348838</v>
      </c>
    </row>
    <row r="8568" spans="1:2" x14ac:dyDescent="0.25">
      <c r="A8568" s="2">
        <v>8563</v>
      </c>
      <c r="B8568" s="3" t="str">
        <f>"00348882"</f>
        <v>00348882</v>
      </c>
    </row>
    <row r="8569" spans="1:2" x14ac:dyDescent="0.25">
      <c r="A8569" s="2">
        <v>8564</v>
      </c>
      <c r="B8569" s="3" t="str">
        <f>"00348908"</f>
        <v>00348908</v>
      </c>
    </row>
    <row r="8570" spans="1:2" x14ac:dyDescent="0.25">
      <c r="A8570" s="2">
        <v>8565</v>
      </c>
      <c r="B8570" s="3" t="str">
        <f>"00348919"</f>
        <v>00348919</v>
      </c>
    </row>
    <row r="8571" spans="1:2" x14ac:dyDescent="0.25">
      <c r="A8571" s="2">
        <v>8566</v>
      </c>
      <c r="B8571" s="3" t="str">
        <f>"00348931"</f>
        <v>00348931</v>
      </c>
    </row>
    <row r="8572" spans="1:2" x14ac:dyDescent="0.25">
      <c r="A8572" s="2">
        <v>8567</v>
      </c>
      <c r="B8572" s="3" t="str">
        <f>"00348973"</f>
        <v>00348973</v>
      </c>
    </row>
    <row r="8573" spans="1:2" x14ac:dyDescent="0.25">
      <c r="A8573" s="2">
        <v>8568</v>
      </c>
      <c r="B8573" s="3" t="str">
        <f>"00349087"</f>
        <v>00349087</v>
      </c>
    </row>
    <row r="8574" spans="1:2" x14ac:dyDescent="0.25">
      <c r="A8574" s="2">
        <v>8569</v>
      </c>
      <c r="B8574" s="3" t="str">
        <f>"00349090"</f>
        <v>00349090</v>
      </c>
    </row>
    <row r="8575" spans="1:2" x14ac:dyDescent="0.25">
      <c r="A8575" s="2">
        <v>8570</v>
      </c>
      <c r="B8575" s="3" t="str">
        <f>"00349228"</f>
        <v>00349228</v>
      </c>
    </row>
    <row r="8576" spans="1:2" x14ac:dyDescent="0.25">
      <c r="A8576" s="2">
        <v>8571</v>
      </c>
      <c r="B8576" s="3" t="str">
        <f>"00349623"</f>
        <v>00349623</v>
      </c>
    </row>
    <row r="8577" spans="1:2" x14ac:dyDescent="0.25">
      <c r="A8577" s="2">
        <v>8572</v>
      </c>
      <c r="B8577" s="3" t="str">
        <f>"00349635"</f>
        <v>00349635</v>
      </c>
    </row>
    <row r="8578" spans="1:2" x14ac:dyDescent="0.25">
      <c r="A8578" s="2">
        <v>8573</v>
      </c>
      <c r="B8578" s="3" t="str">
        <f>"00349669"</f>
        <v>00349669</v>
      </c>
    </row>
    <row r="8579" spans="1:2" x14ac:dyDescent="0.25">
      <c r="A8579" s="2">
        <v>8574</v>
      </c>
      <c r="B8579" s="3" t="str">
        <f>"00349674"</f>
        <v>00349674</v>
      </c>
    </row>
    <row r="8580" spans="1:2" x14ac:dyDescent="0.25">
      <c r="A8580" s="2">
        <v>8575</v>
      </c>
      <c r="B8580" s="3" t="str">
        <f>"00349700"</f>
        <v>00349700</v>
      </c>
    </row>
    <row r="8581" spans="1:2" x14ac:dyDescent="0.25">
      <c r="A8581" s="2">
        <v>8576</v>
      </c>
      <c r="B8581" s="3" t="str">
        <f>"00349722"</f>
        <v>00349722</v>
      </c>
    </row>
    <row r="8582" spans="1:2" x14ac:dyDescent="0.25">
      <c r="A8582" s="2">
        <v>8577</v>
      </c>
      <c r="B8582" s="3" t="str">
        <f>"00349731"</f>
        <v>00349731</v>
      </c>
    </row>
    <row r="8583" spans="1:2" x14ac:dyDescent="0.25">
      <c r="A8583" s="2">
        <v>8578</v>
      </c>
      <c r="B8583" s="3" t="str">
        <f>"00349795"</f>
        <v>00349795</v>
      </c>
    </row>
    <row r="8584" spans="1:2" x14ac:dyDescent="0.25">
      <c r="A8584" s="2">
        <v>8579</v>
      </c>
      <c r="B8584" s="3" t="str">
        <f>"00349831"</f>
        <v>00349831</v>
      </c>
    </row>
    <row r="8585" spans="1:2" x14ac:dyDescent="0.25">
      <c r="A8585" s="2">
        <v>8580</v>
      </c>
      <c r="B8585" s="3" t="str">
        <f>"00349881"</f>
        <v>00349881</v>
      </c>
    </row>
    <row r="8586" spans="1:2" x14ac:dyDescent="0.25">
      <c r="A8586" s="2">
        <v>8581</v>
      </c>
      <c r="B8586" s="3" t="str">
        <f>"00349912"</f>
        <v>00349912</v>
      </c>
    </row>
    <row r="8587" spans="1:2" x14ac:dyDescent="0.25">
      <c r="A8587" s="2">
        <v>8582</v>
      </c>
      <c r="B8587" s="3" t="str">
        <f>"00349972"</f>
        <v>00349972</v>
      </c>
    </row>
    <row r="8588" spans="1:2" x14ac:dyDescent="0.25">
      <c r="A8588" s="2">
        <v>8583</v>
      </c>
      <c r="B8588" s="3" t="str">
        <f>"00349973"</f>
        <v>00349973</v>
      </c>
    </row>
    <row r="8589" spans="1:2" x14ac:dyDescent="0.25">
      <c r="A8589" s="2">
        <v>8584</v>
      </c>
      <c r="B8589" s="3" t="str">
        <f>"00349974"</f>
        <v>00349974</v>
      </c>
    </row>
    <row r="8590" spans="1:2" x14ac:dyDescent="0.25">
      <c r="A8590" s="2">
        <v>8585</v>
      </c>
      <c r="B8590" s="3" t="str">
        <f>"00349978"</f>
        <v>00349978</v>
      </c>
    </row>
    <row r="8591" spans="1:2" x14ac:dyDescent="0.25">
      <c r="A8591" s="2">
        <v>8586</v>
      </c>
      <c r="B8591" s="3" t="str">
        <f>"00349985"</f>
        <v>00349985</v>
      </c>
    </row>
    <row r="8592" spans="1:2" x14ac:dyDescent="0.25">
      <c r="A8592" s="2">
        <v>8587</v>
      </c>
      <c r="B8592" s="3" t="str">
        <f>"00350027"</f>
        <v>00350027</v>
      </c>
    </row>
    <row r="8593" spans="1:2" x14ac:dyDescent="0.25">
      <c r="A8593" s="2">
        <v>8588</v>
      </c>
      <c r="B8593" s="3" t="str">
        <f>"00350034"</f>
        <v>00350034</v>
      </c>
    </row>
    <row r="8594" spans="1:2" x14ac:dyDescent="0.25">
      <c r="A8594" s="2">
        <v>8589</v>
      </c>
      <c r="B8594" s="3" t="str">
        <f>"00350061"</f>
        <v>00350061</v>
      </c>
    </row>
    <row r="8595" spans="1:2" x14ac:dyDescent="0.25">
      <c r="A8595" s="2">
        <v>8590</v>
      </c>
      <c r="B8595" s="3" t="str">
        <f>"00350156"</f>
        <v>00350156</v>
      </c>
    </row>
    <row r="8596" spans="1:2" x14ac:dyDescent="0.25">
      <c r="A8596" s="2">
        <v>8591</v>
      </c>
      <c r="B8596" s="3" t="str">
        <f>"00350181"</f>
        <v>00350181</v>
      </c>
    </row>
    <row r="8597" spans="1:2" x14ac:dyDescent="0.25">
      <c r="A8597" s="2">
        <v>8592</v>
      </c>
      <c r="B8597" s="3" t="str">
        <f>"00350184"</f>
        <v>00350184</v>
      </c>
    </row>
    <row r="8598" spans="1:2" x14ac:dyDescent="0.25">
      <c r="A8598" s="2">
        <v>8593</v>
      </c>
      <c r="B8598" s="3" t="str">
        <f>"00350214"</f>
        <v>00350214</v>
      </c>
    </row>
    <row r="8599" spans="1:2" x14ac:dyDescent="0.25">
      <c r="A8599" s="2">
        <v>8594</v>
      </c>
      <c r="B8599" s="3" t="str">
        <f>"00350274"</f>
        <v>00350274</v>
      </c>
    </row>
    <row r="8600" spans="1:2" x14ac:dyDescent="0.25">
      <c r="A8600" s="2">
        <v>8595</v>
      </c>
      <c r="B8600" s="3" t="str">
        <f>"00350301"</f>
        <v>00350301</v>
      </c>
    </row>
    <row r="8601" spans="1:2" x14ac:dyDescent="0.25">
      <c r="A8601" s="2">
        <v>8596</v>
      </c>
      <c r="B8601" s="3" t="str">
        <f>"00350341"</f>
        <v>00350341</v>
      </c>
    </row>
    <row r="8602" spans="1:2" x14ac:dyDescent="0.25">
      <c r="A8602" s="2">
        <v>8597</v>
      </c>
      <c r="B8602" s="3" t="str">
        <f>"00350349"</f>
        <v>00350349</v>
      </c>
    </row>
    <row r="8603" spans="1:2" x14ac:dyDescent="0.25">
      <c r="A8603" s="2">
        <v>8598</v>
      </c>
      <c r="B8603" s="3" t="str">
        <f>"00350365"</f>
        <v>00350365</v>
      </c>
    </row>
    <row r="8604" spans="1:2" x14ac:dyDescent="0.25">
      <c r="A8604" s="2">
        <v>8599</v>
      </c>
      <c r="B8604" s="3" t="str">
        <f>"00350366"</f>
        <v>00350366</v>
      </c>
    </row>
    <row r="8605" spans="1:2" x14ac:dyDescent="0.25">
      <c r="A8605" s="2">
        <v>8600</v>
      </c>
      <c r="B8605" s="3" t="str">
        <f>"00350380"</f>
        <v>00350380</v>
      </c>
    </row>
    <row r="8606" spans="1:2" x14ac:dyDescent="0.25">
      <c r="A8606" s="2">
        <v>8601</v>
      </c>
      <c r="B8606" s="3" t="str">
        <f>"00350386"</f>
        <v>00350386</v>
      </c>
    </row>
    <row r="8607" spans="1:2" x14ac:dyDescent="0.25">
      <c r="A8607" s="2">
        <v>8602</v>
      </c>
      <c r="B8607" s="3" t="str">
        <f>"00350423"</f>
        <v>00350423</v>
      </c>
    </row>
    <row r="8608" spans="1:2" x14ac:dyDescent="0.25">
      <c r="A8608" s="2">
        <v>8603</v>
      </c>
      <c r="B8608" s="3" t="str">
        <f>"00350426"</f>
        <v>00350426</v>
      </c>
    </row>
    <row r="8609" spans="1:2" x14ac:dyDescent="0.25">
      <c r="A8609" s="2">
        <v>8604</v>
      </c>
      <c r="B8609" s="3" t="str">
        <f>"00350462"</f>
        <v>00350462</v>
      </c>
    </row>
    <row r="8610" spans="1:2" x14ac:dyDescent="0.25">
      <c r="A8610" s="2">
        <v>8605</v>
      </c>
      <c r="B8610" s="3" t="str">
        <f>"00350476"</f>
        <v>00350476</v>
      </c>
    </row>
    <row r="8611" spans="1:2" x14ac:dyDescent="0.25">
      <c r="A8611" s="2">
        <v>8606</v>
      </c>
      <c r="B8611" s="3" t="str">
        <f>"00350482"</f>
        <v>00350482</v>
      </c>
    </row>
    <row r="8612" spans="1:2" x14ac:dyDescent="0.25">
      <c r="A8612" s="2">
        <v>8607</v>
      </c>
      <c r="B8612" s="3" t="str">
        <f>"00350499"</f>
        <v>00350499</v>
      </c>
    </row>
    <row r="8613" spans="1:2" x14ac:dyDescent="0.25">
      <c r="A8613" s="2">
        <v>8608</v>
      </c>
      <c r="B8613" s="3" t="str">
        <f>"00350523"</f>
        <v>00350523</v>
      </c>
    </row>
    <row r="8614" spans="1:2" x14ac:dyDescent="0.25">
      <c r="A8614" s="2">
        <v>8609</v>
      </c>
      <c r="B8614" s="3" t="str">
        <f>"00350556"</f>
        <v>00350556</v>
      </c>
    </row>
    <row r="8615" spans="1:2" x14ac:dyDescent="0.25">
      <c r="A8615" s="2">
        <v>8610</v>
      </c>
      <c r="B8615" s="3" t="str">
        <f>"00350637"</f>
        <v>00350637</v>
      </c>
    </row>
    <row r="8616" spans="1:2" x14ac:dyDescent="0.25">
      <c r="A8616" s="2">
        <v>8611</v>
      </c>
      <c r="B8616" s="3" t="str">
        <f>"00350649"</f>
        <v>00350649</v>
      </c>
    </row>
    <row r="8617" spans="1:2" x14ac:dyDescent="0.25">
      <c r="A8617" s="2">
        <v>8612</v>
      </c>
      <c r="B8617" s="3" t="str">
        <f>"00350841"</f>
        <v>00350841</v>
      </c>
    </row>
    <row r="8618" spans="1:2" x14ac:dyDescent="0.25">
      <c r="A8618" s="2">
        <v>8613</v>
      </c>
      <c r="B8618" s="3" t="str">
        <f>"00350846"</f>
        <v>00350846</v>
      </c>
    </row>
    <row r="8619" spans="1:2" x14ac:dyDescent="0.25">
      <c r="A8619" s="2">
        <v>8614</v>
      </c>
      <c r="B8619" s="3" t="str">
        <f>"00350847"</f>
        <v>00350847</v>
      </c>
    </row>
    <row r="8620" spans="1:2" x14ac:dyDescent="0.25">
      <c r="A8620" s="2">
        <v>8615</v>
      </c>
      <c r="B8620" s="3" t="str">
        <f>"00350880"</f>
        <v>00350880</v>
      </c>
    </row>
    <row r="8621" spans="1:2" x14ac:dyDescent="0.25">
      <c r="A8621" s="2">
        <v>8616</v>
      </c>
      <c r="B8621" s="3" t="str">
        <f>"00350903"</f>
        <v>00350903</v>
      </c>
    </row>
    <row r="8622" spans="1:2" x14ac:dyDescent="0.25">
      <c r="A8622" s="2">
        <v>8617</v>
      </c>
      <c r="B8622" s="3" t="str">
        <f>"00350932"</f>
        <v>00350932</v>
      </c>
    </row>
    <row r="8623" spans="1:2" x14ac:dyDescent="0.25">
      <c r="A8623" s="2">
        <v>8618</v>
      </c>
      <c r="B8623" s="3" t="str">
        <f>"00350942"</f>
        <v>00350942</v>
      </c>
    </row>
    <row r="8624" spans="1:2" x14ac:dyDescent="0.25">
      <c r="A8624" s="2">
        <v>8619</v>
      </c>
      <c r="B8624" s="3" t="str">
        <f>"00350945"</f>
        <v>00350945</v>
      </c>
    </row>
    <row r="8625" spans="1:2" x14ac:dyDescent="0.25">
      <c r="A8625" s="2">
        <v>8620</v>
      </c>
      <c r="B8625" s="3" t="str">
        <f>"00350973"</f>
        <v>00350973</v>
      </c>
    </row>
    <row r="8626" spans="1:2" x14ac:dyDescent="0.25">
      <c r="A8626" s="2">
        <v>8621</v>
      </c>
      <c r="B8626" s="3" t="str">
        <f>"00350984"</f>
        <v>00350984</v>
      </c>
    </row>
    <row r="8627" spans="1:2" x14ac:dyDescent="0.25">
      <c r="A8627" s="2">
        <v>8622</v>
      </c>
      <c r="B8627" s="3" t="str">
        <f>"00351065"</f>
        <v>00351065</v>
      </c>
    </row>
    <row r="8628" spans="1:2" x14ac:dyDescent="0.25">
      <c r="A8628" s="2">
        <v>8623</v>
      </c>
      <c r="B8628" s="3" t="str">
        <f>"00351194"</f>
        <v>00351194</v>
      </c>
    </row>
    <row r="8629" spans="1:2" x14ac:dyDescent="0.25">
      <c r="A8629" s="2">
        <v>8624</v>
      </c>
      <c r="B8629" s="3" t="str">
        <f>"00351198"</f>
        <v>00351198</v>
      </c>
    </row>
    <row r="8630" spans="1:2" x14ac:dyDescent="0.25">
      <c r="A8630" s="2">
        <v>8625</v>
      </c>
      <c r="B8630" s="3" t="str">
        <f>"00351241"</f>
        <v>00351241</v>
      </c>
    </row>
    <row r="8631" spans="1:2" x14ac:dyDescent="0.25">
      <c r="A8631" s="2">
        <v>8626</v>
      </c>
      <c r="B8631" s="3" t="str">
        <f>"00351339"</f>
        <v>00351339</v>
      </c>
    </row>
    <row r="8632" spans="1:2" x14ac:dyDescent="0.25">
      <c r="A8632" s="2">
        <v>8627</v>
      </c>
      <c r="B8632" s="3" t="str">
        <f>"00351388"</f>
        <v>00351388</v>
      </c>
    </row>
    <row r="8633" spans="1:2" x14ac:dyDescent="0.25">
      <c r="A8633" s="2">
        <v>8628</v>
      </c>
      <c r="B8633" s="3" t="str">
        <f>"00351392"</f>
        <v>00351392</v>
      </c>
    </row>
    <row r="8634" spans="1:2" x14ac:dyDescent="0.25">
      <c r="A8634" s="2">
        <v>8629</v>
      </c>
      <c r="B8634" s="3" t="str">
        <f>"00351424"</f>
        <v>00351424</v>
      </c>
    </row>
    <row r="8635" spans="1:2" x14ac:dyDescent="0.25">
      <c r="A8635" s="2">
        <v>8630</v>
      </c>
      <c r="B8635" s="3" t="str">
        <f>"00351448"</f>
        <v>00351448</v>
      </c>
    </row>
    <row r="8636" spans="1:2" x14ac:dyDescent="0.25">
      <c r="A8636" s="2">
        <v>8631</v>
      </c>
      <c r="B8636" s="3" t="str">
        <f>"00351468"</f>
        <v>00351468</v>
      </c>
    </row>
    <row r="8637" spans="1:2" x14ac:dyDescent="0.25">
      <c r="A8637" s="2">
        <v>8632</v>
      </c>
      <c r="B8637" s="3" t="str">
        <f>"00351531"</f>
        <v>00351531</v>
      </c>
    </row>
    <row r="8638" spans="1:2" x14ac:dyDescent="0.25">
      <c r="A8638" s="2">
        <v>8633</v>
      </c>
      <c r="B8638" s="3" t="str">
        <f>"00351588"</f>
        <v>00351588</v>
      </c>
    </row>
    <row r="8639" spans="1:2" x14ac:dyDescent="0.25">
      <c r="A8639" s="2">
        <v>8634</v>
      </c>
      <c r="B8639" s="3" t="str">
        <f>"00351672"</f>
        <v>00351672</v>
      </c>
    </row>
    <row r="8640" spans="1:2" x14ac:dyDescent="0.25">
      <c r="A8640" s="2">
        <v>8635</v>
      </c>
      <c r="B8640" s="3" t="str">
        <f>"00351688"</f>
        <v>00351688</v>
      </c>
    </row>
    <row r="8641" spans="1:2" x14ac:dyDescent="0.25">
      <c r="A8641" s="2">
        <v>8636</v>
      </c>
      <c r="B8641" s="3" t="str">
        <f>"00351747"</f>
        <v>00351747</v>
      </c>
    </row>
    <row r="8642" spans="1:2" x14ac:dyDescent="0.25">
      <c r="A8642" s="2">
        <v>8637</v>
      </c>
      <c r="B8642" s="3" t="str">
        <f>"00351770"</f>
        <v>00351770</v>
      </c>
    </row>
    <row r="8643" spans="1:2" x14ac:dyDescent="0.25">
      <c r="A8643" s="2">
        <v>8638</v>
      </c>
      <c r="B8643" s="3" t="str">
        <f>"00351823"</f>
        <v>00351823</v>
      </c>
    </row>
    <row r="8644" spans="1:2" x14ac:dyDescent="0.25">
      <c r="A8644" s="2">
        <v>8639</v>
      </c>
      <c r="B8644" s="3" t="str">
        <f>"00351864"</f>
        <v>00351864</v>
      </c>
    </row>
    <row r="8645" spans="1:2" x14ac:dyDescent="0.25">
      <c r="A8645" s="2">
        <v>8640</v>
      </c>
      <c r="B8645" s="3" t="str">
        <f>"00351870"</f>
        <v>00351870</v>
      </c>
    </row>
    <row r="8646" spans="1:2" x14ac:dyDescent="0.25">
      <c r="A8646" s="2">
        <v>8641</v>
      </c>
      <c r="B8646" s="3" t="str">
        <f>"00351886"</f>
        <v>00351886</v>
      </c>
    </row>
    <row r="8647" spans="1:2" x14ac:dyDescent="0.25">
      <c r="A8647" s="2">
        <v>8642</v>
      </c>
      <c r="B8647" s="3" t="str">
        <f>"00351898"</f>
        <v>00351898</v>
      </c>
    </row>
    <row r="8648" spans="1:2" x14ac:dyDescent="0.25">
      <c r="A8648" s="2">
        <v>8643</v>
      </c>
      <c r="B8648" s="3" t="str">
        <f>"00351903"</f>
        <v>00351903</v>
      </c>
    </row>
    <row r="8649" spans="1:2" x14ac:dyDescent="0.25">
      <c r="A8649" s="2">
        <v>8644</v>
      </c>
      <c r="B8649" s="3" t="str">
        <f>"00351906"</f>
        <v>00351906</v>
      </c>
    </row>
    <row r="8650" spans="1:2" x14ac:dyDescent="0.25">
      <c r="A8650" s="2">
        <v>8645</v>
      </c>
      <c r="B8650" s="3" t="str">
        <f>"00351931"</f>
        <v>00351931</v>
      </c>
    </row>
    <row r="8651" spans="1:2" x14ac:dyDescent="0.25">
      <c r="A8651" s="2">
        <v>8646</v>
      </c>
      <c r="B8651" s="3" t="str">
        <f>"00351966"</f>
        <v>00351966</v>
      </c>
    </row>
    <row r="8652" spans="1:2" x14ac:dyDescent="0.25">
      <c r="A8652" s="2">
        <v>8647</v>
      </c>
      <c r="B8652" s="3" t="str">
        <f>"00352197"</f>
        <v>00352197</v>
      </c>
    </row>
    <row r="8653" spans="1:2" x14ac:dyDescent="0.25">
      <c r="A8653" s="2">
        <v>8648</v>
      </c>
      <c r="B8653" s="3" t="str">
        <f>"00352207"</f>
        <v>00352207</v>
      </c>
    </row>
    <row r="8654" spans="1:2" x14ac:dyDescent="0.25">
      <c r="A8654" s="2">
        <v>8649</v>
      </c>
      <c r="B8654" s="3" t="str">
        <f>"00352223"</f>
        <v>00352223</v>
      </c>
    </row>
    <row r="8655" spans="1:2" x14ac:dyDescent="0.25">
      <c r="A8655" s="2">
        <v>8650</v>
      </c>
      <c r="B8655" s="3" t="str">
        <f>"00352224"</f>
        <v>00352224</v>
      </c>
    </row>
    <row r="8656" spans="1:2" x14ac:dyDescent="0.25">
      <c r="A8656" s="2">
        <v>8651</v>
      </c>
      <c r="B8656" s="3" t="str">
        <f>"00352311"</f>
        <v>00352311</v>
      </c>
    </row>
    <row r="8657" spans="1:2" x14ac:dyDescent="0.25">
      <c r="A8657" s="2">
        <v>8652</v>
      </c>
      <c r="B8657" s="3" t="str">
        <f>"00352333"</f>
        <v>00352333</v>
      </c>
    </row>
    <row r="8658" spans="1:2" x14ac:dyDescent="0.25">
      <c r="A8658" s="2">
        <v>8653</v>
      </c>
      <c r="B8658" s="3" t="str">
        <f>"00352381"</f>
        <v>00352381</v>
      </c>
    </row>
    <row r="8659" spans="1:2" x14ac:dyDescent="0.25">
      <c r="A8659" s="2">
        <v>8654</v>
      </c>
      <c r="B8659" s="3" t="str">
        <f>"00352402"</f>
        <v>00352402</v>
      </c>
    </row>
    <row r="8660" spans="1:2" x14ac:dyDescent="0.25">
      <c r="A8660" s="2">
        <v>8655</v>
      </c>
      <c r="B8660" s="3" t="str">
        <f>"00352493"</f>
        <v>00352493</v>
      </c>
    </row>
    <row r="8661" spans="1:2" x14ac:dyDescent="0.25">
      <c r="A8661" s="2">
        <v>8656</v>
      </c>
      <c r="B8661" s="3" t="str">
        <f>"00352514"</f>
        <v>00352514</v>
      </c>
    </row>
    <row r="8662" spans="1:2" x14ac:dyDescent="0.25">
      <c r="A8662" s="2">
        <v>8657</v>
      </c>
      <c r="B8662" s="3" t="str">
        <f>"00352520"</f>
        <v>00352520</v>
      </c>
    </row>
    <row r="8663" spans="1:2" x14ac:dyDescent="0.25">
      <c r="A8663" s="2">
        <v>8658</v>
      </c>
      <c r="B8663" s="3" t="str">
        <f>"00352525"</f>
        <v>00352525</v>
      </c>
    </row>
    <row r="8664" spans="1:2" x14ac:dyDescent="0.25">
      <c r="A8664" s="2">
        <v>8659</v>
      </c>
      <c r="B8664" s="3" t="str">
        <f>"00352537"</f>
        <v>00352537</v>
      </c>
    </row>
    <row r="8665" spans="1:2" x14ac:dyDescent="0.25">
      <c r="A8665" s="2">
        <v>8660</v>
      </c>
      <c r="B8665" s="3" t="str">
        <f>"00352541"</f>
        <v>00352541</v>
      </c>
    </row>
    <row r="8666" spans="1:2" x14ac:dyDescent="0.25">
      <c r="A8666" s="2">
        <v>8661</v>
      </c>
      <c r="B8666" s="3" t="str">
        <f>"00352566"</f>
        <v>00352566</v>
      </c>
    </row>
    <row r="8667" spans="1:2" x14ac:dyDescent="0.25">
      <c r="A8667" s="2">
        <v>8662</v>
      </c>
      <c r="B8667" s="3" t="str">
        <f>"00352663"</f>
        <v>00352663</v>
      </c>
    </row>
    <row r="8668" spans="1:2" x14ac:dyDescent="0.25">
      <c r="A8668" s="2">
        <v>8663</v>
      </c>
      <c r="B8668" s="3" t="str">
        <f>"00352667"</f>
        <v>00352667</v>
      </c>
    </row>
    <row r="8669" spans="1:2" x14ac:dyDescent="0.25">
      <c r="A8669" s="2">
        <v>8664</v>
      </c>
      <c r="B8669" s="3" t="str">
        <f>"00352673"</f>
        <v>00352673</v>
      </c>
    </row>
    <row r="8670" spans="1:2" x14ac:dyDescent="0.25">
      <c r="A8670" s="2">
        <v>8665</v>
      </c>
      <c r="B8670" s="3" t="str">
        <f>"00352712"</f>
        <v>00352712</v>
      </c>
    </row>
    <row r="8671" spans="1:2" x14ac:dyDescent="0.25">
      <c r="A8671" s="2">
        <v>8666</v>
      </c>
      <c r="B8671" s="3" t="str">
        <f>"00352735"</f>
        <v>00352735</v>
      </c>
    </row>
    <row r="8672" spans="1:2" x14ac:dyDescent="0.25">
      <c r="A8672" s="2">
        <v>8667</v>
      </c>
      <c r="B8672" s="3" t="str">
        <f>"00352757"</f>
        <v>00352757</v>
      </c>
    </row>
    <row r="8673" spans="1:2" x14ac:dyDescent="0.25">
      <c r="A8673" s="2">
        <v>8668</v>
      </c>
      <c r="B8673" s="3" t="str">
        <f>"00352808"</f>
        <v>00352808</v>
      </c>
    </row>
    <row r="8674" spans="1:2" x14ac:dyDescent="0.25">
      <c r="A8674" s="2">
        <v>8669</v>
      </c>
      <c r="B8674" s="3" t="str">
        <f>"00352830"</f>
        <v>00352830</v>
      </c>
    </row>
    <row r="8675" spans="1:2" x14ac:dyDescent="0.25">
      <c r="A8675" s="2">
        <v>8670</v>
      </c>
      <c r="B8675" s="3" t="str">
        <f>"00352859"</f>
        <v>00352859</v>
      </c>
    </row>
    <row r="8676" spans="1:2" x14ac:dyDescent="0.25">
      <c r="A8676" s="2">
        <v>8671</v>
      </c>
      <c r="B8676" s="3" t="str">
        <f>"00352907"</f>
        <v>00352907</v>
      </c>
    </row>
    <row r="8677" spans="1:2" x14ac:dyDescent="0.25">
      <c r="A8677" s="2">
        <v>8672</v>
      </c>
      <c r="B8677" s="3" t="str">
        <f>"00352966"</f>
        <v>00352966</v>
      </c>
    </row>
    <row r="8678" spans="1:2" x14ac:dyDescent="0.25">
      <c r="A8678" s="2">
        <v>8673</v>
      </c>
      <c r="B8678" s="3" t="str">
        <f>"00353117"</f>
        <v>00353117</v>
      </c>
    </row>
    <row r="8679" spans="1:2" x14ac:dyDescent="0.25">
      <c r="A8679" s="2">
        <v>8674</v>
      </c>
      <c r="B8679" s="3" t="str">
        <f>"00353146"</f>
        <v>00353146</v>
      </c>
    </row>
    <row r="8680" spans="1:2" x14ac:dyDescent="0.25">
      <c r="A8680" s="2">
        <v>8675</v>
      </c>
      <c r="B8680" s="3" t="str">
        <f>"00353204"</f>
        <v>00353204</v>
      </c>
    </row>
    <row r="8681" spans="1:2" x14ac:dyDescent="0.25">
      <c r="A8681" s="2">
        <v>8676</v>
      </c>
      <c r="B8681" s="3" t="str">
        <f>"00353253"</f>
        <v>00353253</v>
      </c>
    </row>
    <row r="8682" spans="1:2" x14ac:dyDescent="0.25">
      <c r="A8682" s="2">
        <v>8677</v>
      </c>
      <c r="B8682" s="3" t="str">
        <f>"00353346"</f>
        <v>00353346</v>
      </c>
    </row>
    <row r="8683" spans="1:2" x14ac:dyDescent="0.25">
      <c r="A8683" s="2">
        <v>8678</v>
      </c>
      <c r="B8683" s="3" t="str">
        <f>"00353496"</f>
        <v>00353496</v>
      </c>
    </row>
    <row r="8684" spans="1:2" x14ac:dyDescent="0.25">
      <c r="A8684" s="2">
        <v>8679</v>
      </c>
      <c r="B8684" s="3" t="str">
        <f>"00353510"</f>
        <v>00353510</v>
      </c>
    </row>
    <row r="8685" spans="1:2" x14ac:dyDescent="0.25">
      <c r="A8685" s="2">
        <v>8680</v>
      </c>
      <c r="B8685" s="3" t="str">
        <f>"00353534"</f>
        <v>00353534</v>
      </c>
    </row>
    <row r="8686" spans="1:2" x14ac:dyDescent="0.25">
      <c r="A8686" s="2">
        <v>8681</v>
      </c>
      <c r="B8686" s="3" t="str">
        <f>"00353616"</f>
        <v>00353616</v>
      </c>
    </row>
    <row r="8687" spans="1:2" x14ac:dyDescent="0.25">
      <c r="A8687" s="2">
        <v>8682</v>
      </c>
      <c r="B8687" s="3" t="str">
        <f>"00353642"</f>
        <v>00353642</v>
      </c>
    </row>
    <row r="8688" spans="1:2" x14ac:dyDescent="0.25">
      <c r="A8688" s="2">
        <v>8683</v>
      </c>
      <c r="B8688" s="3" t="str">
        <f>"00353726"</f>
        <v>00353726</v>
      </c>
    </row>
    <row r="8689" spans="1:2" x14ac:dyDescent="0.25">
      <c r="A8689" s="2">
        <v>8684</v>
      </c>
      <c r="B8689" s="3" t="str">
        <f>"00353727"</f>
        <v>00353727</v>
      </c>
    </row>
    <row r="8690" spans="1:2" x14ac:dyDescent="0.25">
      <c r="A8690" s="2">
        <v>8685</v>
      </c>
      <c r="B8690" s="3" t="str">
        <f>"00353741"</f>
        <v>00353741</v>
      </c>
    </row>
    <row r="8691" spans="1:2" x14ac:dyDescent="0.25">
      <c r="A8691" s="2">
        <v>8686</v>
      </c>
      <c r="B8691" s="3" t="str">
        <f>"00353810"</f>
        <v>00353810</v>
      </c>
    </row>
    <row r="8692" spans="1:2" x14ac:dyDescent="0.25">
      <c r="A8692" s="2">
        <v>8687</v>
      </c>
      <c r="B8692" s="3" t="str">
        <f>"00353814"</f>
        <v>00353814</v>
      </c>
    </row>
    <row r="8693" spans="1:2" x14ac:dyDescent="0.25">
      <c r="A8693" s="2">
        <v>8688</v>
      </c>
      <c r="B8693" s="3" t="str">
        <f>"00353896"</f>
        <v>00353896</v>
      </c>
    </row>
    <row r="8694" spans="1:2" x14ac:dyDescent="0.25">
      <c r="A8694" s="2">
        <v>8689</v>
      </c>
      <c r="B8694" s="3" t="str">
        <f>"00354109"</f>
        <v>00354109</v>
      </c>
    </row>
    <row r="8695" spans="1:2" x14ac:dyDescent="0.25">
      <c r="A8695" s="2">
        <v>8690</v>
      </c>
      <c r="B8695" s="3" t="str">
        <f>"00354174"</f>
        <v>00354174</v>
      </c>
    </row>
    <row r="8696" spans="1:2" x14ac:dyDescent="0.25">
      <c r="A8696" s="2">
        <v>8691</v>
      </c>
      <c r="B8696" s="3" t="str">
        <f>"00354177"</f>
        <v>00354177</v>
      </c>
    </row>
    <row r="8697" spans="1:2" x14ac:dyDescent="0.25">
      <c r="A8697" s="2">
        <v>8692</v>
      </c>
      <c r="B8697" s="3" t="str">
        <f>"00354191"</f>
        <v>00354191</v>
      </c>
    </row>
    <row r="8698" spans="1:2" x14ac:dyDescent="0.25">
      <c r="A8698" s="2">
        <v>8693</v>
      </c>
      <c r="B8698" s="3" t="str">
        <f>"00354703"</f>
        <v>00354703</v>
      </c>
    </row>
    <row r="8699" spans="1:2" x14ac:dyDescent="0.25">
      <c r="A8699" s="2">
        <v>8694</v>
      </c>
      <c r="B8699" s="3" t="str">
        <f>"00354710"</f>
        <v>00354710</v>
      </c>
    </row>
    <row r="8700" spans="1:2" x14ac:dyDescent="0.25">
      <c r="A8700" s="2">
        <v>8695</v>
      </c>
      <c r="B8700" s="3" t="str">
        <f>"00354732"</f>
        <v>00354732</v>
      </c>
    </row>
    <row r="8701" spans="1:2" x14ac:dyDescent="0.25">
      <c r="A8701" s="2">
        <v>8696</v>
      </c>
      <c r="B8701" s="3" t="str">
        <f>"00354745"</f>
        <v>00354745</v>
      </c>
    </row>
    <row r="8702" spans="1:2" x14ac:dyDescent="0.25">
      <c r="A8702" s="2">
        <v>8697</v>
      </c>
      <c r="B8702" s="3" t="str">
        <f>"00354874"</f>
        <v>00354874</v>
      </c>
    </row>
    <row r="8703" spans="1:2" x14ac:dyDescent="0.25">
      <c r="A8703" s="2">
        <v>8698</v>
      </c>
      <c r="B8703" s="3" t="str">
        <f>"00354946"</f>
        <v>00354946</v>
      </c>
    </row>
    <row r="8704" spans="1:2" x14ac:dyDescent="0.25">
      <c r="A8704" s="2">
        <v>8699</v>
      </c>
      <c r="B8704" s="3" t="str">
        <f>"00354960"</f>
        <v>00354960</v>
      </c>
    </row>
    <row r="8705" spans="1:2" x14ac:dyDescent="0.25">
      <c r="A8705" s="2">
        <v>8700</v>
      </c>
      <c r="B8705" s="3" t="str">
        <f>"00354969"</f>
        <v>00354969</v>
      </c>
    </row>
    <row r="8706" spans="1:2" x14ac:dyDescent="0.25">
      <c r="A8706" s="2">
        <v>8701</v>
      </c>
      <c r="B8706" s="3" t="str">
        <f>"00354981"</f>
        <v>00354981</v>
      </c>
    </row>
    <row r="8707" spans="1:2" x14ac:dyDescent="0.25">
      <c r="A8707" s="2">
        <v>8702</v>
      </c>
      <c r="B8707" s="3" t="str">
        <f>"00355019"</f>
        <v>00355019</v>
      </c>
    </row>
    <row r="8708" spans="1:2" x14ac:dyDescent="0.25">
      <c r="A8708" s="2">
        <v>8703</v>
      </c>
      <c r="B8708" s="3" t="str">
        <f>"00355029"</f>
        <v>00355029</v>
      </c>
    </row>
    <row r="8709" spans="1:2" x14ac:dyDescent="0.25">
      <c r="A8709" s="2">
        <v>8704</v>
      </c>
      <c r="B8709" s="3" t="str">
        <f>"00355142"</f>
        <v>00355142</v>
      </c>
    </row>
    <row r="8710" spans="1:2" x14ac:dyDescent="0.25">
      <c r="A8710" s="2">
        <v>8705</v>
      </c>
      <c r="B8710" s="3" t="str">
        <f>"00355143"</f>
        <v>00355143</v>
      </c>
    </row>
    <row r="8711" spans="1:2" x14ac:dyDescent="0.25">
      <c r="A8711" s="2">
        <v>8706</v>
      </c>
      <c r="B8711" s="3" t="str">
        <f>"00355242"</f>
        <v>00355242</v>
      </c>
    </row>
    <row r="8712" spans="1:2" x14ac:dyDescent="0.25">
      <c r="A8712" s="2">
        <v>8707</v>
      </c>
      <c r="B8712" s="3" t="str">
        <f>"00355276"</f>
        <v>00355276</v>
      </c>
    </row>
    <row r="8713" spans="1:2" x14ac:dyDescent="0.25">
      <c r="A8713" s="2">
        <v>8708</v>
      </c>
      <c r="B8713" s="3" t="str">
        <f>"00355288"</f>
        <v>00355288</v>
      </c>
    </row>
    <row r="8714" spans="1:2" x14ac:dyDescent="0.25">
      <c r="A8714" s="2">
        <v>8709</v>
      </c>
      <c r="B8714" s="3" t="str">
        <f>"00355426"</f>
        <v>00355426</v>
      </c>
    </row>
    <row r="8715" spans="1:2" x14ac:dyDescent="0.25">
      <c r="A8715" s="2">
        <v>8710</v>
      </c>
      <c r="B8715" s="3" t="str">
        <f>"00355434"</f>
        <v>00355434</v>
      </c>
    </row>
    <row r="8716" spans="1:2" x14ac:dyDescent="0.25">
      <c r="A8716" s="2">
        <v>8711</v>
      </c>
      <c r="B8716" s="3" t="str">
        <f>"00355457"</f>
        <v>00355457</v>
      </c>
    </row>
    <row r="8717" spans="1:2" x14ac:dyDescent="0.25">
      <c r="A8717" s="2">
        <v>8712</v>
      </c>
      <c r="B8717" s="3" t="str">
        <f>"00355523"</f>
        <v>00355523</v>
      </c>
    </row>
    <row r="8718" spans="1:2" x14ac:dyDescent="0.25">
      <c r="A8718" s="2">
        <v>8713</v>
      </c>
      <c r="B8718" s="3" t="str">
        <f>"00355700"</f>
        <v>00355700</v>
      </c>
    </row>
    <row r="8719" spans="1:2" x14ac:dyDescent="0.25">
      <c r="A8719" s="2">
        <v>8714</v>
      </c>
      <c r="B8719" s="3" t="str">
        <f>"00355748"</f>
        <v>00355748</v>
      </c>
    </row>
    <row r="8720" spans="1:2" x14ac:dyDescent="0.25">
      <c r="A8720" s="2">
        <v>8715</v>
      </c>
      <c r="B8720" s="3" t="str">
        <f>"00355787"</f>
        <v>00355787</v>
      </c>
    </row>
    <row r="8721" spans="1:2" x14ac:dyDescent="0.25">
      <c r="A8721" s="2">
        <v>8716</v>
      </c>
      <c r="B8721" s="3" t="str">
        <f>"00355896"</f>
        <v>00355896</v>
      </c>
    </row>
    <row r="8722" spans="1:2" x14ac:dyDescent="0.25">
      <c r="A8722" s="2">
        <v>8717</v>
      </c>
      <c r="B8722" s="3" t="str">
        <f>"00356032"</f>
        <v>00356032</v>
      </c>
    </row>
    <row r="8723" spans="1:2" x14ac:dyDescent="0.25">
      <c r="A8723" s="2">
        <v>8718</v>
      </c>
      <c r="B8723" s="3" t="str">
        <f>"00356061"</f>
        <v>00356061</v>
      </c>
    </row>
    <row r="8724" spans="1:2" x14ac:dyDescent="0.25">
      <c r="A8724" s="2">
        <v>8719</v>
      </c>
      <c r="B8724" s="3" t="str">
        <f>"00356191"</f>
        <v>00356191</v>
      </c>
    </row>
    <row r="8725" spans="1:2" x14ac:dyDescent="0.25">
      <c r="A8725" s="2">
        <v>8720</v>
      </c>
      <c r="B8725" s="3" t="str">
        <f>"00356322"</f>
        <v>00356322</v>
      </c>
    </row>
    <row r="8726" spans="1:2" x14ac:dyDescent="0.25">
      <c r="A8726" s="2">
        <v>8721</v>
      </c>
      <c r="B8726" s="3" t="str">
        <f>"00356353"</f>
        <v>00356353</v>
      </c>
    </row>
    <row r="8727" spans="1:2" x14ac:dyDescent="0.25">
      <c r="A8727" s="2">
        <v>8722</v>
      </c>
      <c r="B8727" s="3" t="str">
        <f>"00356392"</f>
        <v>00356392</v>
      </c>
    </row>
    <row r="8728" spans="1:2" x14ac:dyDescent="0.25">
      <c r="A8728" s="2">
        <v>8723</v>
      </c>
      <c r="B8728" s="3" t="str">
        <f>"00356448"</f>
        <v>00356448</v>
      </c>
    </row>
    <row r="8729" spans="1:2" x14ac:dyDescent="0.25">
      <c r="A8729" s="2">
        <v>8724</v>
      </c>
      <c r="B8729" s="3" t="str">
        <f>"00356455"</f>
        <v>00356455</v>
      </c>
    </row>
    <row r="8730" spans="1:2" x14ac:dyDescent="0.25">
      <c r="A8730" s="2">
        <v>8725</v>
      </c>
      <c r="B8730" s="3" t="str">
        <f>"00356547"</f>
        <v>00356547</v>
      </c>
    </row>
    <row r="8731" spans="1:2" x14ac:dyDescent="0.25">
      <c r="A8731" s="2">
        <v>8726</v>
      </c>
      <c r="B8731" s="3" t="str">
        <f>"00356621"</f>
        <v>00356621</v>
      </c>
    </row>
    <row r="8732" spans="1:2" x14ac:dyDescent="0.25">
      <c r="A8732" s="2">
        <v>8727</v>
      </c>
      <c r="B8732" s="3" t="str">
        <f>"00356646"</f>
        <v>00356646</v>
      </c>
    </row>
    <row r="8733" spans="1:2" x14ac:dyDescent="0.25">
      <c r="A8733" s="2">
        <v>8728</v>
      </c>
      <c r="B8733" s="3" t="str">
        <f>"00356679"</f>
        <v>00356679</v>
      </c>
    </row>
    <row r="8734" spans="1:2" x14ac:dyDescent="0.25">
      <c r="A8734" s="2">
        <v>8729</v>
      </c>
      <c r="B8734" s="3" t="str">
        <f>"00356705"</f>
        <v>00356705</v>
      </c>
    </row>
    <row r="8735" spans="1:2" x14ac:dyDescent="0.25">
      <c r="A8735" s="2">
        <v>8730</v>
      </c>
      <c r="B8735" s="3" t="str">
        <f>"00356727"</f>
        <v>00356727</v>
      </c>
    </row>
    <row r="8736" spans="1:2" x14ac:dyDescent="0.25">
      <c r="A8736" s="2">
        <v>8731</v>
      </c>
      <c r="B8736" s="3" t="str">
        <f>"00356734"</f>
        <v>00356734</v>
      </c>
    </row>
    <row r="8737" spans="1:2" x14ac:dyDescent="0.25">
      <c r="A8737" s="2">
        <v>8732</v>
      </c>
      <c r="B8737" s="3" t="str">
        <f>"00356741"</f>
        <v>00356741</v>
      </c>
    </row>
    <row r="8738" spans="1:2" x14ac:dyDescent="0.25">
      <c r="A8738" s="2">
        <v>8733</v>
      </c>
      <c r="B8738" s="3" t="str">
        <f>"00356907"</f>
        <v>00356907</v>
      </c>
    </row>
    <row r="8739" spans="1:2" x14ac:dyDescent="0.25">
      <c r="A8739" s="2">
        <v>8734</v>
      </c>
      <c r="B8739" s="3" t="str">
        <f>"00356915"</f>
        <v>00356915</v>
      </c>
    </row>
    <row r="8740" spans="1:2" x14ac:dyDescent="0.25">
      <c r="A8740" s="2">
        <v>8735</v>
      </c>
      <c r="B8740" s="3" t="str">
        <f>"00356965"</f>
        <v>00356965</v>
      </c>
    </row>
    <row r="8741" spans="1:2" x14ac:dyDescent="0.25">
      <c r="A8741" s="2">
        <v>8736</v>
      </c>
      <c r="B8741" s="3" t="str">
        <f>"00357076"</f>
        <v>00357076</v>
      </c>
    </row>
    <row r="8742" spans="1:2" x14ac:dyDescent="0.25">
      <c r="A8742" s="2">
        <v>8737</v>
      </c>
      <c r="B8742" s="3" t="str">
        <f>"00357220"</f>
        <v>00357220</v>
      </c>
    </row>
    <row r="8743" spans="1:2" x14ac:dyDescent="0.25">
      <c r="A8743" s="2">
        <v>8738</v>
      </c>
      <c r="B8743" s="3" t="str">
        <f>"00357231"</f>
        <v>00357231</v>
      </c>
    </row>
    <row r="8744" spans="1:2" x14ac:dyDescent="0.25">
      <c r="A8744" s="2">
        <v>8739</v>
      </c>
      <c r="B8744" s="3" t="str">
        <f>"00357253"</f>
        <v>00357253</v>
      </c>
    </row>
    <row r="8745" spans="1:2" x14ac:dyDescent="0.25">
      <c r="A8745" s="2">
        <v>8740</v>
      </c>
      <c r="B8745" s="3" t="str">
        <f>"00357529"</f>
        <v>00357529</v>
      </c>
    </row>
    <row r="8746" spans="1:2" x14ac:dyDescent="0.25">
      <c r="A8746" s="2">
        <v>8741</v>
      </c>
      <c r="B8746" s="3" t="str">
        <f>"00357537"</f>
        <v>00357537</v>
      </c>
    </row>
    <row r="8747" spans="1:2" x14ac:dyDescent="0.25">
      <c r="A8747" s="2">
        <v>8742</v>
      </c>
      <c r="B8747" s="3" t="str">
        <f>"00357552"</f>
        <v>00357552</v>
      </c>
    </row>
    <row r="8748" spans="1:2" x14ac:dyDescent="0.25">
      <c r="A8748" s="2">
        <v>8743</v>
      </c>
      <c r="B8748" s="3" t="str">
        <f>"00357612"</f>
        <v>00357612</v>
      </c>
    </row>
    <row r="8749" spans="1:2" x14ac:dyDescent="0.25">
      <c r="A8749" s="2">
        <v>8744</v>
      </c>
      <c r="B8749" s="3" t="str">
        <f>"00357824"</f>
        <v>00357824</v>
      </c>
    </row>
    <row r="8750" spans="1:2" x14ac:dyDescent="0.25">
      <c r="A8750" s="2">
        <v>8745</v>
      </c>
      <c r="B8750" s="3" t="str">
        <f>"00357973"</f>
        <v>00357973</v>
      </c>
    </row>
    <row r="8751" spans="1:2" x14ac:dyDescent="0.25">
      <c r="A8751" s="2">
        <v>8746</v>
      </c>
      <c r="B8751" s="3" t="str">
        <f>"00358042"</f>
        <v>00358042</v>
      </c>
    </row>
    <row r="8752" spans="1:2" x14ac:dyDescent="0.25">
      <c r="A8752" s="2">
        <v>8747</v>
      </c>
      <c r="B8752" s="3" t="str">
        <f>"00358090"</f>
        <v>00358090</v>
      </c>
    </row>
    <row r="8753" spans="1:2" x14ac:dyDescent="0.25">
      <c r="A8753" s="2">
        <v>8748</v>
      </c>
      <c r="B8753" s="3" t="str">
        <f>"00358110"</f>
        <v>00358110</v>
      </c>
    </row>
    <row r="8754" spans="1:2" x14ac:dyDescent="0.25">
      <c r="A8754" s="2">
        <v>8749</v>
      </c>
      <c r="B8754" s="3" t="str">
        <f>"00358206"</f>
        <v>00358206</v>
      </c>
    </row>
    <row r="8755" spans="1:2" x14ac:dyDescent="0.25">
      <c r="A8755" s="2">
        <v>8750</v>
      </c>
      <c r="B8755" s="3" t="str">
        <f>"00358237"</f>
        <v>00358237</v>
      </c>
    </row>
    <row r="8756" spans="1:2" x14ac:dyDescent="0.25">
      <c r="A8756" s="2">
        <v>8751</v>
      </c>
      <c r="B8756" s="3" t="str">
        <f>"00358362"</f>
        <v>00358362</v>
      </c>
    </row>
    <row r="8757" spans="1:2" x14ac:dyDescent="0.25">
      <c r="A8757" s="2">
        <v>8752</v>
      </c>
      <c r="B8757" s="3" t="str">
        <f>"00358448"</f>
        <v>00358448</v>
      </c>
    </row>
    <row r="8758" spans="1:2" x14ac:dyDescent="0.25">
      <c r="A8758" s="2">
        <v>8753</v>
      </c>
      <c r="B8758" s="3" t="str">
        <f>"00358514"</f>
        <v>00358514</v>
      </c>
    </row>
    <row r="8759" spans="1:2" x14ac:dyDescent="0.25">
      <c r="A8759" s="2">
        <v>8754</v>
      </c>
      <c r="B8759" s="3" t="str">
        <f>"00358711"</f>
        <v>00358711</v>
      </c>
    </row>
    <row r="8760" spans="1:2" x14ac:dyDescent="0.25">
      <c r="A8760" s="2">
        <v>8755</v>
      </c>
      <c r="B8760" s="3" t="str">
        <f>"00358885"</f>
        <v>00358885</v>
      </c>
    </row>
    <row r="8761" spans="1:2" x14ac:dyDescent="0.25">
      <c r="A8761" s="2">
        <v>8756</v>
      </c>
      <c r="B8761" s="3" t="str">
        <f>"00358973"</f>
        <v>00358973</v>
      </c>
    </row>
    <row r="8762" spans="1:2" x14ac:dyDescent="0.25">
      <c r="A8762" s="2">
        <v>8757</v>
      </c>
      <c r="B8762" s="3" t="str">
        <f>"00359068"</f>
        <v>00359068</v>
      </c>
    </row>
    <row r="8763" spans="1:2" x14ac:dyDescent="0.25">
      <c r="A8763" s="2">
        <v>8758</v>
      </c>
      <c r="B8763" s="3" t="str">
        <f>"00359108"</f>
        <v>00359108</v>
      </c>
    </row>
    <row r="8764" spans="1:2" x14ac:dyDescent="0.25">
      <c r="A8764" s="2">
        <v>8759</v>
      </c>
      <c r="B8764" s="3" t="str">
        <f>"00359183"</f>
        <v>00359183</v>
      </c>
    </row>
    <row r="8765" spans="1:2" x14ac:dyDescent="0.25">
      <c r="A8765" s="2">
        <v>8760</v>
      </c>
      <c r="B8765" s="3" t="str">
        <f>"00359386"</f>
        <v>00359386</v>
      </c>
    </row>
    <row r="8766" spans="1:2" x14ac:dyDescent="0.25">
      <c r="A8766" s="2">
        <v>8761</v>
      </c>
      <c r="B8766" s="3" t="str">
        <f>"00359387"</f>
        <v>00359387</v>
      </c>
    </row>
    <row r="8767" spans="1:2" x14ac:dyDescent="0.25">
      <c r="A8767" s="2">
        <v>8762</v>
      </c>
      <c r="B8767" s="3" t="str">
        <f>"00359393"</f>
        <v>00359393</v>
      </c>
    </row>
    <row r="8768" spans="1:2" x14ac:dyDescent="0.25">
      <c r="A8768" s="2">
        <v>8763</v>
      </c>
      <c r="B8768" s="3" t="str">
        <f>"00359487"</f>
        <v>00359487</v>
      </c>
    </row>
    <row r="8769" spans="1:2" x14ac:dyDescent="0.25">
      <c r="A8769" s="2">
        <v>8764</v>
      </c>
      <c r="B8769" s="3" t="str">
        <f>"00359620"</f>
        <v>00359620</v>
      </c>
    </row>
    <row r="8770" spans="1:2" x14ac:dyDescent="0.25">
      <c r="A8770" s="2">
        <v>8765</v>
      </c>
      <c r="B8770" s="3" t="str">
        <f>"00359686"</f>
        <v>00359686</v>
      </c>
    </row>
    <row r="8771" spans="1:2" x14ac:dyDescent="0.25">
      <c r="A8771" s="2">
        <v>8766</v>
      </c>
      <c r="B8771" s="3" t="str">
        <f>"00359732"</f>
        <v>00359732</v>
      </c>
    </row>
    <row r="8772" spans="1:2" x14ac:dyDescent="0.25">
      <c r="A8772" s="2">
        <v>8767</v>
      </c>
      <c r="B8772" s="3" t="str">
        <f>"00359787"</f>
        <v>00359787</v>
      </c>
    </row>
    <row r="8773" spans="1:2" x14ac:dyDescent="0.25">
      <c r="A8773" s="2">
        <v>8768</v>
      </c>
      <c r="B8773" s="3" t="str">
        <f>"00359931"</f>
        <v>00359931</v>
      </c>
    </row>
    <row r="8774" spans="1:2" x14ac:dyDescent="0.25">
      <c r="A8774" s="2">
        <v>8769</v>
      </c>
      <c r="B8774" s="3" t="str">
        <f>"00360183"</f>
        <v>00360183</v>
      </c>
    </row>
    <row r="8775" spans="1:2" x14ac:dyDescent="0.25">
      <c r="A8775" s="2">
        <v>8770</v>
      </c>
      <c r="B8775" s="3" t="str">
        <f>"00360335"</f>
        <v>00360335</v>
      </c>
    </row>
    <row r="8776" spans="1:2" x14ac:dyDescent="0.25">
      <c r="A8776" s="2">
        <v>8771</v>
      </c>
      <c r="B8776" s="3" t="str">
        <f>"00360342"</f>
        <v>00360342</v>
      </c>
    </row>
    <row r="8777" spans="1:2" x14ac:dyDescent="0.25">
      <c r="A8777" s="2">
        <v>8772</v>
      </c>
      <c r="B8777" s="3" t="str">
        <f>"00360347"</f>
        <v>00360347</v>
      </c>
    </row>
    <row r="8778" spans="1:2" x14ac:dyDescent="0.25">
      <c r="A8778" s="2">
        <v>8773</v>
      </c>
      <c r="B8778" s="3" t="str">
        <f>"00360352"</f>
        <v>00360352</v>
      </c>
    </row>
    <row r="8779" spans="1:2" x14ac:dyDescent="0.25">
      <c r="A8779" s="2">
        <v>8774</v>
      </c>
      <c r="B8779" s="3" t="str">
        <f>"00360464"</f>
        <v>00360464</v>
      </c>
    </row>
    <row r="8780" spans="1:2" x14ac:dyDescent="0.25">
      <c r="A8780" s="2">
        <v>8775</v>
      </c>
      <c r="B8780" s="3" t="str">
        <f>"00360610"</f>
        <v>00360610</v>
      </c>
    </row>
    <row r="8781" spans="1:2" x14ac:dyDescent="0.25">
      <c r="A8781" s="2">
        <v>8776</v>
      </c>
      <c r="B8781" s="3" t="str">
        <f>"00360822"</f>
        <v>00360822</v>
      </c>
    </row>
    <row r="8782" spans="1:2" x14ac:dyDescent="0.25">
      <c r="A8782" s="2">
        <v>8777</v>
      </c>
      <c r="B8782" s="3" t="str">
        <f>"00360882"</f>
        <v>00360882</v>
      </c>
    </row>
    <row r="8783" spans="1:2" x14ac:dyDescent="0.25">
      <c r="A8783" s="2">
        <v>8778</v>
      </c>
      <c r="B8783" s="3" t="str">
        <f>"00360902"</f>
        <v>00360902</v>
      </c>
    </row>
    <row r="8784" spans="1:2" x14ac:dyDescent="0.25">
      <c r="A8784" s="2">
        <v>8779</v>
      </c>
      <c r="B8784" s="3" t="str">
        <f>"00360942"</f>
        <v>00360942</v>
      </c>
    </row>
    <row r="8785" spans="1:2" x14ac:dyDescent="0.25">
      <c r="A8785" s="2">
        <v>8780</v>
      </c>
      <c r="B8785" s="3" t="str">
        <f>"00361060"</f>
        <v>00361060</v>
      </c>
    </row>
    <row r="8786" spans="1:2" x14ac:dyDescent="0.25">
      <c r="A8786" s="2">
        <v>8781</v>
      </c>
      <c r="B8786" s="3" t="str">
        <f>"00361177"</f>
        <v>00361177</v>
      </c>
    </row>
    <row r="8787" spans="1:2" x14ac:dyDescent="0.25">
      <c r="A8787" s="2">
        <v>8782</v>
      </c>
      <c r="B8787" s="3" t="str">
        <f>"00361230"</f>
        <v>00361230</v>
      </c>
    </row>
    <row r="8788" spans="1:2" x14ac:dyDescent="0.25">
      <c r="A8788" s="2">
        <v>8783</v>
      </c>
      <c r="B8788" s="3" t="str">
        <f>"00361324"</f>
        <v>00361324</v>
      </c>
    </row>
    <row r="8789" spans="1:2" x14ac:dyDescent="0.25">
      <c r="A8789" s="2">
        <v>8784</v>
      </c>
      <c r="B8789" s="3" t="str">
        <f>"00361340"</f>
        <v>00361340</v>
      </c>
    </row>
    <row r="8790" spans="1:2" x14ac:dyDescent="0.25">
      <c r="A8790" s="2">
        <v>8785</v>
      </c>
      <c r="B8790" s="3" t="str">
        <f>"00361517"</f>
        <v>00361517</v>
      </c>
    </row>
    <row r="8791" spans="1:2" x14ac:dyDescent="0.25">
      <c r="A8791" s="2">
        <v>8786</v>
      </c>
      <c r="B8791" s="3" t="str">
        <f>"00361585"</f>
        <v>00361585</v>
      </c>
    </row>
    <row r="8792" spans="1:2" x14ac:dyDescent="0.25">
      <c r="A8792" s="2">
        <v>8787</v>
      </c>
      <c r="B8792" s="3" t="str">
        <f>"00361617"</f>
        <v>00361617</v>
      </c>
    </row>
    <row r="8793" spans="1:2" x14ac:dyDescent="0.25">
      <c r="A8793" s="2">
        <v>8788</v>
      </c>
      <c r="B8793" s="3" t="str">
        <f>"00361722"</f>
        <v>00361722</v>
      </c>
    </row>
    <row r="8794" spans="1:2" x14ac:dyDescent="0.25">
      <c r="A8794" s="2">
        <v>8789</v>
      </c>
      <c r="B8794" s="3" t="str">
        <f>"00361812"</f>
        <v>00361812</v>
      </c>
    </row>
    <row r="8795" spans="1:2" x14ac:dyDescent="0.25">
      <c r="A8795" s="2">
        <v>8790</v>
      </c>
      <c r="B8795" s="3" t="str">
        <f>"00361819"</f>
        <v>00361819</v>
      </c>
    </row>
    <row r="8796" spans="1:2" x14ac:dyDescent="0.25">
      <c r="A8796" s="2">
        <v>8791</v>
      </c>
      <c r="B8796" s="3" t="str">
        <f>"00361875"</f>
        <v>00361875</v>
      </c>
    </row>
    <row r="8797" spans="1:2" x14ac:dyDescent="0.25">
      <c r="A8797" s="2">
        <v>8792</v>
      </c>
      <c r="B8797" s="3" t="str">
        <f>"00361936"</f>
        <v>00361936</v>
      </c>
    </row>
    <row r="8798" spans="1:2" x14ac:dyDescent="0.25">
      <c r="A8798" s="2">
        <v>8793</v>
      </c>
      <c r="B8798" s="3" t="str">
        <f>"00361990"</f>
        <v>00361990</v>
      </c>
    </row>
    <row r="8799" spans="1:2" x14ac:dyDescent="0.25">
      <c r="A8799" s="2">
        <v>8794</v>
      </c>
      <c r="B8799" s="3" t="str">
        <f>"00362072"</f>
        <v>00362072</v>
      </c>
    </row>
    <row r="8800" spans="1:2" x14ac:dyDescent="0.25">
      <c r="A8800" s="2">
        <v>8795</v>
      </c>
      <c r="B8800" s="3" t="str">
        <f>"00362101"</f>
        <v>00362101</v>
      </c>
    </row>
    <row r="8801" spans="1:2" x14ac:dyDescent="0.25">
      <c r="A8801" s="2">
        <v>8796</v>
      </c>
      <c r="B8801" s="3" t="str">
        <f>"00362121"</f>
        <v>00362121</v>
      </c>
    </row>
    <row r="8802" spans="1:2" x14ac:dyDescent="0.25">
      <c r="A8802" s="2">
        <v>8797</v>
      </c>
      <c r="B8802" s="3" t="str">
        <f>"00362182"</f>
        <v>00362182</v>
      </c>
    </row>
    <row r="8803" spans="1:2" x14ac:dyDescent="0.25">
      <c r="A8803" s="2">
        <v>8798</v>
      </c>
      <c r="B8803" s="3" t="str">
        <f>"00362240"</f>
        <v>00362240</v>
      </c>
    </row>
    <row r="8804" spans="1:2" x14ac:dyDescent="0.25">
      <c r="A8804" s="2">
        <v>8799</v>
      </c>
      <c r="B8804" s="3" t="str">
        <f>"00362292"</f>
        <v>00362292</v>
      </c>
    </row>
    <row r="8805" spans="1:2" x14ac:dyDescent="0.25">
      <c r="A8805" s="2">
        <v>8800</v>
      </c>
      <c r="B8805" s="3" t="str">
        <f>"00362406"</f>
        <v>00362406</v>
      </c>
    </row>
    <row r="8806" spans="1:2" x14ac:dyDescent="0.25">
      <c r="A8806" s="2">
        <v>8801</v>
      </c>
      <c r="B8806" s="3" t="str">
        <f>"00362526"</f>
        <v>00362526</v>
      </c>
    </row>
    <row r="8807" spans="1:2" x14ac:dyDescent="0.25">
      <c r="A8807" s="2">
        <v>8802</v>
      </c>
      <c r="B8807" s="3" t="str">
        <f>"00362688"</f>
        <v>00362688</v>
      </c>
    </row>
    <row r="8808" spans="1:2" x14ac:dyDescent="0.25">
      <c r="A8808" s="2">
        <v>8803</v>
      </c>
      <c r="B8808" s="3" t="str">
        <f>"00362745"</f>
        <v>00362745</v>
      </c>
    </row>
    <row r="8809" spans="1:2" x14ac:dyDescent="0.25">
      <c r="A8809" s="2">
        <v>8804</v>
      </c>
      <c r="B8809" s="3" t="str">
        <f>"00362786"</f>
        <v>00362786</v>
      </c>
    </row>
    <row r="8810" spans="1:2" x14ac:dyDescent="0.25">
      <c r="A8810" s="2">
        <v>8805</v>
      </c>
      <c r="B8810" s="3" t="str">
        <f>"00362825"</f>
        <v>00362825</v>
      </c>
    </row>
    <row r="8811" spans="1:2" x14ac:dyDescent="0.25">
      <c r="A8811" s="2">
        <v>8806</v>
      </c>
      <c r="B8811" s="3" t="str">
        <f>"00362848"</f>
        <v>00362848</v>
      </c>
    </row>
    <row r="8812" spans="1:2" x14ac:dyDescent="0.25">
      <c r="A8812" s="2">
        <v>8807</v>
      </c>
      <c r="B8812" s="3" t="str">
        <f>"00362897"</f>
        <v>00362897</v>
      </c>
    </row>
    <row r="8813" spans="1:2" x14ac:dyDescent="0.25">
      <c r="A8813" s="2">
        <v>8808</v>
      </c>
      <c r="B8813" s="3" t="str">
        <f>"00362921"</f>
        <v>00362921</v>
      </c>
    </row>
    <row r="8814" spans="1:2" x14ac:dyDescent="0.25">
      <c r="A8814" s="2">
        <v>8809</v>
      </c>
      <c r="B8814" s="3" t="str">
        <f>"00363077"</f>
        <v>00363077</v>
      </c>
    </row>
    <row r="8815" spans="1:2" x14ac:dyDescent="0.25">
      <c r="A8815" s="2">
        <v>8810</v>
      </c>
      <c r="B8815" s="3" t="str">
        <f>"00363088"</f>
        <v>00363088</v>
      </c>
    </row>
    <row r="8816" spans="1:2" x14ac:dyDescent="0.25">
      <c r="A8816" s="2">
        <v>8811</v>
      </c>
      <c r="B8816" s="3" t="str">
        <f>"00363155"</f>
        <v>00363155</v>
      </c>
    </row>
    <row r="8817" spans="1:2" x14ac:dyDescent="0.25">
      <c r="A8817" s="2">
        <v>8812</v>
      </c>
      <c r="B8817" s="3" t="str">
        <f>"00363166"</f>
        <v>00363166</v>
      </c>
    </row>
    <row r="8818" spans="1:2" x14ac:dyDescent="0.25">
      <c r="A8818" s="2">
        <v>8813</v>
      </c>
      <c r="B8818" s="3" t="str">
        <f>"00363168"</f>
        <v>00363168</v>
      </c>
    </row>
    <row r="8819" spans="1:2" x14ac:dyDescent="0.25">
      <c r="A8819" s="2">
        <v>8814</v>
      </c>
      <c r="B8819" s="3" t="str">
        <f>"00363225"</f>
        <v>00363225</v>
      </c>
    </row>
    <row r="8820" spans="1:2" x14ac:dyDescent="0.25">
      <c r="A8820" s="2">
        <v>8815</v>
      </c>
      <c r="B8820" s="3" t="str">
        <f>"00363305"</f>
        <v>00363305</v>
      </c>
    </row>
    <row r="8821" spans="1:2" x14ac:dyDescent="0.25">
      <c r="A8821" s="2">
        <v>8816</v>
      </c>
      <c r="B8821" s="3" t="str">
        <f>"00363442"</f>
        <v>00363442</v>
      </c>
    </row>
    <row r="8822" spans="1:2" x14ac:dyDescent="0.25">
      <c r="A8822" s="2">
        <v>8817</v>
      </c>
      <c r="B8822" s="3" t="str">
        <f>"00363729"</f>
        <v>00363729</v>
      </c>
    </row>
    <row r="8823" spans="1:2" x14ac:dyDescent="0.25">
      <c r="A8823" s="2">
        <v>8818</v>
      </c>
      <c r="B8823" s="3" t="str">
        <f>"00363764"</f>
        <v>00363764</v>
      </c>
    </row>
    <row r="8824" spans="1:2" x14ac:dyDescent="0.25">
      <c r="A8824" s="2">
        <v>8819</v>
      </c>
      <c r="B8824" s="3" t="str">
        <f>"00363931"</f>
        <v>00363931</v>
      </c>
    </row>
    <row r="8825" spans="1:2" x14ac:dyDescent="0.25">
      <c r="A8825" s="2">
        <v>8820</v>
      </c>
      <c r="B8825" s="3" t="str">
        <f>"00364101"</f>
        <v>00364101</v>
      </c>
    </row>
    <row r="8826" spans="1:2" x14ac:dyDescent="0.25">
      <c r="A8826" s="2">
        <v>8821</v>
      </c>
      <c r="B8826" s="3" t="str">
        <f>"00364137"</f>
        <v>00364137</v>
      </c>
    </row>
    <row r="8827" spans="1:2" x14ac:dyDescent="0.25">
      <c r="A8827" s="2">
        <v>8822</v>
      </c>
      <c r="B8827" s="3" t="str">
        <f>"00364198"</f>
        <v>00364198</v>
      </c>
    </row>
    <row r="8828" spans="1:2" x14ac:dyDescent="0.25">
      <c r="A8828" s="2">
        <v>8823</v>
      </c>
      <c r="B8828" s="3" t="str">
        <f>"00364292"</f>
        <v>00364292</v>
      </c>
    </row>
    <row r="8829" spans="1:2" x14ac:dyDescent="0.25">
      <c r="A8829" s="2">
        <v>8824</v>
      </c>
      <c r="B8829" s="3" t="str">
        <f>"00364421"</f>
        <v>00364421</v>
      </c>
    </row>
    <row r="8830" spans="1:2" x14ac:dyDescent="0.25">
      <c r="A8830" s="2">
        <v>8825</v>
      </c>
      <c r="B8830" s="3" t="str">
        <f>"00364719"</f>
        <v>00364719</v>
      </c>
    </row>
    <row r="8831" spans="1:2" x14ac:dyDescent="0.25">
      <c r="A8831" s="2">
        <v>8826</v>
      </c>
      <c r="B8831" s="3" t="str">
        <f>"00364985"</f>
        <v>00364985</v>
      </c>
    </row>
    <row r="8832" spans="1:2" x14ac:dyDescent="0.25">
      <c r="A8832" s="2">
        <v>8827</v>
      </c>
      <c r="B8832" s="3" t="str">
        <f>"00365109"</f>
        <v>00365109</v>
      </c>
    </row>
    <row r="8833" spans="1:2" x14ac:dyDescent="0.25">
      <c r="A8833" s="2">
        <v>8828</v>
      </c>
      <c r="B8833" s="3" t="str">
        <f>"00365133"</f>
        <v>00365133</v>
      </c>
    </row>
    <row r="8834" spans="1:2" x14ac:dyDescent="0.25">
      <c r="A8834" s="2">
        <v>8829</v>
      </c>
      <c r="B8834" s="3" t="str">
        <f>"00365148"</f>
        <v>00365148</v>
      </c>
    </row>
    <row r="8835" spans="1:2" x14ac:dyDescent="0.25">
      <c r="A8835" s="2">
        <v>8830</v>
      </c>
      <c r="B8835" s="3" t="str">
        <f>"00365202"</f>
        <v>00365202</v>
      </c>
    </row>
    <row r="8836" spans="1:2" x14ac:dyDescent="0.25">
      <c r="A8836" s="2">
        <v>8831</v>
      </c>
      <c r="B8836" s="3" t="str">
        <f>"00365323"</f>
        <v>00365323</v>
      </c>
    </row>
    <row r="8837" spans="1:2" x14ac:dyDescent="0.25">
      <c r="A8837" s="2">
        <v>8832</v>
      </c>
      <c r="B8837" s="3" t="str">
        <f>"00365383"</f>
        <v>00365383</v>
      </c>
    </row>
    <row r="8838" spans="1:2" x14ac:dyDescent="0.25">
      <c r="A8838" s="2">
        <v>8833</v>
      </c>
      <c r="B8838" s="3" t="str">
        <f>"00365394"</f>
        <v>00365394</v>
      </c>
    </row>
    <row r="8839" spans="1:2" x14ac:dyDescent="0.25">
      <c r="A8839" s="2">
        <v>8834</v>
      </c>
      <c r="B8839" s="3" t="str">
        <f>"00365437"</f>
        <v>00365437</v>
      </c>
    </row>
    <row r="8840" spans="1:2" x14ac:dyDescent="0.25">
      <c r="A8840" s="2">
        <v>8835</v>
      </c>
      <c r="B8840" s="3" t="str">
        <f>"00365520"</f>
        <v>00365520</v>
      </c>
    </row>
    <row r="8841" spans="1:2" x14ac:dyDescent="0.25">
      <c r="A8841" s="2">
        <v>8836</v>
      </c>
      <c r="B8841" s="3" t="str">
        <f>"00365526"</f>
        <v>00365526</v>
      </c>
    </row>
    <row r="8842" spans="1:2" x14ac:dyDescent="0.25">
      <c r="A8842" s="2">
        <v>8837</v>
      </c>
      <c r="B8842" s="3" t="str">
        <f>"00365713"</f>
        <v>00365713</v>
      </c>
    </row>
    <row r="8843" spans="1:2" x14ac:dyDescent="0.25">
      <c r="A8843" s="2">
        <v>8838</v>
      </c>
      <c r="B8843" s="3" t="str">
        <f>"00365725"</f>
        <v>00365725</v>
      </c>
    </row>
    <row r="8844" spans="1:2" x14ac:dyDescent="0.25">
      <c r="A8844" s="2">
        <v>8839</v>
      </c>
      <c r="B8844" s="3" t="str">
        <f>"00365816"</f>
        <v>00365816</v>
      </c>
    </row>
    <row r="8845" spans="1:2" x14ac:dyDescent="0.25">
      <c r="A8845" s="2">
        <v>8840</v>
      </c>
      <c r="B8845" s="3" t="str">
        <f>"00365844"</f>
        <v>00365844</v>
      </c>
    </row>
    <row r="8846" spans="1:2" x14ac:dyDescent="0.25">
      <c r="A8846" s="2">
        <v>8841</v>
      </c>
      <c r="B8846" s="3" t="str">
        <f>"00365850"</f>
        <v>00365850</v>
      </c>
    </row>
    <row r="8847" spans="1:2" x14ac:dyDescent="0.25">
      <c r="A8847" s="2">
        <v>8842</v>
      </c>
      <c r="B8847" s="3" t="str">
        <f>"00365862"</f>
        <v>00365862</v>
      </c>
    </row>
    <row r="8848" spans="1:2" x14ac:dyDescent="0.25">
      <c r="A8848" s="2">
        <v>8843</v>
      </c>
      <c r="B8848" s="3" t="str">
        <f>"00366021"</f>
        <v>00366021</v>
      </c>
    </row>
    <row r="8849" spans="1:2" x14ac:dyDescent="0.25">
      <c r="A8849" s="2">
        <v>8844</v>
      </c>
      <c r="B8849" s="3" t="str">
        <f>"00366163"</f>
        <v>00366163</v>
      </c>
    </row>
    <row r="8850" spans="1:2" x14ac:dyDescent="0.25">
      <c r="A8850" s="2">
        <v>8845</v>
      </c>
      <c r="B8850" s="3" t="str">
        <f>"00366199"</f>
        <v>00366199</v>
      </c>
    </row>
    <row r="8851" spans="1:2" x14ac:dyDescent="0.25">
      <c r="A8851" s="2">
        <v>8846</v>
      </c>
      <c r="B8851" s="3" t="str">
        <f>"00366437"</f>
        <v>00366437</v>
      </c>
    </row>
    <row r="8852" spans="1:2" x14ac:dyDescent="0.25">
      <c r="A8852" s="2">
        <v>8847</v>
      </c>
      <c r="B8852" s="3" t="str">
        <f>"00366498"</f>
        <v>00366498</v>
      </c>
    </row>
    <row r="8853" spans="1:2" x14ac:dyDescent="0.25">
      <c r="A8853" s="2">
        <v>8848</v>
      </c>
      <c r="B8853" s="3" t="str">
        <f>"00366776"</f>
        <v>00366776</v>
      </c>
    </row>
    <row r="8854" spans="1:2" x14ac:dyDescent="0.25">
      <c r="A8854" s="2">
        <v>8849</v>
      </c>
      <c r="B8854" s="3" t="str">
        <f>"00366831"</f>
        <v>00366831</v>
      </c>
    </row>
    <row r="8855" spans="1:2" x14ac:dyDescent="0.25">
      <c r="A8855" s="2">
        <v>8850</v>
      </c>
      <c r="B8855" s="3" t="str">
        <f>"00366869"</f>
        <v>00366869</v>
      </c>
    </row>
    <row r="8856" spans="1:2" x14ac:dyDescent="0.25">
      <c r="A8856" s="2">
        <v>8851</v>
      </c>
      <c r="B8856" s="3" t="str">
        <f>"00366923"</f>
        <v>00366923</v>
      </c>
    </row>
    <row r="8857" spans="1:2" x14ac:dyDescent="0.25">
      <c r="A8857" s="2">
        <v>8852</v>
      </c>
      <c r="B8857" s="3" t="str">
        <f>"00366992"</f>
        <v>00366992</v>
      </c>
    </row>
    <row r="8858" spans="1:2" x14ac:dyDescent="0.25">
      <c r="A8858" s="2">
        <v>8853</v>
      </c>
      <c r="B8858" s="3" t="str">
        <f>"00367027"</f>
        <v>00367027</v>
      </c>
    </row>
    <row r="8859" spans="1:2" x14ac:dyDescent="0.25">
      <c r="A8859" s="2">
        <v>8854</v>
      </c>
      <c r="B8859" s="3" t="str">
        <f>"00367035"</f>
        <v>00367035</v>
      </c>
    </row>
    <row r="8860" spans="1:2" x14ac:dyDescent="0.25">
      <c r="A8860" s="2">
        <v>8855</v>
      </c>
      <c r="B8860" s="3" t="str">
        <f>"00367098"</f>
        <v>00367098</v>
      </c>
    </row>
    <row r="8861" spans="1:2" x14ac:dyDescent="0.25">
      <c r="A8861" s="2">
        <v>8856</v>
      </c>
      <c r="B8861" s="3" t="str">
        <f>"00367148"</f>
        <v>00367148</v>
      </c>
    </row>
    <row r="8862" spans="1:2" x14ac:dyDescent="0.25">
      <c r="A8862" s="2">
        <v>8857</v>
      </c>
      <c r="B8862" s="3" t="str">
        <f>"00367172"</f>
        <v>00367172</v>
      </c>
    </row>
    <row r="8863" spans="1:2" x14ac:dyDescent="0.25">
      <c r="A8863" s="2">
        <v>8858</v>
      </c>
      <c r="B8863" s="3" t="str">
        <f>"00367248"</f>
        <v>00367248</v>
      </c>
    </row>
    <row r="8864" spans="1:2" x14ac:dyDescent="0.25">
      <c r="A8864" s="2">
        <v>8859</v>
      </c>
      <c r="B8864" s="3" t="str">
        <f>"00367274"</f>
        <v>00367274</v>
      </c>
    </row>
    <row r="8865" spans="1:2" x14ac:dyDescent="0.25">
      <c r="A8865" s="2">
        <v>8860</v>
      </c>
      <c r="B8865" s="3" t="str">
        <f>"00367459"</f>
        <v>00367459</v>
      </c>
    </row>
    <row r="8866" spans="1:2" x14ac:dyDescent="0.25">
      <c r="A8866" s="2">
        <v>8861</v>
      </c>
      <c r="B8866" s="3" t="str">
        <f>"00367498"</f>
        <v>00367498</v>
      </c>
    </row>
    <row r="8867" spans="1:2" x14ac:dyDescent="0.25">
      <c r="A8867" s="2">
        <v>8862</v>
      </c>
      <c r="B8867" s="3" t="str">
        <f>"00367609"</f>
        <v>00367609</v>
      </c>
    </row>
    <row r="8868" spans="1:2" x14ac:dyDescent="0.25">
      <c r="A8868" s="2">
        <v>8863</v>
      </c>
      <c r="B8868" s="3" t="str">
        <f>"00367691"</f>
        <v>00367691</v>
      </c>
    </row>
    <row r="8869" spans="1:2" x14ac:dyDescent="0.25">
      <c r="A8869" s="2">
        <v>8864</v>
      </c>
      <c r="B8869" s="3" t="str">
        <f>"00367709"</f>
        <v>00367709</v>
      </c>
    </row>
    <row r="8870" spans="1:2" x14ac:dyDescent="0.25">
      <c r="A8870" s="2">
        <v>8865</v>
      </c>
      <c r="B8870" s="3" t="str">
        <f>"00367782"</f>
        <v>00367782</v>
      </c>
    </row>
    <row r="8871" spans="1:2" x14ac:dyDescent="0.25">
      <c r="A8871" s="2">
        <v>8866</v>
      </c>
      <c r="B8871" s="3" t="str">
        <f>"00367924"</f>
        <v>00367924</v>
      </c>
    </row>
    <row r="8872" spans="1:2" x14ac:dyDescent="0.25">
      <c r="A8872" s="2">
        <v>8867</v>
      </c>
      <c r="B8872" s="3" t="str">
        <f>"00367950"</f>
        <v>00367950</v>
      </c>
    </row>
    <row r="8873" spans="1:2" x14ac:dyDescent="0.25">
      <c r="A8873" s="2">
        <v>8868</v>
      </c>
      <c r="B8873" s="3" t="str">
        <f>"00367976"</f>
        <v>00367976</v>
      </c>
    </row>
    <row r="8874" spans="1:2" x14ac:dyDescent="0.25">
      <c r="A8874" s="2">
        <v>8869</v>
      </c>
      <c r="B8874" s="3" t="str">
        <f>"00368240"</f>
        <v>00368240</v>
      </c>
    </row>
    <row r="8875" spans="1:2" x14ac:dyDescent="0.25">
      <c r="A8875" s="2">
        <v>8870</v>
      </c>
      <c r="B8875" s="3" t="str">
        <f>"00368242"</f>
        <v>00368242</v>
      </c>
    </row>
    <row r="8876" spans="1:2" x14ac:dyDescent="0.25">
      <c r="A8876" s="2">
        <v>8871</v>
      </c>
      <c r="B8876" s="3" t="str">
        <f>"00368267"</f>
        <v>00368267</v>
      </c>
    </row>
    <row r="8877" spans="1:2" x14ac:dyDescent="0.25">
      <c r="A8877" s="2">
        <v>8872</v>
      </c>
      <c r="B8877" s="3" t="str">
        <f>"00368341"</f>
        <v>00368341</v>
      </c>
    </row>
    <row r="8878" spans="1:2" x14ac:dyDescent="0.25">
      <c r="A8878" s="2">
        <v>8873</v>
      </c>
      <c r="B8878" s="3" t="str">
        <f>"00368455"</f>
        <v>00368455</v>
      </c>
    </row>
    <row r="8879" spans="1:2" x14ac:dyDescent="0.25">
      <c r="A8879" s="2">
        <v>8874</v>
      </c>
      <c r="B8879" s="3" t="str">
        <f>"00368559"</f>
        <v>00368559</v>
      </c>
    </row>
    <row r="8880" spans="1:2" x14ac:dyDescent="0.25">
      <c r="A8880" s="2">
        <v>8875</v>
      </c>
      <c r="B8880" s="3" t="str">
        <f>"00368587"</f>
        <v>00368587</v>
      </c>
    </row>
    <row r="8881" spans="1:2" x14ac:dyDescent="0.25">
      <c r="A8881" s="2">
        <v>8876</v>
      </c>
      <c r="B8881" s="3" t="str">
        <f>"00368653"</f>
        <v>00368653</v>
      </c>
    </row>
    <row r="8882" spans="1:2" x14ac:dyDescent="0.25">
      <c r="A8882" s="2">
        <v>8877</v>
      </c>
      <c r="B8882" s="3" t="str">
        <f>"00368657"</f>
        <v>00368657</v>
      </c>
    </row>
    <row r="8883" spans="1:2" x14ac:dyDescent="0.25">
      <c r="A8883" s="2">
        <v>8878</v>
      </c>
      <c r="B8883" s="3" t="str">
        <f>"00368725"</f>
        <v>00368725</v>
      </c>
    </row>
    <row r="8884" spans="1:2" x14ac:dyDescent="0.25">
      <c r="A8884" s="2">
        <v>8879</v>
      </c>
      <c r="B8884" s="3" t="str">
        <f>"00368799"</f>
        <v>00368799</v>
      </c>
    </row>
    <row r="8885" spans="1:2" x14ac:dyDescent="0.25">
      <c r="A8885" s="2">
        <v>8880</v>
      </c>
      <c r="B8885" s="3" t="str">
        <f>"00368803"</f>
        <v>00368803</v>
      </c>
    </row>
    <row r="8886" spans="1:2" x14ac:dyDescent="0.25">
      <c r="A8886" s="2">
        <v>8881</v>
      </c>
      <c r="B8886" s="3" t="str">
        <f>"00368814"</f>
        <v>00368814</v>
      </c>
    </row>
    <row r="8887" spans="1:2" x14ac:dyDescent="0.25">
      <c r="A8887" s="2">
        <v>8882</v>
      </c>
      <c r="B8887" s="3" t="str">
        <f>"00368918"</f>
        <v>00368918</v>
      </c>
    </row>
    <row r="8888" spans="1:2" x14ac:dyDescent="0.25">
      <c r="A8888" s="2">
        <v>8883</v>
      </c>
      <c r="B8888" s="3" t="str">
        <f>"00369035"</f>
        <v>00369035</v>
      </c>
    </row>
    <row r="8889" spans="1:2" x14ac:dyDescent="0.25">
      <c r="A8889" s="2">
        <v>8884</v>
      </c>
      <c r="B8889" s="3" t="str">
        <f>"00369037"</f>
        <v>00369037</v>
      </c>
    </row>
    <row r="8890" spans="1:2" x14ac:dyDescent="0.25">
      <c r="A8890" s="2">
        <v>8885</v>
      </c>
      <c r="B8890" s="3" t="str">
        <f>"00369107"</f>
        <v>00369107</v>
      </c>
    </row>
    <row r="8891" spans="1:2" x14ac:dyDescent="0.25">
      <c r="A8891" s="2">
        <v>8886</v>
      </c>
      <c r="B8891" s="3" t="str">
        <f>"00369256"</f>
        <v>00369256</v>
      </c>
    </row>
    <row r="8892" spans="1:2" x14ac:dyDescent="0.25">
      <c r="A8892" s="2">
        <v>8887</v>
      </c>
      <c r="B8892" s="3" t="str">
        <f>"00369305"</f>
        <v>00369305</v>
      </c>
    </row>
    <row r="8893" spans="1:2" x14ac:dyDescent="0.25">
      <c r="A8893" s="2">
        <v>8888</v>
      </c>
      <c r="B8893" s="3" t="str">
        <f>"00369473"</f>
        <v>00369473</v>
      </c>
    </row>
    <row r="8894" spans="1:2" x14ac:dyDescent="0.25">
      <c r="A8894" s="2">
        <v>8889</v>
      </c>
      <c r="B8894" s="3" t="str">
        <f>"00369689"</f>
        <v>00369689</v>
      </c>
    </row>
    <row r="8895" spans="1:2" x14ac:dyDescent="0.25">
      <c r="A8895" s="2">
        <v>8890</v>
      </c>
      <c r="B8895" s="3" t="str">
        <f>"00369771"</f>
        <v>00369771</v>
      </c>
    </row>
    <row r="8896" spans="1:2" x14ac:dyDescent="0.25">
      <c r="A8896" s="2">
        <v>8891</v>
      </c>
      <c r="B8896" s="3" t="str">
        <f>"00369802"</f>
        <v>00369802</v>
      </c>
    </row>
    <row r="8897" spans="1:2" x14ac:dyDescent="0.25">
      <c r="A8897" s="2">
        <v>8892</v>
      </c>
      <c r="B8897" s="3" t="str">
        <f>"00369916"</f>
        <v>00369916</v>
      </c>
    </row>
    <row r="8898" spans="1:2" x14ac:dyDescent="0.25">
      <c r="A8898" s="2">
        <v>8893</v>
      </c>
      <c r="B8898" s="3" t="str">
        <f>"00369919"</f>
        <v>00369919</v>
      </c>
    </row>
    <row r="8899" spans="1:2" x14ac:dyDescent="0.25">
      <c r="A8899" s="2">
        <v>8894</v>
      </c>
      <c r="B8899" s="3" t="str">
        <f>"00369924"</f>
        <v>00369924</v>
      </c>
    </row>
    <row r="8900" spans="1:2" x14ac:dyDescent="0.25">
      <c r="A8900" s="2">
        <v>8895</v>
      </c>
      <c r="B8900" s="3" t="str">
        <f>"00369964"</f>
        <v>00369964</v>
      </c>
    </row>
    <row r="8901" spans="1:2" x14ac:dyDescent="0.25">
      <c r="A8901" s="2">
        <v>8896</v>
      </c>
      <c r="B8901" s="3" t="str">
        <f>"00369977"</f>
        <v>00369977</v>
      </c>
    </row>
    <row r="8902" spans="1:2" x14ac:dyDescent="0.25">
      <c r="A8902" s="2">
        <v>8897</v>
      </c>
      <c r="B8902" s="3" t="str">
        <f>"00370045"</f>
        <v>00370045</v>
      </c>
    </row>
    <row r="8903" spans="1:2" x14ac:dyDescent="0.25">
      <c r="A8903" s="2">
        <v>8898</v>
      </c>
      <c r="B8903" s="3" t="str">
        <f>"00370073"</f>
        <v>00370073</v>
      </c>
    </row>
    <row r="8904" spans="1:2" x14ac:dyDescent="0.25">
      <c r="A8904" s="2">
        <v>8899</v>
      </c>
      <c r="B8904" s="3" t="str">
        <f>"00370138"</f>
        <v>00370138</v>
      </c>
    </row>
    <row r="8905" spans="1:2" x14ac:dyDescent="0.25">
      <c r="A8905" s="2">
        <v>8900</v>
      </c>
      <c r="B8905" s="3" t="str">
        <f>"00370335"</f>
        <v>00370335</v>
      </c>
    </row>
    <row r="8906" spans="1:2" x14ac:dyDescent="0.25">
      <c r="A8906" s="2">
        <v>8901</v>
      </c>
      <c r="B8906" s="3" t="str">
        <f>"00370361"</f>
        <v>00370361</v>
      </c>
    </row>
    <row r="8907" spans="1:2" x14ac:dyDescent="0.25">
      <c r="A8907" s="2">
        <v>8902</v>
      </c>
      <c r="B8907" s="3" t="str">
        <f>"00370368"</f>
        <v>00370368</v>
      </c>
    </row>
    <row r="8908" spans="1:2" x14ac:dyDescent="0.25">
      <c r="A8908" s="2">
        <v>8903</v>
      </c>
      <c r="B8908" s="3" t="str">
        <f>"00370634"</f>
        <v>00370634</v>
      </c>
    </row>
    <row r="8909" spans="1:2" x14ac:dyDescent="0.25">
      <c r="A8909" s="2">
        <v>8904</v>
      </c>
      <c r="B8909" s="3" t="str">
        <f>"00370889"</f>
        <v>00370889</v>
      </c>
    </row>
    <row r="8910" spans="1:2" x14ac:dyDescent="0.25">
      <c r="A8910" s="2">
        <v>8905</v>
      </c>
      <c r="B8910" s="3" t="str">
        <f>"00370894"</f>
        <v>00370894</v>
      </c>
    </row>
    <row r="8911" spans="1:2" x14ac:dyDescent="0.25">
      <c r="A8911" s="2">
        <v>8906</v>
      </c>
      <c r="B8911" s="3" t="str">
        <f>"00370921"</f>
        <v>00370921</v>
      </c>
    </row>
    <row r="8912" spans="1:2" x14ac:dyDescent="0.25">
      <c r="A8912" s="2">
        <v>8907</v>
      </c>
      <c r="B8912" s="3" t="str">
        <f>"00370945"</f>
        <v>00370945</v>
      </c>
    </row>
    <row r="8913" spans="1:2" x14ac:dyDescent="0.25">
      <c r="A8913" s="2">
        <v>8908</v>
      </c>
      <c r="B8913" s="3" t="str">
        <f>"00370985"</f>
        <v>00370985</v>
      </c>
    </row>
    <row r="8914" spans="1:2" x14ac:dyDescent="0.25">
      <c r="A8914" s="2">
        <v>8909</v>
      </c>
      <c r="B8914" s="3" t="str">
        <f>"00370986"</f>
        <v>00370986</v>
      </c>
    </row>
    <row r="8915" spans="1:2" x14ac:dyDescent="0.25">
      <c r="A8915" s="2">
        <v>8910</v>
      </c>
      <c r="B8915" s="3" t="str">
        <f>"00371036"</f>
        <v>00371036</v>
      </c>
    </row>
    <row r="8916" spans="1:2" x14ac:dyDescent="0.25">
      <c r="A8916" s="2">
        <v>8911</v>
      </c>
      <c r="B8916" s="3" t="str">
        <f>"00371099"</f>
        <v>00371099</v>
      </c>
    </row>
    <row r="8917" spans="1:2" x14ac:dyDescent="0.25">
      <c r="A8917" s="2">
        <v>8912</v>
      </c>
      <c r="B8917" s="3" t="str">
        <f>"00371160"</f>
        <v>00371160</v>
      </c>
    </row>
    <row r="8918" spans="1:2" x14ac:dyDescent="0.25">
      <c r="A8918" s="2">
        <v>8913</v>
      </c>
      <c r="B8918" s="3" t="str">
        <f>"00371242"</f>
        <v>00371242</v>
      </c>
    </row>
    <row r="8919" spans="1:2" x14ac:dyDescent="0.25">
      <c r="A8919" s="2">
        <v>8914</v>
      </c>
      <c r="B8919" s="3" t="str">
        <f>"00371415"</f>
        <v>00371415</v>
      </c>
    </row>
    <row r="8920" spans="1:2" x14ac:dyDescent="0.25">
      <c r="A8920" s="2">
        <v>8915</v>
      </c>
      <c r="B8920" s="3" t="str">
        <f>"00371634"</f>
        <v>00371634</v>
      </c>
    </row>
    <row r="8921" spans="1:2" x14ac:dyDescent="0.25">
      <c r="A8921" s="2">
        <v>8916</v>
      </c>
      <c r="B8921" s="3" t="str">
        <f>"00371651"</f>
        <v>00371651</v>
      </c>
    </row>
    <row r="8922" spans="1:2" x14ac:dyDescent="0.25">
      <c r="A8922" s="2">
        <v>8917</v>
      </c>
      <c r="B8922" s="3" t="str">
        <f>"00371792"</f>
        <v>00371792</v>
      </c>
    </row>
    <row r="8923" spans="1:2" x14ac:dyDescent="0.25">
      <c r="A8923" s="2">
        <v>8918</v>
      </c>
      <c r="B8923" s="3" t="str">
        <f>"00371795"</f>
        <v>00371795</v>
      </c>
    </row>
    <row r="8924" spans="1:2" x14ac:dyDescent="0.25">
      <c r="A8924" s="2">
        <v>8919</v>
      </c>
      <c r="B8924" s="3" t="str">
        <f>"00371839"</f>
        <v>00371839</v>
      </c>
    </row>
    <row r="8925" spans="1:2" x14ac:dyDescent="0.25">
      <c r="A8925" s="2">
        <v>8920</v>
      </c>
      <c r="B8925" s="3" t="str">
        <f>"00371937"</f>
        <v>00371937</v>
      </c>
    </row>
    <row r="8926" spans="1:2" x14ac:dyDescent="0.25">
      <c r="A8926" s="2">
        <v>8921</v>
      </c>
      <c r="B8926" s="3" t="str">
        <f>"00372052"</f>
        <v>00372052</v>
      </c>
    </row>
    <row r="8927" spans="1:2" x14ac:dyDescent="0.25">
      <c r="A8927" s="2">
        <v>8922</v>
      </c>
      <c r="B8927" s="3" t="str">
        <f>"00372114"</f>
        <v>00372114</v>
      </c>
    </row>
    <row r="8928" spans="1:2" x14ac:dyDescent="0.25">
      <c r="A8928" s="2">
        <v>8923</v>
      </c>
      <c r="B8928" s="3" t="str">
        <f>"00372183"</f>
        <v>00372183</v>
      </c>
    </row>
    <row r="8929" spans="1:2" x14ac:dyDescent="0.25">
      <c r="A8929" s="2">
        <v>8924</v>
      </c>
      <c r="B8929" s="3" t="str">
        <f>"00372296"</f>
        <v>00372296</v>
      </c>
    </row>
    <row r="8930" spans="1:2" x14ac:dyDescent="0.25">
      <c r="A8930" s="2">
        <v>8925</v>
      </c>
      <c r="B8930" s="3" t="str">
        <f>"00372319"</f>
        <v>00372319</v>
      </c>
    </row>
    <row r="8931" spans="1:2" x14ac:dyDescent="0.25">
      <c r="A8931" s="2">
        <v>8926</v>
      </c>
      <c r="B8931" s="3" t="str">
        <f>"00372419"</f>
        <v>00372419</v>
      </c>
    </row>
    <row r="8932" spans="1:2" x14ac:dyDescent="0.25">
      <c r="A8932" s="2">
        <v>8927</v>
      </c>
      <c r="B8932" s="3" t="str">
        <f>"00372460"</f>
        <v>00372460</v>
      </c>
    </row>
    <row r="8933" spans="1:2" x14ac:dyDescent="0.25">
      <c r="A8933" s="2">
        <v>8928</v>
      </c>
      <c r="B8933" s="3" t="str">
        <f>"00372474"</f>
        <v>00372474</v>
      </c>
    </row>
    <row r="8934" spans="1:2" x14ac:dyDescent="0.25">
      <c r="A8934" s="2">
        <v>8929</v>
      </c>
      <c r="B8934" s="3" t="str">
        <f>"00372543"</f>
        <v>00372543</v>
      </c>
    </row>
    <row r="8935" spans="1:2" x14ac:dyDescent="0.25">
      <c r="A8935" s="2">
        <v>8930</v>
      </c>
      <c r="B8935" s="3" t="str">
        <f>"00372821"</f>
        <v>00372821</v>
      </c>
    </row>
    <row r="8936" spans="1:2" x14ac:dyDescent="0.25">
      <c r="A8936" s="2">
        <v>8931</v>
      </c>
      <c r="B8936" s="3" t="str">
        <f>"00373001"</f>
        <v>00373001</v>
      </c>
    </row>
    <row r="8937" spans="1:2" x14ac:dyDescent="0.25">
      <c r="A8937" s="2">
        <v>8932</v>
      </c>
      <c r="B8937" s="3" t="str">
        <f>"00373002"</f>
        <v>00373002</v>
      </c>
    </row>
    <row r="8938" spans="1:2" x14ac:dyDescent="0.25">
      <c r="A8938" s="2">
        <v>8933</v>
      </c>
      <c r="B8938" s="3" t="str">
        <f>"00373064"</f>
        <v>00373064</v>
      </c>
    </row>
    <row r="8939" spans="1:2" x14ac:dyDescent="0.25">
      <c r="A8939" s="2">
        <v>8934</v>
      </c>
      <c r="B8939" s="3" t="str">
        <f>"00373108"</f>
        <v>00373108</v>
      </c>
    </row>
    <row r="8940" spans="1:2" x14ac:dyDescent="0.25">
      <c r="A8940" s="2">
        <v>8935</v>
      </c>
      <c r="B8940" s="3" t="str">
        <f>"00373136"</f>
        <v>00373136</v>
      </c>
    </row>
    <row r="8941" spans="1:2" x14ac:dyDescent="0.25">
      <c r="A8941" s="2">
        <v>8936</v>
      </c>
      <c r="B8941" s="3" t="str">
        <f>"00373210"</f>
        <v>00373210</v>
      </c>
    </row>
    <row r="8942" spans="1:2" x14ac:dyDescent="0.25">
      <c r="A8942" s="2">
        <v>8937</v>
      </c>
      <c r="B8942" s="3" t="str">
        <f>"00373238"</f>
        <v>00373238</v>
      </c>
    </row>
    <row r="8943" spans="1:2" x14ac:dyDescent="0.25">
      <c r="A8943" s="2">
        <v>8938</v>
      </c>
      <c r="B8943" s="3" t="str">
        <f>"00373412"</f>
        <v>00373412</v>
      </c>
    </row>
    <row r="8944" spans="1:2" x14ac:dyDescent="0.25">
      <c r="A8944" s="2">
        <v>8939</v>
      </c>
      <c r="B8944" s="3" t="str">
        <f>"00373540"</f>
        <v>00373540</v>
      </c>
    </row>
    <row r="8945" spans="1:2" x14ac:dyDescent="0.25">
      <c r="A8945" s="2">
        <v>8940</v>
      </c>
      <c r="B8945" s="3" t="str">
        <f>"00373668"</f>
        <v>00373668</v>
      </c>
    </row>
    <row r="8946" spans="1:2" x14ac:dyDescent="0.25">
      <c r="A8946" s="2">
        <v>8941</v>
      </c>
      <c r="B8946" s="3" t="str">
        <f>"00373822"</f>
        <v>00373822</v>
      </c>
    </row>
    <row r="8947" spans="1:2" x14ac:dyDescent="0.25">
      <c r="A8947" s="2">
        <v>8942</v>
      </c>
      <c r="B8947" s="3" t="str">
        <f>"00373892"</f>
        <v>00373892</v>
      </c>
    </row>
    <row r="8948" spans="1:2" x14ac:dyDescent="0.25">
      <c r="A8948" s="2">
        <v>8943</v>
      </c>
      <c r="B8948" s="3" t="str">
        <f>"00373914"</f>
        <v>00373914</v>
      </c>
    </row>
    <row r="8949" spans="1:2" x14ac:dyDescent="0.25">
      <c r="A8949" s="2">
        <v>8944</v>
      </c>
      <c r="B8949" s="3" t="str">
        <f>"00374002"</f>
        <v>00374002</v>
      </c>
    </row>
    <row r="8950" spans="1:2" x14ac:dyDescent="0.25">
      <c r="A8950" s="2">
        <v>8945</v>
      </c>
      <c r="B8950" s="3" t="str">
        <f>"00374007"</f>
        <v>00374007</v>
      </c>
    </row>
    <row r="8951" spans="1:2" x14ac:dyDescent="0.25">
      <c r="A8951" s="2">
        <v>8946</v>
      </c>
      <c r="B8951" s="3" t="str">
        <f>"00374061"</f>
        <v>00374061</v>
      </c>
    </row>
    <row r="8952" spans="1:2" x14ac:dyDescent="0.25">
      <c r="A8952" s="2">
        <v>8947</v>
      </c>
      <c r="B8952" s="3" t="str">
        <f>"00374067"</f>
        <v>00374067</v>
      </c>
    </row>
    <row r="8953" spans="1:2" x14ac:dyDescent="0.25">
      <c r="A8953" s="2">
        <v>8948</v>
      </c>
      <c r="B8953" s="3" t="str">
        <f>"00374119"</f>
        <v>00374119</v>
      </c>
    </row>
    <row r="8954" spans="1:2" x14ac:dyDescent="0.25">
      <c r="A8954" s="2">
        <v>8949</v>
      </c>
      <c r="B8954" s="3" t="str">
        <f>"00374148"</f>
        <v>00374148</v>
      </c>
    </row>
    <row r="8955" spans="1:2" x14ac:dyDescent="0.25">
      <c r="A8955" s="2">
        <v>8950</v>
      </c>
      <c r="B8955" s="3" t="str">
        <f>"00374152"</f>
        <v>00374152</v>
      </c>
    </row>
    <row r="8956" spans="1:2" x14ac:dyDescent="0.25">
      <c r="A8956" s="2">
        <v>8951</v>
      </c>
      <c r="B8956" s="3" t="str">
        <f>"00374246"</f>
        <v>00374246</v>
      </c>
    </row>
    <row r="8957" spans="1:2" x14ac:dyDescent="0.25">
      <c r="A8957" s="2">
        <v>8952</v>
      </c>
      <c r="B8957" s="3" t="str">
        <f>"00374300"</f>
        <v>00374300</v>
      </c>
    </row>
    <row r="8958" spans="1:2" x14ac:dyDescent="0.25">
      <c r="A8958" s="2">
        <v>8953</v>
      </c>
      <c r="B8958" s="3" t="str">
        <f>"00374443"</f>
        <v>00374443</v>
      </c>
    </row>
    <row r="8959" spans="1:2" x14ac:dyDescent="0.25">
      <c r="A8959" s="2">
        <v>8954</v>
      </c>
      <c r="B8959" s="3" t="str">
        <f>"00374453"</f>
        <v>00374453</v>
      </c>
    </row>
    <row r="8960" spans="1:2" x14ac:dyDescent="0.25">
      <c r="A8960" s="2">
        <v>8955</v>
      </c>
      <c r="B8960" s="3" t="str">
        <f>"00374493"</f>
        <v>00374493</v>
      </c>
    </row>
    <row r="8961" spans="1:2" x14ac:dyDescent="0.25">
      <c r="A8961" s="2">
        <v>8956</v>
      </c>
      <c r="B8961" s="3" t="str">
        <f>"00374507"</f>
        <v>00374507</v>
      </c>
    </row>
    <row r="8962" spans="1:2" x14ac:dyDescent="0.25">
      <c r="A8962" s="2">
        <v>8957</v>
      </c>
      <c r="B8962" s="3" t="str">
        <f>"00374531"</f>
        <v>00374531</v>
      </c>
    </row>
    <row r="8963" spans="1:2" x14ac:dyDescent="0.25">
      <c r="A8963" s="2">
        <v>8958</v>
      </c>
      <c r="B8963" s="3" t="str">
        <f>"00374591"</f>
        <v>00374591</v>
      </c>
    </row>
    <row r="8964" spans="1:2" x14ac:dyDescent="0.25">
      <c r="A8964" s="2">
        <v>8959</v>
      </c>
      <c r="B8964" s="3" t="str">
        <f>"00374682"</f>
        <v>00374682</v>
      </c>
    </row>
    <row r="8965" spans="1:2" x14ac:dyDescent="0.25">
      <c r="A8965" s="2">
        <v>8960</v>
      </c>
      <c r="B8965" s="3" t="str">
        <f>"00374771"</f>
        <v>00374771</v>
      </c>
    </row>
    <row r="8966" spans="1:2" x14ac:dyDescent="0.25">
      <c r="A8966" s="2">
        <v>8961</v>
      </c>
      <c r="B8966" s="3" t="str">
        <f>"00374777"</f>
        <v>00374777</v>
      </c>
    </row>
    <row r="8967" spans="1:2" x14ac:dyDescent="0.25">
      <c r="A8967" s="2">
        <v>8962</v>
      </c>
      <c r="B8967" s="3" t="str">
        <f>"00374833"</f>
        <v>00374833</v>
      </c>
    </row>
    <row r="8968" spans="1:2" x14ac:dyDescent="0.25">
      <c r="A8968" s="2">
        <v>8963</v>
      </c>
      <c r="B8968" s="3" t="str">
        <f>"00375057"</f>
        <v>00375057</v>
      </c>
    </row>
    <row r="8969" spans="1:2" x14ac:dyDescent="0.25">
      <c r="A8969" s="2">
        <v>8964</v>
      </c>
      <c r="B8969" s="3" t="str">
        <f>"00375140"</f>
        <v>00375140</v>
      </c>
    </row>
    <row r="8970" spans="1:2" x14ac:dyDescent="0.25">
      <c r="A8970" s="2">
        <v>8965</v>
      </c>
      <c r="B8970" s="3" t="str">
        <f>"00375199"</f>
        <v>00375199</v>
      </c>
    </row>
    <row r="8971" spans="1:2" x14ac:dyDescent="0.25">
      <c r="A8971" s="2">
        <v>8966</v>
      </c>
      <c r="B8971" s="3" t="str">
        <f>"00375201"</f>
        <v>00375201</v>
      </c>
    </row>
    <row r="8972" spans="1:2" x14ac:dyDescent="0.25">
      <c r="A8972" s="2">
        <v>8967</v>
      </c>
      <c r="B8972" s="3" t="str">
        <f>"00375385"</f>
        <v>00375385</v>
      </c>
    </row>
    <row r="8973" spans="1:2" x14ac:dyDescent="0.25">
      <c r="A8973" s="2">
        <v>8968</v>
      </c>
      <c r="B8973" s="3" t="str">
        <f>"00375391"</f>
        <v>00375391</v>
      </c>
    </row>
    <row r="8974" spans="1:2" x14ac:dyDescent="0.25">
      <c r="A8974" s="2">
        <v>8969</v>
      </c>
      <c r="B8974" s="3" t="str">
        <f>"00375526"</f>
        <v>00375526</v>
      </c>
    </row>
    <row r="8975" spans="1:2" x14ac:dyDescent="0.25">
      <c r="A8975" s="2">
        <v>8970</v>
      </c>
      <c r="B8975" s="3" t="str">
        <f>"00375543"</f>
        <v>00375543</v>
      </c>
    </row>
    <row r="8976" spans="1:2" x14ac:dyDescent="0.25">
      <c r="A8976" s="2">
        <v>8971</v>
      </c>
      <c r="B8976" s="3" t="str">
        <f>"00375654"</f>
        <v>00375654</v>
      </c>
    </row>
    <row r="8977" spans="1:2" x14ac:dyDescent="0.25">
      <c r="A8977" s="2">
        <v>8972</v>
      </c>
      <c r="B8977" s="3" t="str">
        <f>"00375670"</f>
        <v>00375670</v>
      </c>
    </row>
    <row r="8978" spans="1:2" x14ac:dyDescent="0.25">
      <c r="A8978" s="2">
        <v>8973</v>
      </c>
      <c r="B8978" s="3" t="str">
        <f>"00375766"</f>
        <v>00375766</v>
      </c>
    </row>
    <row r="8979" spans="1:2" x14ac:dyDescent="0.25">
      <c r="A8979" s="2">
        <v>8974</v>
      </c>
      <c r="B8979" s="3" t="str">
        <f>"00376085"</f>
        <v>00376085</v>
      </c>
    </row>
    <row r="8980" spans="1:2" x14ac:dyDescent="0.25">
      <c r="A8980" s="2">
        <v>8975</v>
      </c>
      <c r="B8980" s="3" t="str">
        <f>"00376412"</f>
        <v>00376412</v>
      </c>
    </row>
    <row r="8981" spans="1:2" x14ac:dyDescent="0.25">
      <c r="A8981" s="2">
        <v>8976</v>
      </c>
      <c r="B8981" s="3" t="str">
        <f>"00376612"</f>
        <v>00376612</v>
      </c>
    </row>
    <row r="8982" spans="1:2" x14ac:dyDescent="0.25">
      <c r="A8982" s="2">
        <v>8977</v>
      </c>
      <c r="B8982" s="3" t="str">
        <f>"00376635"</f>
        <v>00376635</v>
      </c>
    </row>
    <row r="8983" spans="1:2" x14ac:dyDescent="0.25">
      <c r="A8983" s="2">
        <v>8978</v>
      </c>
      <c r="B8983" s="3" t="str">
        <f>"00376674"</f>
        <v>00376674</v>
      </c>
    </row>
    <row r="8984" spans="1:2" x14ac:dyDescent="0.25">
      <c r="A8984" s="2">
        <v>8979</v>
      </c>
      <c r="B8984" s="3" t="str">
        <f>"00376697"</f>
        <v>00376697</v>
      </c>
    </row>
    <row r="8985" spans="1:2" x14ac:dyDescent="0.25">
      <c r="A8985" s="2">
        <v>8980</v>
      </c>
      <c r="B8985" s="3" t="str">
        <f>"00376930"</f>
        <v>00376930</v>
      </c>
    </row>
    <row r="8986" spans="1:2" x14ac:dyDescent="0.25">
      <c r="A8986" s="2">
        <v>8981</v>
      </c>
      <c r="B8986" s="3" t="str">
        <f>"00376934"</f>
        <v>00376934</v>
      </c>
    </row>
    <row r="8987" spans="1:2" x14ac:dyDescent="0.25">
      <c r="A8987" s="2">
        <v>8982</v>
      </c>
      <c r="B8987" s="3" t="str">
        <f>"00377005"</f>
        <v>00377005</v>
      </c>
    </row>
    <row r="8988" spans="1:2" x14ac:dyDescent="0.25">
      <c r="A8988" s="2">
        <v>8983</v>
      </c>
      <c r="B8988" s="3" t="str">
        <f>"00377035"</f>
        <v>00377035</v>
      </c>
    </row>
    <row r="8989" spans="1:2" x14ac:dyDescent="0.25">
      <c r="A8989" s="2">
        <v>8984</v>
      </c>
      <c r="B8989" s="3" t="str">
        <f>"00377076"</f>
        <v>00377076</v>
      </c>
    </row>
    <row r="8990" spans="1:2" x14ac:dyDescent="0.25">
      <c r="A8990" s="2">
        <v>8985</v>
      </c>
      <c r="B8990" s="3" t="str">
        <f>"00377198"</f>
        <v>00377198</v>
      </c>
    </row>
    <row r="8991" spans="1:2" x14ac:dyDescent="0.25">
      <c r="A8991" s="2">
        <v>8986</v>
      </c>
      <c r="B8991" s="3" t="str">
        <f>"00377584"</f>
        <v>00377584</v>
      </c>
    </row>
    <row r="8992" spans="1:2" x14ac:dyDescent="0.25">
      <c r="A8992" s="2">
        <v>8987</v>
      </c>
      <c r="B8992" s="3" t="str">
        <f>"00377594"</f>
        <v>00377594</v>
      </c>
    </row>
    <row r="8993" spans="1:2" x14ac:dyDescent="0.25">
      <c r="A8993" s="2">
        <v>8988</v>
      </c>
      <c r="B8993" s="3" t="str">
        <f>"00377666"</f>
        <v>00377666</v>
      </c>
    </row>
    <row r="8994" spans="1:2" x14ac:dyDescent="0.25">
      <c r="A8994" s="2">
        <v>8989</v>
      </c>
      <c r="B8994" s="3" t="str">
        <f>"00377693"</f>
        <v>00377693</v>
      </c>
    </row>
    <row r="8995" spans="1:2" x14ac:dyDescent="0.25">
      <c r="A8995" s="2">
        <v>8990</v>
      </c>
      <c r="B8995" s="3" t="str">
        <f>"00377708"</f>
        <v>00377708</v>
      </c>
    </row>
    <row r="8996" spans="1:2" x14ac:dyDescent="0.25">
      <c r="A8996" s="2">
        <v>8991</v>
      </c>
      <c r="B8996" s="3" t="str">
        <f>"00377792"</f>
        <v>00377792</v>
      </c>
    </row>
    <row r="8997" spans="1:2" x14ac:dyDescent="0.25">
      <c r="A8997" s="2">
        <v>8992</v>
      </c>
      <c r="B8997" s="3" t="str">
        <f>"00377826"</f>
        <v>00377826</v>
      </c>
    </row>
    <row r="8998" spans="1:2" x14ac:dyDescent="0.25">
      <c r="A8998" s="2">
        <v>8993</v>
      </c>
      <c r="B8998" s="3" t="str">
        <f>"00378000"</f>
        <v>00378000</v>
      </c>
    </row>
    <row r="8999" spans="1:2" x14ac:dyDescent="0.25">
      <c r="A8999" s="2">
        <v>8994</v>
      </c>
      <c r="B8999" s="3" t="str">
        <f>"00378156"</f>
        <v>00378156</v>
      </c>
    </row>
    <row r="9000" spans="1:2" x14ac:dyDescent="0.25">
      <c r="A9000" s="2">
        <v>8995</v>
      </c>
      <c r="B9000" s="3" t="str">
        <f>"00378232"</f>
        <v>00378232</v>
      </c>
    </row>
    <row r="9001" spans="1:2" x14ac:dyDescent="0.25">
      <c r="A9001" s="2">
        <v>8996</v>
      </c>
      <c r="B9001" s="3" t="str">
        <f>"00378390"</f>
        <v>00378390</v>
      </c>
    </row>
    <row r="9002" spans="1:2" x14ac:dyDescent="0.25">
      <c r="A9002" s="2">
        <v>8997</v>
      </c>
      <c r="B9002" s="3" t="str">
        <f>"00378431"</f>
        <v>00378431</v>
      </c>
    </row>
    <row r="9003" spans="1:2" x14ac:dyDescent="0.25">
      <c r="A9003" s="2">
        <v>8998</v>
      </c>
      <c r="B9003" s="3" t="str">
        <f>"00378632"</f>
        <v>00378632</v>
      </c>
    </row>
    <row r="9004" spans="1:2" x14ac:dyDescent="0.25">
      <c r="A9004" s="2">
        <v>8999</v>
      </c>
      <c r="B9004" s="3" t="str">
        <f>"00378657"</f>
        <v>00378657</v>
      </c>
    </row>
    <row r="9005" spans="1:2" x14ac:dyDescent="0.25">
      <c r="A9005" s="2">
        <v>9000</v>
      </c>
      <c r="B9005" s="3" t="str">
        <f>"00378726"</f>
        <v>00378726</v>
      </c>
    </row>
    <row r="9006" spans="1:2" x14ac:dyDescent="0.25">
      <c r="A9006" s="2">
        <v>9001</v>
      </c>
      <c r="B9006" s="3" t="str">
        <f>"00378798"</f>
        <v>00378798</v>
      </c>
    </row>
    <row r="9007" spans="1:2" x14ac:dyDescent="0.25">
      <c r="A9007" s="2">
        <v>9002</v>
      </c>
      <c r="B9007" s="3" t="str">
        <f>"00378906"</f>
        <v>00378906</v>
      </c>
    </row>
    <row r="9008" spans="1:2" x14ac:dyDescent="0.25">
      <c r="A9008" s="2">
        <v>9003</v>
      </c>
      <c r="B9008" s="3" t="str">
        <f>"00378973"</f>
        <v>00378973</v>
      </c>
    </row>
    <row r="9009" spans="1:2" x14ac:dyDescent="0.25">
      <c r="A9009" s="2">
        <v>9004</v>
      </c>
      <c r="B9009" s="3" t="str">
        <f>"00379074"</f>
        <v>00379074</v>
      </c>
    </row>
    <row r="9010" spans="1:2" x14ac:dyDescent="0.25">
      <c r="A9010" s="2">
        <v>9005</v>
      </c>
      <c r="B9010" s="3" t="str">
        <f>"00379406"</f>
        <v>00379406</v>
      </c>
    </row>
    <row r="9011" spans="1:2" x14ac:dyDescent="0.25">
      <c r="A9011" s="2">
        <v>9006</v>
      </c>
      <c r="B9011" s="3" t="str">
        <f>"00379570"</f>
        <v>00379570</v>
      </c>
    </row>
    <row r="9012" spans="1:2" x14ac:dyDescent="0.25">
      <c r="A9012" s="2">
        <v>9007</v>
      </c>
      <c r="B9012" s="3" t="str">
        <f>"00379633"</f>
        <v>00379633</v>
      </c>
    </row>
    <row r="9013" spans="1:2" x14ac:dyDescent="0.25">
      <c r="A9013" s="2">
        <v>9008</v>
      </c>
      <c r="B9013" s="3" t="str">
        <f>"00379661"</f>
        <v>00379661</v>
      </c>
    </row>
    <row r="9014" spans="1:2" x14ac:dyDescent="0.25">
      <c r="A9014" s="2">
        <v>9009</v>
      </c>
      <c r="B9014" s="3" t="str">
        <f>"00379716"</f>
        <v>00379716</v>
      </c>
    </row>
    <row r="9015" spans="1:2" x14ac:dyDescent="0.25">
      <c r="A9015" s="2">
        <v>9010</v>
      </c>
      <c r="B9015" s="3" t="str">
        <f>"00380076"</f>
        <v>00380076</v>
      </c>
    </row>
    <row r="9016" spans="1:2" x14ac:dyDescent="0.25">
      <c r="A9016" s="2">
        <v>9011</v>
      </c>
      <c r="B9016" s="3" t="str">
        <f>"00380166"</f>
        <v>00380166</v>
      </c>
    </row>
    <row r="9017" spans="1:2" x14ac:dyDescent="0.25">
      <c r="A9017" s="2">
        <v>9012</v>
      </c>
      <c r="B9017" s="3" t="str">
        <f>"00380167"</f>
        <v>00380167</v>
      </c>
    </row>
    <row r="9018" spans="1:2" x14ac:dyDescent="0.25">
      <c r="A9018" s="2">
        <v>9013</v>
      </c>
      <c r="B9018" s="3" t="str">
        <f>"00380576"</f>
        <v>00380576</v>
      </c>
    </row>
    <row r="9019" spans="1:2" x14ac:dyDescent="0.25">
      <c r="A9019" s="2">
        <v>9014</v>
      </c>
      <c r="B9019" s="3" t="str">
        <f>"00380578"</f>
        <v>00380578</v>
      </c>
    </row>
    <row r="9020" spans="1:2" x14ac:dyDescent="0.25">
      <c r="A9020" s="2">
        <v>9015</v>
      </c>
      <c r="B9020" s="3" t="str">
        <f>"00380692"</f>
        <v>00380692</v>
      </c>
    </row>
    <row r="9021" spans="1:2" x14ac:dyDescent="0.25">
      <c r="A9021" s="2">
        <v>9016</v>
      </c>
      <c r="B9021" s="3" t="str">
        <f>"00380826"</f>
        <v>00380826</v>
      </c>
    </row>
    <row r="9022" spans="1:2" x14ac:dyDescent="0.25">
      <c r="A9022" s="2">
        <v>9017</v>
      </c>
      <c r="B9022" s="3" t="str">
        <f>"00380832"</f>
        <v>00380832</v>
      </c>
    </row>
    <row r="9023" spans="1:2" x14ac:dyDescent="0.25">
      <c r="A9023" s="2">
        <v>9018</v>
      </c>
      <c r="B9023" s="3" t="str">
        <f>"00380838"</f>
        <v>00380838</v>
      </c>
    </row>
    <row r="9024" spans="1:2" x14ac:dyDescent="0.25">
      <c r="A9024" s="2">
        <v>9019</v>
      </c>
      <c r="B9024" s="3" t="str">
        <f>"00380982"</f>
        <v>00380982</v>
      </c>
    </row>
    <row r="9025" spans="1:2" x14ac:dyDescent="0.25">
      <c r="A9025" s="2">
        <v>9020</v>
      </c>
      <c r="B9025" s="3" t="str">
        <f>"00380993"</f>
        <v>00380993</v>
      </c>
    </row>
    <row r="9026" spans="1:2" x14ac:dyDescent="0.25">
      <c r="A9026" s="2">
        <v>9021</v>
      </c>
      <c r="B9026" s="3" t="str">
        <f>"00381003"</f>
        <v>00381003</v>
      </c>
    </row>
    <row r="9027" spans="1:2" x14ac:dyDescent="0.25">
      <c r="A9027" s="2">
        <v>9022</v>
      </c>
      <c r="B9027" s="3" t="str">
        <f>"00381005"</f>
        <v>00381005</v>
      </c>
    </row>
    <row r="9028" spans="1:2" x14ac:dyDescent="0.25">
      <c r="A9028" s="2">
        <v>9023</v>
      </c>
      <c r="B9028" s="3" t="str">
        <f>"00381098"</f>
        <v>00381098</v>
      </c>
    </row>
    <row r="9029" spans="1:2" x14ac:dyDescent="0.25">
      <c r="A9029" s="2">
        <v>9024</v>
      </c>
      <c r="B9029" s="3" t="str">
        <f>"00381132"</f>
        <v>00381132</v>
      </c>
    </row>
    <row r="9030" spans="1:2" x14ac:dyDescent="0.25">
      <c r="A9030" s="2">
        <v>9025</v>
      </c>
      <c r="B9030" s="3" t="str">
        <f>"00381151"</f>
        <v>00381151</v>
      </c>
    </row>
    <row r="9031" spans="1:2" x14ac:dyDescent="0.25">
      <c r="A9031" s="2">
        <v>9026</v>
      </c>
      <c r="B9031" s="3" t="str">
        <f>"00381159"</f>
        <v>00381159</v>
      </c>
    </row>
    <row r="9032" spans="1:2" x14ac:dyDescent="0.25">
      <c r="A9032" s="2">
        <v>9027</v>
      </c>
      <c r="B9032" s="3" t="str">
        <f>"00381229"</f>
        <v>00381229</v>
      </c>
    </row>
    <row r="9033" spans="1:2" x14ac:dyDescent="0.25">
      <c r="A9033" s="2">
        <v>9028</v>
      </c>
      <c r="B9033" s="3" t="str">
        <f>"00381281"</f>
        <v>00381281</v>
      </c>
    </row>
    <row r="9034" spans="1:2" x14ac:dyDescent="0.25">
      <c r="A9034" s="2">
        <v>9029</v>
      </c>
      <c r="B9034" s="3" t="str">
        <f>"00381491"</f>
        <v>00381491</v>
      </c>
    </row>
    <row r="9035" spans="1:2" x14ac:dyDescent="0.25">
      <c r="A9035" s="2">
        <v>9030</v>
      </c>
      <c r="B9035" s="3" t="str">
        <f>"00381530"</f>
        <v>00381530</v>
      </c>
    </row>
    <row r="9036" spans="1:2" x14ac:dyDescent="0.25">
      <c r="A9036" s="2">
        <v>9031</v>
      </c>
      <c r="B9036" s="3" t="str">
        <f>"00381543"</f>
        <v>00381543</v>
      </c>
    </row>
    <row r="9037" spans="1:2" x14ac:dyDescent="0.25">
      <c r="A9037" s="2">
        <v>9032</v>
      </c>
      <c r="B9037" s="3" t="str">
        <f>"00381569"</f>
        <v>00381569</v>
      </c>
    </row>
    <row r="9038" spans="1:2" x14ac:dyDescent="0.25">
      <c r="A9038" s="2">
        <v>9033</v>
      </c>
      <c r="B9038" s="3" t="str">
        <f>"00381592"</f>
        <v>00381592</v>
      </c>
    </row>
    <row r="9039" spans="1:2" x14ac:dyDescent="0.25">
      <c r="A9039" s="2">
        <v>9034</v>
      </c>
      <c r="B9039" s="3" t="str">
        <f>"00381599"</f>
        <v>00381599</v>
      </c>
    </row>
    <row r="9040" spans="1:2" x14ac:dyDescent="0.25">
      <c r="A9040" s="2">
        <v>9035</v>
      </c>
      <c r="B9040" s="3" t="str">
        <f>"00381678"</f>
        <v>00381678</v>
      </c>
    </row>
    <row r="9041" spans="1:2" x14ac:dyDescent="0.25">
      <c r="A9041" s="2">
        <v>9036</v>
      </c>
      <c r="B9041" s="3" t="str">
        <f>"00381686"</f>
        <v>00381686</v>
      </c>
    </row>
    <row r="9042" spans="1:2" x14ac:dyDescent="0.25">
      <c r="A9042" s="2">
        <v>9037</v>
      </c>
      <c r="B9042" s="3" t="str">
        <f>"00381789"</f>
        <v>00381789</v>
      </c>
    </row>
    <row r="9043" spans="1:2" x14ac:dyDescent="0.25">
      <c r="A9043" s="2">
        <v>9038</v>
      </c>
      <c r="B9043" s="3" t="str">
        <f>"00381794"</f>
        <v>00381794</v>
      </c>
    </row>
    <row r="9044" spans="1:2" x14ac:dyDescent="0.25">
      <c r="A9044" s="2">
        <v>9039</v>
      </c>
      <c r="B9044" s="3" t="str">
        <f>"00381819"</f>
        <v>00381819</v>
      </c>
    </row>
    <row r="9045" spans="1:2" x14ac:dyDescent="0.25">
      <c r="A9045" s="2">
        <v>9040</v>
      </c>
      <c r="B9045" s="3" t="str">
        <f>"00381875"</f>
        <v>00381875</v>
      </c>
    </row>
    <row r="9046" spans="1:2" x14ac:dyDescent="0.25">
      <c r="A9046" s="2">
        <v>9041</v>
      </c>
      <c r="B9046" s="3" t="str">
        <f>"00381945"</f>
        <v>00381945</v>
      </c>
    </row>
    <row r="9047" spans="1:2" x14ac:dyDescent="0.25">
      <c r="A9047" s="2">
        <v>9042</v>
      </c>
      <c r="B9047" s="3" t="str">
        <f>"00382051"</f>
        <v>00382051</v>
      </c>
    </row>
    <row r="9048" spans="1:2" x14ac:dyDescent="0.25">
      <c r="A9048" s="2">
        <v>9043</v>
      </c>
      <c r="B9048" s="3" t="str">
        <f>"00382136"</f>
        <v>00382136</v>
      </c>
    </row>
    <row r="9049" spans="1:2" x14ac:dyDescent="0.25">
      <c r="A9049" s="2">
        <v>9044</v>
      </c>
      <c r="B9049" s="3" t="str">
        <f>"00382388"</f>
        <v>00382388</v>
      </c>
    </row>
    <row r="9050" spans="1:2" x14ac:dyDescent="0.25">
      <c r="A9050" s="2">
        <v>9045</v>
      </c>
      <c r="B9050" s="3" t="str">
        <f>"00382409"</f>
        <v>00382409</v>
      </c>
    </row>
    <row r="9051" spans="1:2" x14ac:dyDescent="0.25">
      <c r="A9051" s="2">
        <v>9046</v>
      </c>
      <c r="B9051" s="3" t="str">
        <f>"00382707"</f>
        <v>00382707</v>
      </c>
    </row>
    <row r="9052" spans="1:2" x14ac:dyDescent="0.25">
      <c r="A9052" s="2">
        <v>9047</v>
      </c>
      <c r="B9052" s="3" t="str">
        <f>"00382749"</f>
        <v>00382749</v>
      </c>
    </row>
    <row r="9053" spans="1:2" x14ac:dyDescent="0.25">
      <c r="A9053" s="2">
        <v>9048</v>
      </c>
      <c r="B9053" s="3" t="str">
        <f>"00382762"</f>
        <v>00382762</v>
      </c>
    </row>
    <row r="9054" spans="1:2" x14ac:dyDescent="0.25">
      <c r="A9054" s="2">
        <v>9049</v>
      </c>
      <c r="B9054" s="3" t="str">
        <f>"00382788"</f>
        <v>00382788</v>
      </c>
    </row>
    <row r="9055" spans="1:2" x14ac:dyDescent="0.25">
      <c r="A9055" s="2">
        <v>9050</v>
      </c>
      <c r="B9055" s="3" t="str">
        <f>"00382832"</f>
        <v>00382832</v>
      </c>
    </row>
    <row r="9056" spans="1:2" x14ac:dyDescent="0.25">
      <c r="A9056" s="2">
        <v>9051</v>
      </c>
      <c r="B9056" s="3" t="str">
        <f>"00382857"</f>
        <v>00382857</v>
      </c>
    </row>
    <row r="9057" spans="1:2" x14ac:dyDescent="0.25">
      <c r="A9057" s="2">
        <v>9052</v>
      </c>
      <c r="B9057" s="3" t="str">
        <f>"00382914"</f>
        <v>00382914</v>
      </c>
    </row>
    <row r="9058" spans="1:2" x14ac:dyDescent="0.25">
      <c r="A9058" s="2">
        <v>9053</v>
      </c>
      <c r="B9058" s="3" t="str">
        <f>"00382915"</f>
        <v>00382915</v>
      </c>
    </row>
    <row r="9059" spans="1:2" x14ac:dyDescent="0.25">
      <c r="A9059" s="2">
        <v>9054</v>
      </c>
      <c r="B9059" s="3" t="str">
        <f>"00382934"</f>
        <v>00382934</v>
      </c>
    </row>
    <row r="9060" spans="1:2" x14ac:dyDescent="0.25">
      <c r="A9060" s="2">
        <v>9055</v>
      </c>
      <c r="B9060" s="3" t="str">
        <f>"00382970"</f>
        <v>00382970</v>
      </c>
    </row>
    <row r="9061" spans="1:2" x14ac:dyDescent="0.25">
      <c r="A9061" s="2">
        <v>9056</v>
      </c>
      <c r="B9061" s="3" t="str">
        <f>"00383026"</f>
        <v>00383026</v>
      </c>
    </row>
    <row r="9062" spans="1:2" x14ac:dyDescent="0.25">
      <c r="A9062" s="2">
        <v>9057</v>
      </c>
      <c r="B9062" s="3" t="str">
        <f>"00383045"</f>
        <v>00383045</v>
      </c>
    </row>
    <row r="9063" spans="1:2" x14ac:dyDescent="0.25">
      <c r="A9063" s="2">
        <v>9058</v>
      </c>
      <c r="B9063" s="3" t="str">
        <f>"00383068"</f>
        <v>00383068</v>
      </c>
    </row>
    <row r="9064" spans="1:2" x14ac:dyDescent="0.25">
      <c r="A9064" s="2">
        <v>9059</v>
      </c>
      <c r="B9064" s="3" t="str">
        <f>"00383426"</f>
        <v>00383426</v>
      </c>
    </row>
    <row r="9065" spans="1:2" x14ac:dyDescent="0.25">
      <c r="A9065" s="2">
        <v>9060</v>
      </c>
      <c r="B9065" s="3" t="str">
        <f>"00383589"</f>
        <v>00383589</v>
      </c>
    </row>
    <row r="9066" spans="1:2" x14ac:dyDescent="0.25">
      <c r="A9066" s="2">
        <v>9061</v>
      </c>
      <c r="B9066" s="3" t="str">
        <f>"00383615"</f>
        <v>00383615</v>
      </c>
    </row>
    <row r="9067" spans="1:2" x14ac:dyDescent="0.25">
      <c r="A9067" s="2">
        <v>9062</v>
      </c>
      <c r="B9067" s="3" t="str">
        <f>"00383650"</f>
        <v>00383650</v>
      </c>
    </row>
    <row r="9068" spans="1:2" x14ac:dyDescent="0.25">
      <c r="A9068" s="2">
        <v>9063</v>
      </c>
      <c r="B9068" s="3" t="str">
        <f>"00383653"</f>
        <v>00383653</v>
      </c>
    </row>
    <row r="9069" spans="1:2" x14ac:dyDescent="0.25">
      <c r="A9069" s="2">
        <v>9064</v>
      </c>
      <c r="B9069" s="3" t="str">
        <f>"00383662"</f>
        <v>00383662</v>
      </c>
    </row>
    <row r="9070" spans="1:2" x14ac:dyDescent="0.25">
      <c r="A9070" s="2">
        <v>9065</v>
      </c>
      <c r="B9070" s="3" t="str">
        <f>"00383663"</f>
        <v>00383663</v>
      </c>
    </row>
    <row r="9071" spans="1:2" x14ac:dyDescent="0.25">
      <c r="A9071" s="2">
        <v>9066</v>
      </c>
      <c r="B9071" s="3" t="str">
        <f>"00383672"</f>
        <v>00383672</v>
      </c>
    </row>
    <row r="9072" spans="1:2" x14ac:dyDescent="0.25">
      <c r="A9072" s="2">
        <v>9067</v>
      </c>
      <c r="B9072" s="3" t="str">
        <f>"00383896"</f>
        <v>00383896</v>
      </c>
    </row>
    <row r="9073" spans="1:2" x14ac:dyDescent="0.25">
      <c r="A9073" s="2">
        <v>9068</v>
      </c>
      <c r="B9073" s="3" t="str">
        <f>"00384046"</f>
        <v>00384046</v>
      </c>
    </row>
    <row r="9074" spans="1:2" x14ac:dyDescent="0.25">
      <c r="A9074" s="2">
        <v>9069</v>
      </c>
      <c r="B9074" s="3" t="str">
        <f>"00384055"</f>
        <v>00384055</v>
      </c>
    </row>
    <row r="9075" spans="1:2" x14ac:dyDescent="0.25">
      <c r="A9075" s="2">
        <v>9070</v>
      </c>
      <c r="B9075" s="3" t="str">
        <f>"00384160"</f>
        <v>00384160</v>
      </c>
    </row>
    <row r="9076" spans="1:2" x14ac:dyDescent="0.25">
      <c r="A9076" s="2">
        <v>9071</v>
      </c>
      <c r="B9076" s="3" t="str">
        <f>"00384166"</f>
        <v>00384166</v>
      </c>
    </row>
    <row r="9077" spans="1:2" x14ac:dyDescent="0.25">
      <c r="A9077" s="2">
        <v>9072</v>
      </c>
      <c r="B9077" s="3" t="str">
        <f>"00384234"</f>
        <v>00384234</v>
      </c>
    </row>
    <row r="9078" spans="1:2" x14ac:dyDescent="0.25">
      <c r="A9078" s="2">
        <v>9073</v>
      </c>
      <c r="B9078" s="3" t="str">
        <f>"00384509"</f>
        <v>00384509</v>
      </c>
    </row>
    <row r="9079" spans="1:2" x14ac:dyDescent="0.25">
      <c r="A9079" s="2">
        <v>9074</v>
      </c>
      <c r="B9079" s="3" t="str">
        <f>"00384577"</f>
        <v>00384577</v>
      </c>
    </row>
    <row r="9080" spans="1:2" x14ac:dyDescent="0.25">
      <c r="A9080" s="2">
        <v>9075</v>
      </c>
      <c r="B9080" s="3" t="str">
        <f>"00384595"</f>
        <v>00384595</v>
      </c>
    </row>
    <row r="9081" spans="1:2" x14ac:dyDescent="0.25">
      <c r="A9081" s="2">
        <v>9076</v>
      </c>
      <c r="B9081" s="3" t="str">
        <f>"00384625"</f>
        <v>00384625</v>
      </c>
    </row>
    <row r="9082" spans="1:2" x14ac:dyDescent="0.25">
      <c r="A9082" s="2">
        <v>9077</v>
      </c>
      <c r="B9082" s="3" t="str">
        <f>"00384665"</f>
        <v>00384665</v>
      </c>
    </row>
    <row r="9083" spans="1:2" x14ac:dyDescent="0.25">
      <c r="A9083" s="2">
        <v>9078</v>
      </c>
      <c r="B9083" s="3" t="str">
        <f>"00384666"</f>
        <v>00384666</v>
      </c>
    </row>
    <row r="9084" spans="1:2" x14ac:dyDescent="0.25">
      <c r="A9084" s="2">
        <v>9079</v>
      </c>
      <c r="B9084" s="3" t="str">
        <f>"00384976"</f>
        <v>00384976</v>
      </c>
    </row>
    <row r="9085" spans="1:2" x14ac:dyDescent="0.25">
      <c r="A9085" s="2">
        <v>9080</v>
      </c>
      <c r="B9085" s="3" t="str">
        <f>"00384984"</f>
        <v>00384984</v>
      </c>
    </row>
    <row r="9086" spans="1:2" x14ac:dyDescent="0.25">
      <c r="A9086" s="2">
        <v>9081</v>
      </c>
      <c r="B9086" s="3" t="str">
        <f>"00385018"</f>
        <v>00385018</v>
      </c>
    </row>
    <row r="9087" spans="1:2" x14ac:dyDescent="0.25">
      <c r="A9087" s="2">
        <v>9082</v>
      </c>
      <c r="B9087" s="3" t="str">
        <f>"00385231"</f>
        <v>00385231</v>
      </c>
    </row>
    <row r="9088" spans="1:2" x14ac:dyDescent="0.25">
      <c r="A9088" s="2">
        <v>9083</v>
      </c>
      <c r="B9088" s="3" t="str">
        <f>"00385261"</f>
        <v>00385261</v>
      </c>
    </row>
    <row r="9089" spans="1:2" x14ac:dyDescent="0.25">
      <c r="A9089" s="2">
        <v>9084</v>
      </c>
      <c r="B9089" s="3" t="str">
        <f>"00385306"</f>
        <v>00385306</v>
      </c>
    </row>
    <row r="9090" spans="1:2" x14ac:dyDescent="0.25">
      <c r="A9090" s="2">
        <v>9085</v>
      </c>
      <c r="B9090" s="3" t="str">
        <f>"00385321"</f>
        <v>00385321</v>
      </c>
    </row>
    <row r="9091" spans="1:2" x14ac:dyDescent="0.25">
      <c r="A9091" s="2">
        <v>9086</v>
      </c>
      <c r="B9091" s="3" t="str">
        <f>"00385360"</f>
        <v>00385360</v>
      </c>
    </row>
    <row r="9092" spans="1:2" x14ac:dyDescent="0.25">
      <c r="A9092" s="2">
        <v>9087</v>
      </c>
      <c r="B9092" s="3" t="str">
        <f>"00385379"</f>
        <v>00385379</v>
      </c>
    </row>
    <row r="9093" spans="1:2" x14ac:dyDescent="0.25">
      <c r="A9093" s="2">
        <v>9088</v>
      </c>
      <c r="B9093" s="3" t="str">
        <f>"00385509"</f>
        <v>00385509</v>
      </c>
    </row>
    <row r="9094" spans="1:2" x14ac:dyDescent="0.25">
      <c r="A9094" s="2">
        <v>9089</v>
      </c>
      <c r="B9094" s="3" t="str">
        <f>"00385520"</f>
        <v>00385520</v>
      </c>
    </row>
    <row r="9095" spans="1:2" x14ac:dyDescent="0.25">
      <c r="A9095" s="2">
        <v>9090</v>
      </c>
      <c r="B9095" s="3" t="str">
        <f>"00385615"</f>
        <v>00385615</v>
      </c>
    </row>
    <row r="9096" spans="1:2" x14ac:dyDescent="0.25">
      <c r="A9096" s="2">
        <v>9091</v>
      </c>
      <c r="B9096" s="3" t="str">
        <f>"00385672"</f>
        <v>00385672</v>
      </c>
    </row>
    <row r="9097" spans="1:2" x14ac:dyDescent="0.25">
      <c r="A9097" s="2">
        <v>9092</v>
      </c>
      <c r="B9097" s="3" t="str">
        <f>"00385700"</f>
        <v>00385700</v>
      </c>
    </row>
    <row r="9098" spans="1:2" x14ac:dyDescent="0.25">
      <c r="A9098" s="2">
        <v>9093</v>
      </c>
      <c r="B9098" s="3" t="str">
        <f>"00385718"</f>
        <v>00385718</v>
      </c>
    </row>
    <row r="9099" spans="1:2" x14ac:dyDescent="0.25">
      <c r="A9099" s="2">
        <v>9094</v>
      </c>
      <c r="B9099" s="3" t="str">
        <f>"00385737"</f>
        <v>00385737</v>
      </c>
    </row>
    <row r="9100" spans="1:2" x14ac:dyDescent="0.25">
      <c r="A9100" s="2">
        <v>9095</v>
      </c>
      <c r="B9100" s="3" t="str">
        <f>"00385739"</f>
        <v>00385739</v>
      </c>
    </row>
    <row r="9101" spans="1:2" x14ac:dyDescent="0.25">
      <c r="A9101" s="2">
        <v>9096</v>
      </c>
      <c r="B9101" s="3" t="str">
        <f>"00385955"</f>
        <v>00385955</v>
      </c>
    </row>
    <row r="9102" spans="1:2" x14ac:dyDescent="0.25">
      <c r="A9102" s="2">
        <v>9097</v>
      </c>
      <c r="B9102" s="3" t="str">
        <f>"00385970"</f>
        <v>00385970</v>
      </c>
    </row>
    <row r="9103" spans="1:2" x14ac:dyDescent="0.25">
      <c r="A9103" s="2">
        <v>9098</v>
      </c>
      <c r="B9103" s="3" t="str">
        <f>"00386042"</f>
        <v>00386042</v>
      </c>
    </row>
    <row r="9104" spans="1:2" x14ac:dyDescent="0.25">
      <c r="A9104" s="2">
        <v>9099</v>
      </c>
      <c r="B9104" s="3" t="str">
        <f>"00386148"</f>
        <v>00386148</v>
      </c>
    </row>
    <row r="9105" spans="1:2" x14ac:dyDescent="0.25">
      <c r="A9105" s="2">
        <v>9100</v>
      </c>
      <c r="B9105" s="3" t="str">
        <f>"00386165"</f>
        <v>00386165</v>
      </c>
    </row>
    <row r="9106" spans="1:2" x14ac:dyDescent="0.25">
      <c r="A9106" s="2">
        <v>9101</v>
      </c>
      <c r="B9106" s="3" t="str">
        <f>"00386187"</f>
        <v>00386187</v>
      </c>
    </row>
    <row r="9107" spans="1:2" x14ac:dyDescent="0.25">
      <c r="A9107" s="2">
        <v>9102</v>
      </c>
      <c r="B9107" s="3" t="str">
        <f>"00386194"</f>
        <v>00386194</v>
      </c>
    </row>
    <row r="9108" spans="1:2" x14ac:dyDescent="0.25">
      <c r="A9108" s="2">
        <v>9103</v>
      </c>
      <c r="B9108" s="3" t="str">
        <f>"00386208"</f>
        <v>00386208</v>
      </c>
    </row>
    <row r="9109" spans="1:2" x14ac:dyDescent="0.25">
      <c r="A9109" s="2">
        <v>9104</v>
      </c>
      <c r="B9109" s="3" t="str">
        <f>"00386270"</f>
        <v>00386270</v>
      </c>
    </row>
    <row r="9110" spans="1:2" x14ac:dyDescent="0.25">
      <c r="A9110" s="2">
        <v>9105</v>
      </c>
      <c r="B9110" s="3" t="str">
        <f>"00386531"</f>
        <v>00386531</v>
      </c>
    </row>
    <row r="9111" spans="1:2" x14ac:dyDescent="0.25">
      <c r="A9111" s="2">
        <v>9106</v>
      </c>
      <c r="B9111" s="3" t="str">
        <f>"00386546"</f>
        <v>00386546</v>
      </c>
    </row>
    <row r="9112" spans="1:2" x14ac:dyDescent="0.25">
      <c r="A9112" s="2">
        <v>9107</v>
      </c>
      <c r="B9112" s="3" t="str">
        <f>"00386605"</f>
        <v>00386605</v>
      </c>
    </row>
    <row r="9113" spans="1:2" x14ac:dyDescent="0.25">
      <c r="A9113" s="2">
        <v>9108</v>
      </c>
      <c r="B9113" s="3" t="str">
        <f>"00386650"</f>
        <v>00386650</v>
      </c>
    </row>
    <row r="9114" spans="1:2" x14ac:dyDescent="0.25">
      <c r="A9114" s="2">
        <v>9109</v>
      </c>
      <c r="B9114" s="3" t="str">
        <f>"00386748"</f>
        <v>00386748</v>
      </c>
    </row>
    <row r="9115" spans="1:2" x14ac:dyDescent="0.25">
      <c r="A9115" s="2">
        <v>9110</v>
      </c>
      <c r="B9115" s="3" t="str">
        <f>"00386763"</f>
        <v>00386763</v>
      </c>
    </row>
    <row r="9116" spans="1:2" x14ac:dyDescent="0.25">
      <c r="A9116" s="2">
        <v>9111</v>
      </c>
      <c r="B9116" s="3" t="str">
        <f>"00386771"</f>
        <v>00386771</v>
      </c>
    </row>
    <row r="9117" spans="1:2" x14ac:dyDescent="0.25">
      <c r="A9117" s="2">
        <v>9112</v>
      </c>
      <c r="B9117" s="3" t="str">
        <f>"00386833"</f>
        <v>00386833</v>
      </c>
    </row>
    <row r="9118" spans="1:2" x14ac:dyDescent="0.25">
      <c r="A9118" s="2">
        <v>9113</v>
      </c>
      <c r="B9118" s="3" t="str">
        <f>"00386899"</f>
        <v>00386899</v>
      </c>
    </row>
    <row r="9119" spans="1:2" x14ac:dyDescent="0.25">
      <c r="A9119" s="2">
        <v>9114</v>
      </c>
      <c r="B9119" s="3" t="str">
        <f>"00386927"</f>
        <v>00386927</v>
      </c>
    </row>
    <row r="9120" spans="1:2" x14ac:dyDescent="0.25">
      <c r="A9120" s="2">
        <v>9115</v>
      </c>
      <c r="B9120" s="3" t="str">
        <f>"00386936"</f>
        <v>00386936</v>
      </c>
    </row>
    <row r="9121" spans="1:2" x14ac:dyDescent="0.25">
      <c r="A9121" s="2">
        <v>9116</v>
      </c>
      <c r="B9121" s="3" t="str">
        <f>"00387069"</f>
        <v>00387069</v>
      </c>
    </row>
    <row r="9122" spans="1:2" x14ac:dyDescent="0.25">
      <c r="A9122" s="2">
        <v>9117</v>
      </c>
      <c r="B9122" s="3" t="str">
        <f>"00387108"</f>
        <v>00387108</v>
      </c>
    </row>
    <row r="9123" spans="1:2" x14ac:dyDescent="0.25">
      <c r="A9123" s="2">
        <v>9118</v>
      </c>
      <c r="B9123" s="3" t="str">
        <f>"00387122"</f>
        <v>00387122</v>
      </c>
    </row>
    <row r="9124" spans="1:2" x14ac:dyDescent="0.25">
      <c r="A9124" s="2">
        <v>9119</v>
      </c>
      <c r="B9124" s="3" t="str">
        <f>"00387167"</f>
        <v>00387167</v>
      </c>
    </row>
    <row r="9125" spans="1:2" x14ac:dyDescent="0.25">
      <c r="A9125" s="2">
        <v>9120</v>
      </c>
      <c r="B9125" s="3" t="str">
        <f>"00387222"</f>
        <v>00387222</v>
      </c>
    </row>
    <row r="9126" spans="1:2" x14ac:dyDescent="0.25">
      <c r="A9126" s="2">
        <v>9121</v>
      </c>
      <c r="B9126" s="3" t="str">
        <f>"00387460"</f>
        <v>00387460</v>
      </c>
    </row>
    <row r="9127" spans="1:2" x14ac:dyDescent="0.25">
      <c r="A9127" s="2">
        <v>9122</v>
      </c>
      <c r="B9127" s="3" t="str">
        <f>"00387481"</f>
        <v>00387481</v>
      </c>
    </row>
    <row r="9128" spans="1:2" x14ac:dyDescent="0.25">
      <c r="A9128" s="2">
        <v>9123</v>
      </c>
      <c r="B9128" s="3" t="str">
        <f>"00387601"</f>
        <v>00387601</v>
      </c>
    </row>
    <row r="9129" spans="1:2" x14ac:dyDescent="0.25">
      <c r="A9129" s="2">
        <v>9124</v>
      </c>
      <c r="B9129" s="3" t="str">
        <f>"00387683"</f>
        <v>00387683</v>
      </c>
    </row>
    <row r="9130" spans="1:2" x14ac:dyDescent="0.25">
      <c r="A9130" s="2">
        <v>9125</v>
      </c>
      <c r="B9130" s="3" t="str">
        <f>"00387744"</f>
        <v>00387744</v>
      </c>
    </row>
    <row r="9131" spans="1:2" x14ac:dyDescent="0.25">
      <c r="A9131" s="2">
        <v>9126</v>
      </c>
      <c r="B9131" s="3" t="str">
        <f>"00387764"</f>
        <v>00387764</v>
      </c>
    </row>
    <row r="9132" spans="1:2" x14ac:dyDescent="0.25">
      <c r="A9132" s="2">
        <v>9127</v>
      </c>
      <c r="B9132" s="3" t="str">
        <f>"00387974"</f>
        <v>00387974</v>
      </c>
    </row>
    <row r="9133" spans="1:2" x14ac:dyDescent="0.25">
      <c r="A9133" s="2">
        <v>9128</v>
      </c>
      <c r="B9133" s="3" t="str">
        <f>"00387983"</f>
        <v>00387983</v>
      </c>
    </row>
    <row r="9134" spans="1:2" x14ac:dyDescent="0.25">
      <c r="A9134" s="2">
        <v>9129</v>
      </c>
      <c r="B9134" s="3" t="str">
        <f>"00388133"</f>
        <v>00388133</v>
      </c>
    </row>
    <row r="9135" spans="1:2" x14ac:dyDescent="0.25">
      <c r="A9135" s="2">
        <v>9130</v>
      </c>
      <c r="B9135" s="3" t="str">
        <f>"00388254"</f>
        <v>00388254</v>
      </c>
    </row>
    <row r="9136" spans="1:2" x14ac:dyDescent="0.25">
      <c r="A9136" s="2">
        <v>9131</v>
      </c>
      <c r="B9136" s="3" t="str">
        <f>"00388302"</f>
        <v>00388302</v>
      </c>
    </row>
    <row r="9137" spans="1:2" x14ac:dyDescent="0.25">
      <c r="A9137" s="2">
        <v>9132</v>
      </c>
      <c r="B9137" s="3" t="str">
        <f>"00388319"</f>
        <v>00388319</v>
      </c>
    </row>
    <row r="9138" spans="1:2" x14ac:dyDescent="0.25">
      <c r="A9138" s="2">
        <v>9133</v>
      </c>
      <c r="B9138" s="3" t="str">
        <f>"00388380"</f>
        <v>00388380</v>
      </c>
    </row>
    <row r="9139" spans="1:2" x14ac:dyDescent="0.25">
      <c r="A9139" s="2">
        <v>9134</v>
      </c>
      <c r="B9139" s="3" t="str">
        <f>"00388480"</f>
        <v>00388480</v>
      </c>
    </row>
    <row r="9140" spans="1:2" x14ac:dyDescent="0.25">
      <c r="A9140" s="2">
        <v>9135</v>
      </c>
      <c r="B9140" s="3" t="str">
        <f>"00388494"</f>
        <v>00388494</v>
      </c>
    </row>
    <row r="9141" spans="1:2" x14ac:dyDescent="0.25">
      <c r="A9141" s="2">
        <v>9136</v>
      </c>
      <c r="B9141" s="3" t="str">
        <f>"00388528"</f>
        <v>00388528</v>
      </c>
    </row>
    <row r="9142" spans="1:2" x14ac:dyDescent="0.25">
      <c r="A9142" s="2">
        <v>9137</v>
      </c>
      <c r="B9142" s="3" t="str">
        <f>"00388827"</f>
        <v>00388827</v>
      </c>
    </row>
    <row r="9143" spans="1:2" x14ac:dyDescent="0.25">
      <c r="A9143" s="2">
        <v>9138</v>
      </c>
      <c r="B9143" s="3" t="str">
        <f>"00388840"</f>
        <v>00388840</v>
      </c>
    </row>
    <row r="9144" spans="1:2" x14ac:dyDescent="0.25">
      <c r="A9144" s="2">
        <v>9139</v>
      </c>
      <c r="B9144" s="3" t="str">
        <f>"00388920"</f>
        <v>00388920</v>
      </c>
    </row>
    <row r="9145" spans="1:2" x14ac:dyDescent="0.25">
      <c r="A9145" s="2">
        <v>9140</v>
      </c>
      <c r="B9145" s="3" t="str">
        <f>"00388929"</f>
        <v>00388929</v>
      </c>
    </row>
    <row r="9146" spans="1:2" x14ac:dyDescent="0.25">
      <c r="A9146" s="2">
        <v>9141</v>
      </c>
      <c r="B9146" s="3" t="str">
        <f>"00389014"</f>
        <v>00389014</v>
      </c>
    </row>
    <row r="9147" spans="1:2" x14ac:dyDescent="0.25">
      <c r="A9147" s="2">
        <v>9142</v>
      </c>
      <c r="B9147" s="3" t="str">
        <f>"00389060"</f>
        <v>00389060</v>
      </c>
    </row>
    <row r="9148" spans="1:2" x14ac:dyDescent="0.25">
      <c r="A9148" s="2">
        <v>9143</v>
      </c>
      <c r="B9148" s="3" t="str">
        <f>"00389071"</f>
        <v>00389071</v>
      </c>
    </row>
    <row r="9149" spans="1:2" x14ac:dyDescent="0.25">
      <c r="A9149" s="2">
        <v>9144</v>
      </c>
      <c r="B9149" s="3" t="str">
        <f>"00389251"</f>
        <v>00389251</v>
      </c>
    </row>
    <row r="9150" spans="1:2" x14ac:dyDescent="0.25">
      <c r="A9150" s="2">
        <v>9145</v>
      </c>
      <c r="B9150" s="3" t="str">
        <f>"00389262"</f>
        <v>00389262</v>
      </c>
    </row>
    <row r="9151" spans="1:2" x14ac:dyDescent="0.25">
      <c r="A9151" s="2">
        <v>9146</v>
      </c>
      <c r="B9151" s="3" t="str">
        <f>"00389290"</f>
        <v>00389290</v>
      </c>
    </row>
    <row r="9152" spans="1:2" x14ac:dyDescent="0.25">
      <c r="A9152" s="2">
        <v>9147</v>
      </c>
      <c r="B9152" s="3" t="str">
        <f>"00389328"</f>
        <v>00389328</v>
      </c>
    </row>
    <row r="9153" spans="1:2" x14ac:dyDescent="0.25">
      <c r="A9153" s="2">
        <v>9148</v>
      </c>
      <c r="B9153" s="3" t="str">
        <f>"00389337"</f>
        <v>00389337</v>
      </c>
    </row>
    <row r="9154" spans="1:2" x14ac:dyDescent="0.25">
      <c r="A9154" s="2">
        <v>9149</v>
      </c>
      <c r="B9154" s="3" t="str">
        <f>"00389368"</f>
        <v>00389368</v>
      </c>
    </row>
    <row r="9155" spans="1:2" x14ac:dyDescent="0.25">
      <c r="A9155" s="2">
        <v>9150</v>
      </c>
      <c r="B9155" s="3" t="str">
        <f>"00389402"</f>
        <v>00389402</v>
      </c>
    </row>
    <row r="9156" spans="1:2" x14ac:dyDescent="0.25">
      <c r="A9156" s="2">
        <v>9151</v>
      </c>
      <c r="B9156" s="3" t="str">
        <f>"00389404"</f>
        <v>00389404</v>
      </c>
    </row>
    <row r="9157" spans="1:2" x14ac:dyDescent="0.25">
      <c r="A9157" s="2">
        <v>9152</v>
      </c>
      <c r="B9157" s="3" t="str">
        <f>"00389441"</f>
        <v>00389441</v>
      </c>
    </row>
    <row r="9158" spans="1:2" x14ac:dyDescent="0.25">
      <c r="A9158" s="2">
        <v>9153</v>
      </c>
      <c r="B9158" s="3" t="str">
        <f>"00389650"</f>
        <v>00389650</v>
      </c>
    </row>
    <row r="9159" spans="1:2" x14ac:dyDescent="0.25">
      <c r="A9159" s="2">
        <v>9154</v>
      </c>
      <c r="B9159" s="3" t="str">
        <f>"00389652"</f>
        <v>00389652</v>
      </c>
    </row>
    <row r="9160" spans="1:2" x14ac:dyDescent="0.25">
      <c r="A9160" s="2">
        <v>9155</v>
      </c>
      <c r="B9160" s="3" t="str">
        <f>"00389665"</f>
        <v>00389665</v>
      </c>
    </row>
    <row r="9161" spans="1:2" x14ac:dyDescent="0.25">
      <c r="A9161" s="2">
        <v>9156</v>
      </c>
      <c r="B9161" s="3" t="str">
        <f>"00389700"</f>
        <v>00389700</v>
      </c>
    </row>
    <row r="9162" spans="1:2" x14ac:dyDescent="0.25">
      <c r="A9162" s="2">
        <v>9157</v>
      </c>
      <c r="B9162" s="3" t="str">
        <f>"00389703"</f>
        <v>00389703</v>
      </c>
    </row>
    <row r="9163" spans="1:2" x14ac:dyDescent="0.25">
      <c r="A9163" s="2">
        <v>9158</v>
      </c>
      <c r="B9163" s="3" t="str">
        <f>"00389838"</f>
        <v>00389838</v>
      </c>
    </row>
    <row r="9164" spans="1:2" x14ac:dyDescent="0.25">
      <c r="A9164" s="2">
        <v>9159</v>
      </c>
      <c r="B9164" s="3" t="str">
        <f>"00389956"</f>
        <v>00389956</v>
      </c>
    </row>
    <row r="9165" spans="1:2" x14ac:dyDescent="0.25">
      <c r="A9165" s="2">
        <v>9160</v>
      </c>
      <c r="B9165" s="3" t="str">
        <f>"00390120"</f>
        <v>00390120</v>
      </c>
    </row>
    <row r="9166" spans="1:2" x14ac:dyDescent="0.25">
      <c r="A9166" s="2">
        <v>9161</v>
      </c>
      <c r="B9166" s="3" t="str">
        <f>"00390245"</f>
        <v>00390245</v>
      </c>
    </row>
    <row r="9167" spans="1:2" x14ac:dyDescent="0.25">
      <c r="A9167" s="2">
        <v>9162</v>
      </c>
      <c r="B9167" s="3" t="str">
        <f>"00390305"</f>
        <v>00390305</v>
      </c>
    </row>
    <row r="9168" spans="1:2" x14ac:dyDescent="0.25">
      <c r="A9168" s="2">
        <v>9163</v>
      </c>
      <c r="B9168" s="3" t="str">
        <f>"00390312"</f>
        <v>00390312</v>
      </c>
    </row>
    <row r="9169" spans="1:2" x14ac:dyDescent="0.25">
      <c r="A9169" s="2">
        <v>9164</v>
      </c>
      <c r="B9169" s="3" t="str">
        <f>"00390332"</f>
        <v>00390332</v>
      </c>
    </row>
    <row r="9170" spans="1:2" x14ac:dyDescent="0.25">
      <c r="A9170" s="2">
        <v>9165</v>
      </c>
      <c r="B9170" s="3" t="str">
        <f>"00390420"</f>
        <v>00390420</v>
      </c>
    </row>
    <row r="9171" spans="1:2" x14ac:dyDescent="0.25">
      <c r="A9171" s="2">
        <v>9166</v>
      </c>
      <c r="B9171" s="3" t="str">
        <f>"00390657"</f>
        <v>00390657</v>
      </c>
    </row>
    <row r="9172" spans="1:2" x14ac:dyDescent="0.25">
      <c r="A9172" s="2">
        <v>9167</v>
      </c>
      <c r="B9172" s="3" t="str">
        <f>"00390728"</f>
        <v>00390728</v>
      </c>
    </row>
    <row r="9173" spans="1:2" x14ac:dyDescent="0.25">
      <c r="A9173" s="2">
        <v>9168</v>
      </c>
      <c r="B9173" s="3" t="str">
        <f>"00390828"</f>
        <v>00390828</v>
      </c>
    </row>
    <row r="9174" spans="1:2" x14ac:dyDescent="0.25">
      <c r="A9174" s="2">
        <v>9169</v>
      </c>
      <c r="B9174" s="3" t="str">
        <f>"00390837"</f>
        <v>00390837</v>
      </c>
    </row>
    <row r="9175" spans="1:2" x14ac:dyDescent="0.25">
      <c r="A9175" s="2">
        <v>9170</v>
      </c>
      <c r="B9175" s="3" t="str">
        <f>"00390898"</f>
        <v>00390898</v>
      </c>
    </row>
    <row r="9176" spans="1:2" x14ac:dyDescent="0.25">
      <c r="A9176" s="2">
        <v>9171</v>
      </c>
      <c r="B9176" s="3" t="str">
        <f>"00390971"</f>
        <v>00390971</v>
      </c>
    </row>
    <row r="9177" spans="1:2" x14ac:dyDescent="0.25">
      <c r="A9177" s="2">
        <v>9172</v>
      </c>
      <c r="B9177" s="3" t="str">
        <f>"00391098"</f>
        <v>00391098</v>
      </c>
    </row>
    <row r="9178" spans="1:2" x14ac:dyDescent="0.25">
      <c r="A9178" s="2">
        <v>9173</v>
      </c>
      <c r="B9178" s="3" t="str">
        <f>"00391391"</f>
        <v>00391391</v>
      </c>
    </row>
    <row r="9179" spans="1:2" x14ac:dyDescent="0.25">
      <c r="A9179" s="2">
        <v>9174</v>
      </c>
      <c r="B9179" s="3" t="str">
        <f>"00391435"</f>
        <v>00391435</v>
      </c>
    </row>
    <row r="9180" spans="1:2" x14ac:dyDescent="0.25">
      <c r="A9180" s="2">
        <v>9175</v>
      </c>
      <c r="B9180" s="3" t="str">
        <f>"00391506"</f>
        <v>00391506</v>
      </c>
    </row>
    <row r="9181" spans="1:2" x14ac:dyDescent="0.25">
      <c r="A9181" s="2">
        <v>9176</v>
      </c>
      <c r="B9181" s="3" t="str">
        <f>"00391563"</f>
        <v>00391563</v>
      </c>
    </row>
    <row r="9182" spans="1:2" x14ac:dyDescent="0.25">
      <c r="A9182" s="2">
        <v>9177</v>
      </c>
      <c r="B9182" s="3" t="str">
        <f>"00391615"</f>
        <v>00391615</v>
      </c>
    </row>
    <row r="9183" spans="1:2" x14ac:dyDescent="0.25">
      <c r="A9183" s="2">
        <v>9178</v>
      </c>
      <c r="B9183" s="3" t="str">
        <f>"00391644"</f>
        <v>00391644</v>
      </c>
    </row>
    <row r="9184" spans="1:2" x14ac:dyDescent="0.25">
      <c r="A9184" s="2">
        <v>9179</v>
      </c>
      <c r="B9184" s="3" t="str">
        <f>"00391849"</f>
        <v>00391849</v>
      </c>
    </row>
    <row r="9185" spans="1:2" x14ac:dyDescent="0.25">
      <c r="A9185" s="2">
        <v>9180</v>
      </c>
      <c r="B9185" s="3" t="str">
        <f>"00391878"</f>
        <v>00391878</v>
      </c>
    </row>
    <row r="9186" spans="1:2" x14ac:dyDescent="0.25">
      <c r="A9186" s="2">
        <v>9181</v>
      </c>
      <c r="B9186" s="3" t="str">
        <f>"00391911"</f>
        <v>00391911</v>
      </c>
    </row>
    <row r="9187" spans="1:2" x14ac:dyDescent="0.25">
      <c r="A9187" s="2">
        <v>9182</v>
      </c>
      <c r="B9187" s="3" t="str">
        <f>"00391992"</f>
        <v>00391992</v>
      </c>
    </row>
    <row r="9188" spans="1:2" x14ac:dyDescent="0.25">
      <c r="A9188" s="2">
        <v>9183</v>
      </c>
      <c r="B9188" s="3" t="str">
        <f>"00392428"</f>
        <v>00392428</v>
      </c>
    </row>
    <row r="9189" spans="1:2" x14ac:dyDescent="0.25">
      <c r="A9189" s="2">
        <v>9184</v>
      </c>
      <c r="B9189" s="3" t="str">
        <f>"00392461"</f>
        <v>00392461</v>
      </c>
    </row>
    <row r="9190" spans="1:2" x14ac:dyDescent="0.25">
      <c r="A9190" s="2">
        <v>9185</v>
      </c>
      <c r="B9190" s="3" t="str">
        <f>"00392523"</f>
        <v>00392523</v>
      </c>
    </row>
    <row r="9191" spans="1:2" x14ac:dyDescent="0.25">
      <c r="A9191" s="2">
        <v>9186</v>
      </c>
      <c r="B9191" s="3" t="str">
        <f>"00392664"</f>
        <v>00392664</v>
      </c>
    </row>
    <row r="9192" spans="1:2" x14ac:dyDescent="0.25">
      <c r="A9192" s="2">
        <v>9187</v>
      </c>
      <c r="B9192" s="3" t="str">
        <f>"00392710"</f>
        <v>00392710</v>
      </c>
    </row>
    <row r="9193" spans="1:2" x14ac:dyDescent="0.25">
      <c r="A9193" s="2">
        <v>9188</v>
      </c>
      <c r="B9193" s="3" t="str">
        <f>"00392730"</f>
        <v>00392730</v>
      </c>
    </row>
    <row r="9194" spans="1:2" x14ac:dyDescent="0.25">
      <c r="A9194" s="2">
        <v>9189</v>
      </c>
      <c r="B9194" s="3" t="str">
        <f>"00392919"</f>
        <v>00392919</v>
      </c>
    </row>
    <row r="9195" spans="1:2" x14ac:dyDescent="0.25">
      <c r="A9195" s="2">
        <v>9190</v>
      </c>
      <c r="B9195" s="3" t="str">
        <f>"00392983"</f>
        <v>00392983</v>
      </c>
    </row>
    <row r="9196" spans="1:2" x14ac:dyDescent="0.25">
      <c r="A9196" s="2">
        <v>9191</v>
      </c>
      <c r="B9196" s="3" t="str">
        <f>"00393108"</f>
        <v>00393108</v>
      </c>
    </row>
    <row r="9197" spans="1:2" x14ac:dyDescent="0.25">
      <c r="A9197" s="2">
        <v>9192</v>
      </c>
      <c r="B9197" s="3" t="str">
        <f>"00393125"</f>
        <v>00393125</v>
      </c>
    </row>
    <row r="9198" spans="1:2" x14ac:dyDescent="0.25">
      <c r="A9198" s="2">
        <v>9193</v>
      </c>
      <c r="B9198" s="3" t="str">
        <f>"00393358"</f>
        <v>00393358</v>
      </c>
    </row>
    <row r="9199" spans="1:2" x14ac:dyDescent="0.25">
      <c r="A9199" s="2">
        <v>9194</v>
      </c>
      <c r="B9199" s="3" t="str">
        <f>"00393422"</f>
        <v>00393422</v>
      </c>
    </row>
    <row r="9200" spans="1:2" x14ac:dyDescent="0.25">
      <c r="A9200" s="2">
        <v>9195</v>
      </c>
      <c r="B9200" s="3" t="str">
        <f>"00393464"</f>
        <v>00393464</v>
      </c>
    </row>
    <row r="9201" spans="1:2" x14ac:dyDescent="0.25">
      <c r="A9201" s="2">
        <v>9196</v>
      </c>
      <c r="B9201" s="3" t="str">
        <f>"00393478"</f>
        <v>00393478</v>
      </c>
    </row>
    <row r="9202" spans="1:2" x14ac:dyDescent="0.25">
      <c r="A9202" s="2">
        <v>9197</v>
      </c>
      <c r="B9202" s="3" t="str">
        <f>"00393497"</f>
        <v>00393497</v>
      </c>
    </row>
    <row r="9203" spans="1:2" x14ac:dyDescent="0.25">
      <c r="A9203" s="2">
        <v>9198</v>
      </c>
      <c r="B9203" s="3" t="str">
        <f>"00393500"</f>
        <v>00393500</v>
      </c>
    </row>
    <row r="9204" spans="1:2" x14ac:dyDescent="0.25">
      <c r="A9204" s="2">
        <v>9199</v>
      </c>
      <c r="B9204" s="3" t="str">
        <f>"00393531"</f>
        <v>00393531</v>
      </c>
    </row>
    <row r="9205" spans="1:2" x14ac:dyDescent="0.25">
      <c r="A9205" s="2">
        <v>9200</v>
      </c>
      <c r="B9205" s="3" t="str">
        <f>"00393568"</f>
        <v>00393568</v>
      </c>
    </row>
    <row r="9206" spans="1:2" x14ac:dyDescent="0.25">
      <c r="A9206" s="2">
        <v>9201</v>
      </c>
      <c r="B9206" s="3" t="str">
        <f>"00393575"</f>
        <v>00393575</v>
      </c>
    </row>
    <row r="9207" spans="1:2" x14ac:dyDescent="0.25">
      <c r="A9207" s="2">
        <v>9202</v>
      </c>
      <c r="B9207" s="3" t="str">
        <f>"00393622"</f>
        <v>00393622</v>
      </c>
    </row>
    <row r="9208" spans="1:2" x14ac:dyDescent="0.25">
      <c r="A9208" s="2">
        <v>9203</v>
      </c>
      <c r="B9208" s="3" t="str">
        <f>"00393653"</f>
        <v>00393653</v>
      </c>
    </row>
    <row r="9209" spans="1:2" x14ac:dyDescent="0.25">
      <c r="A9209" s="2">
        <v>9204</v>
      </c>
      <c r="B9209" s="3" t="str">
        <f>"00393676"</f>
        <v>00393676</v>
      </c>
    </row>
    <row r="9210" spans="1:2" x14ac:dyDescent="0.25">
      <c r="A9210" s="2">
        <v>9205</v>
      </c>
      <c r="B9210" s="3" t="str">
        <f>"00393879"</f>
        <v>00393879</v>
      </c>
    </row>
    <row r="9211" spans="1:2" x14ac:dyDescent="0.25">
      <c r="A9211" s="2">
        <v>9206</v>
      </c>
      <c r="B9211" s="3" t="str">
        <f>"00393983"</f>
        <v>00393983</v>
      </c>
    </row>
    <row r="9212" spans="1:2" x14ac:dyDescent="0.25">
      <c r="A9212" s="2">
        <v>9207</v>
      </c>
      <c r="B9212" s="3" t="str">
        <f>"00394005"</f>
        <v>00394005</v>
      </c>
    </row>
    <row r="9213" spans="1:2" x14ac:dyDescent="0.25">
      <c r="A9213" s="2">
        <v>9208</v>
      </c>
      <c r="B9213" s="3" t="str">
        <f>"00394138"</f>
        <v>00394138</v>
      </c>
    </row>
    <row r="9214" spans="1:2" x14ac:dyDescent="0.25">
      <c r="A9214" s="2">
        <v>9209</v>
      </c>
      <c r="B9214" s="3" t="str">
        <f>"00394392"</f>
        <v>00394392</v>
      </c>
    </row>
    <row r="9215" spans="1:2" x14ac:dyDescent="0.25">
      <c r="A9215" s="2">
        <v>9210</v>
      </c>
      <c r="B9215" s="3" t="str">
        <f>"00394518"</f>
        <v>00394518</v>
      </c>
    </row>
    <row r="9216" spans="1:2" x14ac:dyDescent="0.25">
      <c r="A9216" s="2">
        <v>9211</v>
      </c>
      <c r="B9216" s="3" t="str">
        <f>"00394568"</f>
        <v>00394568</v>
      </c>
    </row>
    <row r="9217" spans="1:2" x14ac:dyDescent="0.25">
      <c r="A9217" s="2">
        <v>9212</v>
      </c>
      <c r="B9217" s="3" t="str">
        <f>"00394847"</f>
        <v>00394847</v>
      </c>
    </row>
    <row r="9218" spans="1:2" x14ac:dyDescent="0.25">
      <c r="A9218" s="2">
        <v>9213</v>
      </c>
      <c r="B9218" s="3" t="str">
        <f>"00394864"</f>
        <v>00394864</v>
      </c>
    </row>
    <row r="9219" spans="1:2" x14ac:dyDescent="0.25">
      <c r="A9219" s="2">
        <v>9214</v>
      </c>
      <c r="B9219" s="3" t="str">
        <f>"00394967"</f>
        <v>00394967</v>
      </c>
    </row>
    <row r="9220" spans="1:2" x14ac:dyDescent="0.25">
      <c r="A9220" s="2">
        <v>9215</v>
      </c>
      <c r="B9220" s="3" t="str">
        <f>"00394971"</f>
        <v>00394971</v>
      </c>
    </row>
    <row r="9221" spans="1:2" x14ac:dyDescent="0.25">
      <c r="A9221" s="2">
        <v>9216</v>
      </c>
      <c r="B9221" s="3" t="str">
        <f>"00395000"</f>
        <v>00395000</v>
      </c>
    </row>
    <row r="9222" spans="1:2" x14ac:dyDescent="0.25">
      <c r="A9222" s="2">
        <v>9217</v>
      </c>
      <c r="B9222" s="3" t="str">
        <f>"00395120"</f>
        <v>00395120</v>
      </c>
    </row>
    <row r="9223" spans="1:2" x14ac:dyDescent="0.25">
      <c r="A9223" s="2">
        <v>9218</v>
      </c>
      <c r="B9223" s="3" t="str">
        <f>"00395185"</f>
        <v>00395185</v>
      </c>
    </row>
    <row r="9224" spans="1:2" x14ac:dyDescent="0.25">
      <c r="A9224" s="2">
        <v>9219</v>
      </c>
      <c r="B9224" s="3" t="str">
        <f>"00395235"</f>
        <v>00395235</v>
      </c>
    </row>
    <row r="9225" spans="1:2" x14ac:dyDescent="0.25">
      <c r="A9225" s="2">
        <v>9220</v>
      </c>
      <c r="B9225" s="3" t="str">
        <f>"00395241"</f>
        <v>00395241</v>
      </c>
    </row>
    <row r="9226" spans="1:2" x14ac:dyDescent="0.25">
      <c r="A9226" s="2">
        <v>9221</v>
      </c>
      <c r="B9226" s="3" t="str">
        <f>"00395245"</f>
        <v>00395245</v>
      </c>
    </row>
    <row r="9227" spans="1:2" x14ac:dyDescent="0.25">
      <c r="A9227" s="2">
        <v>9222</v>
      </c>
      <c r="B9227" s="3" t="str">
        <f>"00395333"</f>
        <v>00395333</v>
      </c>
    </row>
    <row r="9228" spans="1:2" x14ac:dyDescent="0.25">
      <c r="A9228" s="2">
        <v>9223</v>
      </c>
      <c r="B9228" s="3" t="str">
        <f>"00395400"</f>
        <v>00395400</v>
      </c>
    </row>
    <row r="9229" spans="1:2" x14ac:dyDescent="0.25">
      <c r="A9229" s="2">
        <v>9224</v>
      </c>
      <c r="B9229" s="3" t="str">
        <f>"00395444"</f>
        <v>00395444</v>
      </c>
    </row>
    <row r="9230" spans="1:2" x14ac:dyDescent="0.25">
      <c r="A9230" s="2">
        <v>9225</v>
      </c>
      <c r="B9230" s="3" t="str">
        <f>"00395627"</f>
        <v>00395627</v>
      </c>
    </row>
    <row r="9231" spans="1:2" x14ac:dyDescent="0.25">
      <c r="A9231" s="2">
        <v>9226</v>
      </c>
      <c r="B9231" s="3" t="str">
        <f>"00395872"</f>
        <v>00395872</v>
      </c>
    </row>
    <row r="9232" spans="1:2" x14ac:dyDescent="0.25">
      <c r="A9232" s="2">
        <v>9227</v>
      </c>
      <c r="B9232" s="3" t="str">
        <f>"00395922"</f>
        <v>00395922</v>
      </c>
    </row>
    <row r="9233" spans="1:2" x14ac:dyDescent="0.25">
      <c r="A9233" s="2">
        <v>9228</v>
      </c>
      <c r="B9233" s="3" t="str">
        <f>"00395936"</f>
        <v>00395936</v>
      </c>
    </row>
    <row r="9234" spans="1:2" x14ac:dyDescent="0.25">
      <c r="A9234" s="2">
        <v>9229</v>
      </c>
      <c r="B9234" s="3" t="str">
        <f>"00396155"</f>
        <v>00396155</v>
      </c>
    </row>
    <row r="9235" spans="1:2" x14ac:dyDescent="0.25">
      <c r="A9235" s="2">
        <v>9230</v>
      </c>
      <c r="B9235" s="3" t="str">
        <f>"00396184"</f>
        <v>00396184</v>
      </c>
    </row>
    <row r="9236" spans="1:2" x14ac:dyDescent="0.25">
      <c r="A9236" s="2">
        <v>9231</v>
      </c>
      <c r="B9236" s="3" t="str">
        <f>"00396237"</f>
        <v>00396237</v>
      </c>
    </row>
    <row r="9237" spans="1:2" x14ac:dyDescent="0.25">
      <c r="A9237" s="2">
        <v>9232</v>
      </c>
      <c r="B9237" s="3" t="str">
        <f>"00396449"</f>
        <v>00396449</v>
      </c>
    </row>
    <row r="9238" spans="1:2" x14ac:dyDescent="0.25">
      <c r="A9238" s="2">
        <v>9233</v>
      </c>
      <c r="B9238" s="3" t="str">
        <f>"00396746"</f>
        <v>00396746</v>
      </c>
    </row>
    <row r="9239" spans="1:2" x14ac:dyDescent="0.25">
      <c r="A9239" s="2">
        <v>9234</v>
      </c>
      <c r="B9239" s="3" t="str">
        <f>"00396811"</f>
        <v>00396811</v>
      </c>
    </row>
    <row r="9240" spans="1:2" x14ac:dyDescent="0.25">
      <c r="A9240" s="2">
        <v>9235</v>
      </c>
      <c r="B9240" s="3" t="str">
        <f>"00396861"</f>
        <v>00396861</v>
      </c>
    </row>
    <row r="9241" spans="1:2" x14ac:dyDescent="0.25">
      <c r="A9241" s="2">
        <v>9236</v>
      </c>
      <c r="B9241" s="3" t="str">
        <f>"00397005"</f>
        <v>00397005</v>
      </c>
    </row>
    <row r="9242" spans="1:2" x14ac:dyDescent="0.25">
      <c r="A9242" s="2">
        <v>9237</v>
      </c>
      <c r="B9242" s="3" t="str">
        <f>"00397128"</f>
        <v>00397128</v>
      </c>
    </row>
    <row r="9243" spans="1:2" x14ac:dyDescent="0.25">
      <c r="A9243" s="2">
        <v>9238</v>
      </c>
      <c r="B9243" s="3" t="str">
        <f>"00397241"</f>
        <v>00397241</v>
      </c>
    </row>
    <row r="9244" spans="1:2" x14ac:dyDescent="0.25">
      <c r="A9244" s="2">
        <v>9239</v>
      </c>
      <c r="B9244" s="3" t="str">
        <f>"00397583"</f>
        <v>00397583</v>
      </c>
    </row>
    <row r="9245" spans="1:2" x14ac:dyDescent="0.25">
      <c r="A9245" s="2">
        <v>9240</v>
      </c>
      <c r="B9245" s="3" t="str">
        <f>"00397588"</f>
        <v>00397588</v>
      </c>
    </row>
    <row r="9246" spans="1:2" x14ac:dyDescent="0.25">
      <c r="A9246" s="2">
        <v>9241</v>
      </c>
      <c r="B9246" s="3" t="str">
        <f>"00397615"</f>
        <v>00397615</v>
      </c>
    </row>
    <row r="9247" spans="1:2" x14ac:dyDescent="0.25">
      <c r="A9247" s="2">
        <v>9242</v>
      </c>
      <c r="B9247" s="3" t="str">
        <f>"00397658"</f>
        <v>00397658</v>
      </c>
    </row>
    <row r="9248" spans="1:2" x14ac:dyDescent="0.25">
      <c r="A9248" s="2">
        <v>9243</v>
      </c>
      <c r="B9248" s="3" t="str">
        <f>"00397973"</f>
        <v>00397973</v>
      </c>
    </row>
    <row r="9249" spans="1:2" x14ac:dyDescent="0.25">
      <c r="A9249" s="2">
        <v>9244</v>
      </c>
      <c r="B9249" s="3" t="str">
        <f>"00398070"</f>
        <v>00398070</v>
      </c>
    </row>
    <row r="9250" spans="1:2" x14ac:dyDescent="0.25">
      <c r="A9250" s="2">
        <v>9245</v>
      </c>
      <c r="B9250" s="3" t="str">
        <f>"00398190"</f>
        <v>00398190</v>
      </c>
    </row>
    <row r="9251" spans="1:2" x14ac:dyDescent="0.25">
      <c r="A9251" s="2">
        <v>9246</v>
      </c>
      <c r="B9251" s="3" t="str">
        <f>"00398192"</f>
        <v>00398192</v>
      </c>
    </row>
    <row r="9252" spans="1:2" x14ac:dyDescent="0.25">
      <c r="A9252" s="2">
        <v>9247</v>
      </c>
      <c r="B9252" s="3" t="str">
        <f>"00398276"</f>
        <v>00398276</v>
      </c>
    </row>
    <row r="9253" spans="1:2" x14ac:dyDescent="0.25">
      <c r="A9253" s="2">
        <v>9248</v>
      </c>
      <c r="B9253" s="3" t="str">
        <f>"00398311"</f>
        <v>00398311</v>
      </c>
    </row>
    <row r="9254" spans="1:2" x14ac:dyDescent="0.25">
      <c r="A9254" s="2">
        <v>9249</v>
      </c>
      <c r="B9254" s="3" t="str">
        <f>"00398343"</f>
        <v>00398343</v>
      </c>
    </row>
    <row r="9255" spans="1:2" x14ac:dyDescent="0.25">
      <c r="A9255" s="2">
        <v>9250</v>
      </c>
      <c r="B9255" s="3" t="str">
        <f>"00398346"</f>
        <v>00398346</v>
      </c>
    </row>
    <row r="9256" spans="1:2" x14ac:dyDescent="0.25">
      <c r="A9256" s="2">
        <v>9251</v>
      </c>
      <c r="B9256" s="3" t="str">
        <f>"00398383"</f>
        <v>00398383</v>
      </c>
    </row>
    <row r="9257" spans="1:2" x14ac:dyDescent="0.25">
      <c r="A9257" s="2">
        <v>9252</v>
      </c>
      <c r="B9257" s="3" t="str">
        <f>"00398414"</f>
        <v>00398414</v>
      </c>
    </row>
    <row r="9258" spans="1:2" x14ac:dyDescent="0.25">
      <c r="A9258" s="2">
        <v>9253</v>
      </c>
      <c r="B9258" s="3" t="str">
        <f>"00398432"</f>
        <v>00398432</v>
      </c>
    </row>
    <row r="9259" spans="1:2" x14ac:dyDescent="0.25">
      <c r="A9259" s="2">
        <v>9254</v>
      </c>
      <c r="B9259" s="3" t="str">
        <f>"00398472"</f>
        <v>00398472</v>
      </c>
    </row>
    <row r="9260" spans="1:2" x14ac:dyDescent="0.25">
      <c r="A9260" s="2">
        <v>9255</v>
      </c>
      <c r="B9260" s="3" t="str">
        <f>"00398513"</f>
        <v>00398513</v>
      </c>
    </row>
    <row r="9261" spans="1:2" x14ac:dyDescent="0.25">
      <c r="A9261" s="2">
        <v>9256</v>
      </c>
      <c r="B9261" s="3" t="str">
        <f>"00398613"</f>
        <v>00398613</v>
      </c>
    </row>
    <row r="9262" spans="1:2" x14ac:dyDescent="0.25">
      <c r="A9262" s="2">
        <v>9257</v>
      </c>
      <c r="B9262" s="3" t="str">
        <f>"00398653"</f>
        <v>00398653</v>
      </c>
    </row>
    <row r="9263" spans="1:2" x14ac:dyDescent="0.25">
      <c r="A9263" s="2">
        <v>9258</v>
      </c>
      <c r="B9263" s="3" t="str">
        <f>"00398723"</f>
        <v>00398723</v>
      </c>
    </row>
    <row r="9264" spans="1:2" x14ac:dyDescent="0.25">
      <c r="A9264" s="2">
        <v>9259</v>
      </c>
      <c r="B9264" s="3" t="str">
        <f>"00398875"</f>
        <v>00398875</v>
      </c>
    </row>
    <row r="9265" spans="1:2" x14ac:dyDescent="0.25">
      <c r="A9265" s="2">
        <v>9260</v>
      </c>
      <c r="B9265" s="3" t="str">
        <f>"00398882"</f>
        <v>00398882</v>
      </c>
    </row>
    <row r="9266" spans="1:2" x14ac:dyDescent="0.25">
      <c r="A9266" s="2">
        <v>9261</v>
      </c>
      <c r="B9266" s="3" t="str">
        <f>"00399110"</f>
        <v>00399110</v>
      </c>
    </row>
    <row r="9267" spans="1:2" x14ac:dyDescent="0.25">
      <c r="A9267" s="2">
        <v>9262</v>
      </c>
      <c r="B9267" s="3" t="str">
        <f>"00399170"</f>
        <v>00399170</v>
      </c>
    </row>
    <row r="9268" spans="1:2" x14ac:dyDescent="0.25">
      <c r="A9268" s="2">
        <v>9263</v>
      </c>
      <c r="B9268" s="3" t="str">
        <f>"00399180"</f>
        <v>00399180</v>
      </c>
    </row>
    <row r="9269" spans="1:2" x14ac:dyDescent="0.25">
      <c r="A9269" s="2">
        <v>9264</v>
      </c>
      <c r="B9269" s="3" t="str">
        <f>"00399484"</f>
        <v>00399484</v>
      </c>
    </row>
    <row r="9270" spans="1:2" x14ac:dyDescent="0.25">
      <c r="A9270" s="2">
        <v>9265</v>
      </c>
      <c r="B9270" s="3" t="str">
        <f>"00399524"</f>
        <v>00399524</v>
      </c>
    </row>
    <row r="9271" spans="1:2" x14ac:dyDescent="0.25">
      <c r="A9271" s="2">
        <v>9266</v>
      </c>
      <c r="B9271" s="3" t="str">
        <f>"00399584"</f>
        <v>00399584</v>
      </c>
    </row>
    <row r="9272" spans="1:2" x14ac:dyDescent="0.25">
      <c r="A9272" s="2">
        <v>9267</v>
      </c>
      <c r="B9272" s="3" t="str">
        <f>"00399626"</f>
        <v>00399626</v>
      </c>
    </row>
    <row r="9273" spans="1:2" x14ac:dyDescent="0.25">
      <c r="A9273" s="2">
        <v>9268</v>
      </c>
      <c r="B9273" s="3" t="str">
        <f>"00399841"</f>
        <v>00399841</v>
      </c>
    </row>
    <row r="9274" spans="1:2" x14ac:dyDescent="0.25">
      <c r="A9274" s="2">
        <v>9269</v>
      </c>
      <c r="B9274" s="3" t="str">
        <f>"00399849"</f>
        <v>00399849</v>
      </c>
    </row>
    <row r="9275" spans="1:2" x14ac:dyDescent="0.25">
      <c r="A9275" s="2">
        <v>9270</v>
      </c>
      <c r="B9275" s="3" t="str">
        <f>"00399893"</f>
        <v>00399893</v>
      </c>
    </row>
    <row r="9276" spans="1:2" x14ac:dyDescent="0.25">
      <c r="A9276" s="2">
        <v>9271</v>
      </c>
      <c r="B9276" s="3" t="str">
        <f>"00399899"</f>
        <v>00399899</v>
      </c>
    </row>
    <row r="9277" spans="1:2" x14ac:dyDescent="0.25">
      <c r="A9277" s="2">
        <v>9272</v>
      </c>
      <c r="B9277" s="3" t="str">
        <f>"00400056"</f>
        <v>00400056</v>
      </c>
    </row>
    <row r="9278" spans="1:2" x14ac:dyDescent="0.25">
      <c r="A9278" s="2">
        <v>9273</v>
      </c>
      <c r="B9278" s="3" t="str">
        <f>"00400157"</f>
        <v>00400157</v>
      </c>
    </row>
    <row r="9279" spans="1:2" x14ac:dyDescent="0.25">
      <c r="A9279" s="2">
        <v>9274</v>
      </c>
      <c r="B9279" s="3" t="str">
        <f>"00400184"</f>
        <v>00400184</v>
      </c>
    </row>
    <row r="9280" spans="1:2" x14ac:dyDescent="0.25">
      <c r="A9280" s="2">
        <v>9275</v>
      </c>
      <c r="B9280" s="3" t="str">
        <f>"00400285"</f>
        <v>00400285</v>
      </c>
    </row>
    <row r="9281" spans="1:2" x14ac:dyDescent="0.25">
      <c r="A9281" s="2">
        <v>9276</v>
      </c>
      <c r="B9281" s="3" t="str">
        <f>"00400412"</f>
        <v>00400412</v>
      </c>
    </row>
    <row r="9282" spans="1:2" x14ac:dyDescent="0.25">
      <c r="A9282" s="2">
        <v>9277</v>
      </c>
      <c r="B9282" s="3" t="str">
        <f>"00400432"</f>
        <v>00400432</v>
      </c>
    </row>
    <row r="9283" spans="1:2" x14ac:dyDescent="0.25">
      <c r="A9283" s="2">
        <v>9278</v>
      </c>
      <c r="B9283" s="3" t="str">
        <f>"00400667"</f>
        <v>00400667</v>
      </c>
    </row>
    <row r="9284" spans="1:2" x14ac:dyDescent="0.25">
      <c r="A9284" s="2">
        <v>9279</v>
      </c>
      <c r="B9284" s="3" t="str">
        <f>"00400712"</f>
        <v>00400712</v>
      </c>
    </row>
    <row r="9285" spans="1:2" x14ac:dyDescent="0.25">
      <c r="A9285" s="2">
        <v>9280</v>
      </c>
      <c r="B9285" s="3" t="str">
        <f>"00400722"</f>
        <v>00400722</v>
      </c>
    </row>
    <row r="9286" spans="1:2" x14ac:dyDescent="0.25">
      <c r="A9286" s="2">
        <v>9281</v>
      </c>
      <c r="B9286" s="3" t="str">
        <f>"00400890"</f>
        <v>00400890</v>
      </c>
    </row>
    <row r="9287" spans="1:2" x14ac:dyDescent="0.25">
      <c r="A9287" s="2">
        <v>9282</v>
      </c>
      <c r="B9287" s="3" t="str">
        <f>"00401091"</f>
        <v>00401091</v>
      </c>
    </row>
    <row r="9288" spans="1:2" x14ac:dyDescent="0.25">
      <c r="A9288" s="2">
        <v>9283</v>
      </c>
      <c r="B9288" s="3" t="str">
        <f>"00401486"</f>
        <v>00401486</v>
      </c>
    </row>
    <row r="9289" spans="1:2" x14ac:dyDescent="0.25">
      <c r="A9289" s="2">
        <v>9284</v>
      </c>
      <c r="B9289" s="3" t="str">
        <f>"00401642"</f>
        <v>00401642</v>
      </c>
    </row>
    <row r="9290" spans="1:2" x14ac:dyDescent="0.25">
      <c r="A9290" s="2">
        <v>9285</v>
      </c>
      <c r="B9290" s="3" t="str">
        <f>"00401746"</f>
        <v>00401746</v>
      </c>
    </row>
    <row r="9291" spans="1:2" x14ac:dyDescent="0.25">
      <c r="A9291" s="2">
        <v>9286</v>
      </c>
      <c r="B9291" s="3" t="str">
        <f>"00401803"</f>
        <v>00401803</v>
      </c>
    </row>
    <row r="9292" spans="1:2" x14ac:dyDescent="0.25">
      <c r="A9292" s="2">
        <v>9287</v>
      </c>
      <c r="B9292" s="3" t="str">
        <f>"00401805"</f>
        <v>00401805</v>
      </c>
    </row>
    <row r="9293" spans="1:2" x14ac:dyDescent="0.25">
      <c r="A9293" s="2">
        <v>9288</v>
      </c>
      <c r="B9293" s="3" t="str">
        <f>"00401845"</f>
        <v>00401845</v>
      </c>
    </row>
    <row r="9294" spans="1:2" x14ac:dyDescent="0.25">
      <c r="A9294" s="2">
        <v>9289</v>
      </c>
      <c r="B9294" s="3" t="str">
        <f>"00401847"</f>
        <v>00401847</v>
      </c>
    </row>
    <row r="9295" spans="1:2" x14ac:dyDescent="0.25">
      <c r="A9295" s="2">
        <v>9290</v>
      </c>
      <c r="B9295" s="3" t="str">
        <f>"00401943"</f>
        <v>00401943</v>
      </c>
    </row>
    <row r="9296" spans="1:2" x14ac:dyDescent="0.25">
      <c r="A9296" s="2">
        <v>9291</v>
      </c>
      <c r="B9296" s="3" t="str">
        <f>"00402118"</f>
        <v>00402118</v>
      </c>
    </row>
    <row r="9297" spans="1:2" x14ac:dyDescent="0.25">
      <c r="A9297" s="2">
        <v>9292</v>
      </c>
      <c r="B9297" s="3" t="str">
        <f>"00402160"</f>
        <v>00402160</v>
      </c>
    </row>
    <row r="9298" spans="1:2" x14ac:dyDescent="0.25">
      <c r="A9298" s="2">
        <v>9293</v>
      </c>
      <c r="B9298" s="3" t="str">
        <f>"00402300"</f>
        <v>00402300</v>
      </c>
    </row>
    <row r="9299" spans="1:2" x14ac:dyDescent="0.25">
      <c r="A9299" s="2">
        <v>9294</v>
      </c>
      <c r="B9299" s="3" t="str">
        <f>"00402311"</f>
        <v>00402311</v>
      </c>
    </row>
    <row r="9300" spans="1:2" x14ac:dyDescent="0.25">
      <c r="A9300" s="2">
        <v>9295</v>
      </c>
      <c r="B9300" s="3" t="str">
        <f>"00402337"</f>
        <v>00402337</v>
      </c>
    </row>
    <row r="9301" spans="1:2" x14ac:dyDescent="0.25">
      <c r="A9301" s="2">
        <v>9296</v>
      </c>
      <c r="B9301" s="3" t="str">
        <f>"00402477"</f>
        <v>00402477</v>
      </c>
    </row>
    <row r="9302" spans="1:2" x14ac:dyDescent="0.25">
      <c r="A9302" s="2">
        <v>9297</v>
      </c>
      <c r="B9302" s="3" t="str">
        <f>"00402482"</f>
        <v>00402482</v>
      </c>
    </row>
    <row r="9303" spans="1:2" x14ac:dyDescent="0.25">
      <c r="A9303" s="2">
        <v>9298</v>
      </c>
      <c r="B9303" s="3" t="str">
        <f>"00402534"</f>
        <v>00402534</v>
      </c>
    </row>
    <row r="9304" spans="1:2" x14ac:dyDescent="0.25">
      <c r="A9304" s="2">
        <v>9299</v>
      </c>
      <c r="B9304" s="3" t="str">
        <f>"00402611"</f>
        <v>00402611</v>
      </c>
    </row>
    <row r="9305" spans="1:2" x14ac:dyDescent="0.25">
      <c r="A9305" s="2">
        <v>9300</v>
      </c>
      <c r="B9305" s="3" t="str">
        <f>"00402677"</f>
        <v>00402677</v>
      </c>
    </row>
    <row r="9306" spans="1:2" x14ac:dyDescent="0.25">
      <c r="A9306" s="2">
        <v>9301</v>
      </c>
      <c r="B9306" s="3" t="str">
        <f>"00402733"</f>
        <v>00402733</v>
      </c>
    </row>
    <row r="9307" spans="1:2" x14ac:dyDescent="0.25">
      <c r="A9307" s="2">
        <v>9302</v>
      </c>
      <c r="B9307" s="3" t="str">
        <f>"00403031"</f>
        <v>00403031</v>
      </c>
    </row>
    <row r="9308" spans="1:2" x14ac:dyDescent="0.25">
      <c r="A9308" s="2">
        <v>9303</v>
      </c>
      <c r="B9308" s="3" t="str">
        <f>"00403121"</f>
        <v>00403121</v>
      </c>
    </row>
    <row r="9309" spans="1:2" x14ac:dyDescent="0.25">
      <c r="A9309" s="2">
        <v>9304</v>
      </c>
      <c r="B9309" s="3" t="str">
        <f>"00403393"</f>
        <v>00403393</v>
      </c>
    </row>
    <row r="9310" spans="1:2" x14ac:dyDescent="0.25">
      <c r="A9310" s="2">
        <v>9305</v>
      </c>
      <c r="B9310" s="3" t="str">
        <f>"00403401"</f>
        <v>00403401</v>
      </c>
    </row>
    <row r="9311" spans="1:2" x14ac:dyDescent="0.25">
      <c r="A9311" s="2">
        <v>9306</v>
      </c>
      <c r="B9311" s="3" t="str">
        <f>"00403501"</f>
        <v>00403501</v>
      </c>
    </row>
    <row r="9312" spans="1:2" x14ac:dyDescent="0.25">
      <c r="A9312" s="2">
        <v>9307</v>
      </c>
      <c r="B9312" s="3" t="str">
        <f>"00403760"</f>
        <v>00403760</v>
      </c>
    </row>
    <row r="9313" spans="1:2" x14ac:dyDescent="0.25">
      <c r="A9313" s="2">
        <v>9308</v>
      </c>
      <c r="B9313" s="3" t="str">
        <f>"00403797"</f>
        <v>00403797</v>
      </c>
    </row>
    <row r="9314" spans="1:2" x14ac:dyDescent="0.25">
      <c r="A9314" s="2">
        <v>9309</v>
      </c>
      <c r="B9314" s="3" t="str">
        <f>"00403861"</f>
        <v>00403861</v>
      </c>
    </row>
    <row r="9315" spans="1:2" x14ac:dyDescent="0.25">
      <c r="A9315" s="2">
        <v>9310</v>
      </c>
      <c r="B9315" s="3" t="str">
        <f>"00403929"</f>
        <v>00403929</v>
      </c>
    </row>
    <row r="9316" spans="1:2" x14ac:dyDescent="0.25">
      <c r="A9316" s="2">
        <v>9311</v>
      </c>
      <c r="B9316" s="3" t="str">
        <f>"00404054"</f>
        <v>00404054</v>
      </c>
    </row>
    <row r="9317" spans="1:2" x14ac:dyDescent="0.25">
      <c r="A9317" s="2">
        <v>9312</v>
      </c>
      <c r="B9317" s="3" t="str">
        <f>"00404218"</f>
        <v>00404218</v>
      </c>
    </row>
    <row r="9318" spans="1:2" x14ac:dyDescent="0.25">
      <c r="A9318" s="2">
        <v>9313</v>
      </c>
      <c r="B9318" s="3" t="str">
        <f>"00404326"</f>
        <v>00404326</v>
      </c>
    </row>
    <row r="9319" spans="1:2" x14ac:dyDescent="0.25">
      <c r="A9319" s="2">
        <v>9314</v>
      </c>
      <c r="B9319" s="3" t="str">
        <f>"00404335"</f>
        <v>00404335</v>
      </c>
    </row>
    <row r="9320" spans="1:2" x14ac:dyDescent="0.25">
      <c r="A9320" s="2">
        <v>9315</v>
      </c>
      <c r="B9320" s="3" t="str">
        <f>"00404505"</f>
        <v>00404505</v>
      </c>
    </row>
    <row r="9321" spans="1:2" x14ac:dyDescent="0.25">
      <c r="A9321" s="2">
        <v>9316</v>
      </c>
      <c r="B9321" s="3" t="str">
        <f>"00404548"</f>
        <v>00404548</v>
      </c>
    </row>
    <row r="9322" spans="1:2" x14ac:dyDescent="0.25">
      <c r="A9322" s="2">
        <v>9317</v>
      </c>
      <c r="B9322" s="3" t="str">
        <f>"00404648"</f>
        <v>00404648</v>
      </c>
    </row>
    <row r="9323" spans="1:2" x14ac:dyDescent="0.25">
      <c r="A9323" s="2">
        <v>9318</v>
      </c>
      <c r="B9323" s="3" t="str">
        <f>"00404683"</f>
        <v>00404683</v>
      </c>
    </row>
    <row r="9324" spans="1:2" x14ac:dyDescent="0.25">
      <c r="A9324" s="2">
        <v>9319</v>
      </c>
      <c r="B9324" s="3" t="str">
        <f>"00404963"</f>
        <v>00404963</v>
      </c>
    </row>
    <row r="9325" spans="1:2" x14ac:dyDescent="0.25">
      <c r="A9325" s="2">
        <v>9320</v>
      </c>
      <c r="B9325" s="3" t="str">
        <f>"00405025"</f>
        <v>00405025</v>
      </c>
    </row>
    <row r="9326" spans="1:2" x14ac:dyDescent="0.25">
      <c r="A9326" s="2">
        <v>9321</v>
      </c>
      <c r="B9326" s="3" t="str">
        <f>"00405138"</f>
        <v>00405138</v>
      </c>
    </row>
    <row r="9327" spans="1:2" x14ac:dyDescent="0.25">
      <c r="A9327" s="2">
        <v>9322</v>
      </c>
      <c r="B9327" s="3" t="str">
        <f>"00405170"</f>
        <v>00405170</v>
      </c>
    </row>
    <row r="9328" spans="1:2" x14ac:dyDescent="0.25">
      <c r="A9328" s="2">
        <v>9323</v>
      </c>
      <c r="B9328" s="3" t="str">
        <f>"00405193"</f>
        <v>00405193</v>
      </c>
    </row>
    <row r="9329" spans="1:2" x14ac:dyDescent="0.25">
      <c r="A9329" s="2">
        <v>9324</v>
      </c>
      <c r="B9329" s="3" t="str">
        <f>"00405285"</f>
        <v>00405285</v>
      </c>
    </row>
    <row r="9330" spans="1:2" x14ac:dyDescent="0.25">
      <c r="A9330" s="2">
        <v>9325</v>
      </c>
      <c r="B9330" s="3" t="str">
        <f>"00405375"</f>
        <v>00405375</v>
      </c>
    </row>
    <row r="9331" spans="1:2" x14ac:dyDescent="0.25">
      <c r="A9331" s="2">
        <v>9326</v>
      </c>
      <c r="B9331" s="3" t="str">
        <f>"00405527"</f>
        <v>00405527</v>
      </c>
    </row>
    <row r="9332" spans="1:2" x14ac:dyDescent="0.25">
      <c r="A9332" s="2">
        <v>9327</v>
      </c>
      <c r="B9332" s="3" t="str">
        <f>"00405550"</f>
        <v>00405550</v>
      </c>
    </row>
    <row r="9333" spans="1:2" x14ac:dyDescent="0.25">
      <c r="A9333" s="2">
        <v>9328</v>
      </c>
      <c r="B9333" s="3" t="str">
        <f>"00405560"</f>
        <v>00405560</v>
      </c>
    </row>
    <row r="9334" spans="1:2" x14ac:dyDescent="0.25">
      <c r="A9334" s="2">
        <v>9329</v>
      </c>
      <c r="B9334" s="3" t="str">
        <f>"00405573"</f>
        <v>00405573</v>
      </c>
    </row>
    <row r="9335" spans="1:2" x14ac:dyDescent="0.25">
      <c r="A9335" s="2">
        <v>9330</v>
      </c>
      <c r="B9335" s="3" t="str">
        <f>"00405919"</f>
        <v>00405919</v>
      </c>
    </row>
    <row r="9336" spans="1:2" x14ac:dyDescent="0.25">
      <c r="A9336" s="2">
        <v>9331</v>
      </c>
      <c r="B9336" s="3" t="str">
        <f>"00406030"</f>
        <v>00406030</v>
      </c>
    </row>
    <row r="9337" spans="1:2" x14ac:dyDescent="0.25">
      <c r="A9337" s="2">
        <v>9332</v>
      </c>
      <c r="B9337" s="3" t="str">
        <f>"00406048"</f>
        <v>00406048</v>
      </c>
    </row>
    <row r="9338" spans="1:2" x14ac:dyDescent="0.25">
      <c r="A9338" s="2">
        <v>9333</v>
      </c>
      <c r="B9338" s="3" t="str">
        <f>"00406349"</f>
        <v>00406349</v>
      </c>
    </row>
    <row r="9339" spans="1:2" x14ac:dyDescent="0.25">
      <c r="A9339" s="2">
        <v>9334</v>
      </c>
      <c r="B9339" s="3" t="str">
        <f>"00406366"</f>
        <v>00406366</v>
      </c>
    </row>
    <row r="9340" spans="1:2" x14ac:dyDescent="0.25">
      <c r="A9340" s="2">
        <v>9335</v>
      </c>
      <c r="B9340" s="3" t="str">
        <f>"00406436"</f>
        <v>00406436</v>
      </c>
    </row>
    <row r="9341" spans="1:2" x14ac:dyDescent="0.25">
      <c r="A9341" s="2">
        <v>9336</v>
      </c>
      <c r="B9341" s="3" t="str">
        <f>"00406486"</f>
        <v>00406486</v>
      </c>
    </row>
    <row r="9342" spans="1:2" x14ac:dyDescent="0.25">
      <c r="A9342" s="2">
        <v>9337</v>
      </c>
      <c r="B9342" s="3" t="str">
        <f>"00406737"</f>
        <v>00406737</v>
      </c>
    </row>
    <row r="9343" spans="1:2" x14ac:dyDescent="0.25">
      <c r="A9343" s="2">
        <v>9338</v>
      </c>
      <c r="B9343" s="3" t="str">
        <f>"00406750"</f>
        <v>00406750</v>
      </c>
    </row>
    <row r="9344" spans="1:2" x14ac:dyDescent="0.25">
      <c r="A9344" s="2">
        <v>9339</v>
      </c>
      <c r="B9344" s="3" t="str">
        <f>"00406848"</f>
        <v>00406848</v>
      </c>
    </row>
    <row r="9345" spans="1:2" x14ac:dyDescent="0.25">
      <c r="A9345" s="2">
        <v>9340</v>
      </c>
      <c r="B9345" s="3" t="str">
        <f>"00406943"</f>
        <v>00406943</v>
      </c>
    </row>
    <row r="9346" spans="1:2" x14ac:dyDescent="0.25">
      <c r="A9346" s="2">
        <v>9341</v>
      </c>
      <c r="B9346" s="3" t="str">
        <f>"00407057"</f>
        <v>00407057</v>
      </c>
    </row>
    <row r="9347" spans="1:2" x14ac:dyDescent="0.25">
      <c r="A9347" s="2">
        <v>9342</v>
      </c>
      <c r="B9347" s="3" t="str">
        <f>"00407099"</f>
        <v>00407099</v>
      </c>
    </row>
    <row r="9348" spans="1:2" x14ac:dyDescent="0.25">
      <c r="A9348" s="2">
        <v>9343</v>
      </c>
      <c r="B9348" s="3" t="str">
        <f>"00407151"</f>
        <v>00407151</v>
      </c>
    </row>
    <row r="9349" spans="1:2" x14ac:dyDescent="0.25">
      <c r="A9349" s="2">
        <v>9344</v>
      </c>
      <c r="B9349" s="3" t="str">
        <f>"00407216"</f>
        <v>00407216</v>
      </c>
    </row>
    <row r="9350" spans="1:2" x14ac:dyDescent="0.25">
      <c r="A9350" s="2">
        <v>9345</v>
      </c>
      <c r="B9350" s="3" t="str">
        <f>"00407262"</f>
        <v>00407262</v>
      </c>
    </row>
    <row r="9351" spans="1:2" x14ac:dyDescent="0.25">
      <c r="A9351" s="2">
        <v>9346</v>
      </c>
      <c r="B9351" s="3" t="str">
        <f>"00407269"</f>
        <v>00407269</v>
      </c>
    </row>
    <row r="9352" spans="1:2" x14ac:dyDescent="0.25">
      <c r="A9352" s="2">
        <v>9347</v>
      </c>
      <c r="B9352" s="3" t="str">
        <f>"00407312"</f>
        <v>00407312</v>
      </c>
    </row>
    <row r="9353" spans="1:2" x14ac:dyDescent="0.25">
      <c r="A9353" s="2">
        <v>9348</v>
      </c>
      <c r="B9353" s="3" t="str">
        <f>"00407380"</f>
        <v>00407380</v>
      </c>
    </row>
    <row r="9354" spans="1:2" x14ac:dyDescent="0.25">
      <c r="A9354" s="2">
        <v>9349</v>
      </c>
      <c r="B9354" s="3" t="str">
        <f>"00407417"</f>
        <v>00407417</v>
      </c>
    </row>
    <row r="9355" spans="1:2" x14ac:dyDescent="0.25">
      <c r="A9355" s="2">
        <v>9350</v>
      </c>
      <c r="B9355" s="3" t="str">
        <f>"00407548"</f>
        <v>00407548</v>
      </c>
    </row>
    <row r="9356" spans="1:2" x14ac:dyDescent="0.25">
      <c r="A9356" s="2">
        <v>9351</v>
      </c>
      <c r="B9356" s="3" t="str">
        <f>"00407638"</f>
        <v>00407638</v>
      </c>
    </row>
    <row r="9357" spans="1:2" x14ac:dyDescent="0.25">
      <c r="A9357" s="2">
        <v>9352</v>
      </c>
      <c r="B9357" s="3" t="str">
        <f>"00407645"</f>
        <v>00407645</v>
      </c>
    </row>
    <row r="9358" spans="1:2" x14ac:dyDescent="0.25">
      <c r="A9358" s="2">
        <v>9353</v>
      </c>
      <c r="B9358" s="3" t="str">
        <f>"00407838"</f>
        <v>00407838</v>
      </c>
    </row>
    <row r="9359" spans="1:2" x14ac:dyDescent="0.25">
      <c r="A9359" s="2">
        <v>9354</v>
      </c>
      <c r="B9359" s="3" t="str">
        <f>"00407936"</f>
        <v>00407936</v>
      </c>
    </row>
    <row r="9360" spans="1:2" x14ac:dyDescent="0.25">
      <c r="A9360" s="2">
        <v>9355</v>
      </c>
      <c r="B9360" s="3" t="str">
        <f>"00408166"</f>
        <v>00408166</v>
      </c>
    </row>
    <row r="9361" spans="1:2" x14ac:dyDescent="0.25">
      <c r="A9361" s="2">
        <v>9356</v>
      </c>
      <c r="B9361" s="3" t="str">
        <f>"00408197"</f>
        <v>00408197</v>
      </c>
    </row>
    <row r="9362" spans="1:2" x14ac:dyDescent="0.25">
      <c r="A9362" s="2">
        <v>9357</v>
      </c>
      <c r="B9362" s="3" t="str">
        <f>"00408215"</f>
        <v>00408215</v>
      </c>
    </row>
    <row r="9363" spans="1:2" x14ac:dyDescent="0.25">
      <c r="A9363" s="2">
        <v>9358</v>
      </c>
      <c r="B9363" s="3" t="str">
        <f>"00408363"</f>
        <v>00408363</v>
      </c>
    </row>
    <row r="9364" spans="1:2" x14ac:dyDescent="0.25">
      <c r="A9364" s="2">
        <v>9359</v>
      </c>
      <c r="B9364" s="3" t="str">
        <f>"00408384"</f>
        <v>00408384</v>
      </c>
    </row>
    <row r="9365" spans="1:2" x14ac:dyDescent="0.25">
      <c r="A9365" s="2">
        <v>9360</v>
      </c>
      <c r="B9365" s="3" t="str">
        <f>"00408581"</f>
        <v>00408581</v>
      </c>
    </row>
    <row r="9366" spans="1:2" x14ac:dyDescent="0.25">
      <c r="A9366" s="2">
        <v>9361</v>
      </c>
      <c r="B9366" s="3" t="str">
        <f>"00408626"</f>
        <v>00408626</v>
      </c>
    </row>
    <row r="9367" spans="1:2" x14ac:dyDescent="0.25">
      <c r="A9367" s="2">
        <v>9362</v>
      </c>
      <c r="B9367" s="3" t="str">
        <f>"00408666"</f>
        <v>00408666</v>
      </c>
    </row>
    <row r="9368" spans="1:2" x14ac:dyDescent="0.25">
      <c r="A9368" s="2">
        <v>9363</v>
      </c>
      <c r="B9368" s="3" t="str">
        <f>"00408686"</f>
        <v>00408686</v>
      </c>
    </row>
    <row r="9369" spans="1:2" x14ac:dyDescent="0.25">
      <c r="A9369" s="2">
        <v>9364</v>
      </c>
      <c r="B9369" s="3" t="str">
        <f>"00408835"</f>
        <v>00408835</v>
      </c>
    </row>
    <row r="9370" spans="1:2" x14ac:dyDescent="0.25">
      <c r="A9370" s="2">
        <v>9365</v>
      </c>
      <c r="B9370" s="3" t="str">
        <f>"00408872"</f>
        <v>00408872</v>
      </c>
    </row>
    <row r="9371" spans="1:2" x14ac:dyDescent="0.25">
      <c r="A9371" s="2">
        <v>9366</v>
      </c>
      <c r="B9371" s="3" t="str">
        <f>"00408954"</f>
        <v>00408954</v>
      </c>
    </row>
    <row r="9372" spans="1:2" x14ac:dyDescent="0.25">
      <c r="A9372" s="2">
        <v>9367</v>
      </c>
      <c r="B9372" s="3" t="str">
        <f>"00409108"</f>
        <v>00409108</v>
      </c>
    </row>
    <row r="9373" spans="1:2" x14ac:dyDescent="0.25">
      <c r="A9373" s="2">
        <v>9368</v>
      </c>
      <c r="B9373" s="3" t="str">
        <f>"00409156"</f>
        <v>00409156</v>
      </c>
    </row>
    <row r="9374" spans="1:2" x14ac:dyDescent="0.25">
      <c r="A9374" s="2">
        <v>9369</v>
      </c>
      <c r="B9374" s="3" t="str">
        <f>"00409448"</f>
        <v>00409448</v>
      </c>
    </row>
    <row r="9375" spans="1:2" x14ac:dyDescent="0.25">
      <c r="A9375" s="2">
        <v>9370</v>
      </c>
      <c r="B9375" s="3" t="str">
        <f>"00409471"</f>
        <v>00409471</v>
      </c>
    </row>
    <row r="9376" spans="1:2" x14ac:dyDescent="0.25">
      <c r="A9376" s="2">
        <v>9371</v>
      </c>
      <c r="B9376" s="3" t="str">
        <f>"00409480"</f>
        <v>00409480</v>
      </c>
    </row>
    <row r="9377" spans="1:2" x14ac:dyDescent="0.25">
      <c r="A9377" s="2">
        <v>9372</v>
      </c>
      <c r="B9377" s="3" t="str">
        <f>"00409505"</f>
        <v>00409505</v>
      </c>
    </row>
    <row r="9378" spans="1:2" x14ac:dyDescent="0.25">
      <c r="A9378" s="2">
        <v>9373</v>
      </c>
      <c r="B9378" s="3" t="str">
        <f>"00409663"</f>
        <v>00409663</v>
      </c>
    </row>
    <row r="9379" spans="1:2" x14ac:dyDescent="0.25">
      <c r="A9379" s="2">
        <v>9374</v>
      </c>
      <c r="B9379" s="3" t="str">
        <f>"00409700"</f>
        <v>00409700</v>
      </c>
    </row>
    <row r="9380" spans="1:2" x14ac:dyDescent="0.25">
      <c r="A9380" s="2">
        <v>9375</v>
      </c>
      <c r="B9380" s="3" t="str">
        <f>"00409708"</f>
        <v>00409708</v>
      </c>
    </row>
    <row r="9381" spans="1:2" x14ac:dyDescent="0.25">
      <c r="A9381" s="2">
        <v>9376</v>
      </c>
      <c r="B9381" s="3" t="str">
        <f>"00409767"</f>
        <v>00409767</v>
      </c>
    </row>
    <row r="9382" spans="1:2" x14ac:dyDescent="0.25">
      <c r="A9382" s="2">
        <v>9377</v>
      </c>
      <c r="B9382" s="3" t="str">
        <f>"00409792"</f>
        <v>00409792</v>
      </c>
    </row>
    <row r="9383" spans="1:2" x14ac:dyDescent="0.25">
      <c r="A9383" s="2">
        <v>9378</v>
      </c>
      <c r="B9383" s="3" t="str">
        <f>"00409863"</f>
        <v>00409863</v>
      </c>
    </row>
    <row r="9384" spans="1:2" x14ac:dyDescent="0.25">
      <c r="A9384" s="2">
        <v>9379</v>
      </c>
      <c r="B9384" s="3" t="str">
        <f>"00409985"</f>
        <v>00409985</v>
      </c>
    </row>
    <row r="9385" spans="1:2" x14ac:dyDescent="0.25">
      <c r="A9385" s="2">
        <v>9380</v>
      </c>
      <c r="B9385" s="3" t="str">
        <f>"00410039"</f>
        <v>00410039</v>
      </c>
    </row>
    <row r="9386" spans="1:2" x14ac:dyDescent="0.25">
      <c r="A9386" s="2">
        <v>9381</v>
      </c>
      <c r="B9386" s="3" t="str">
        <f>"00410345"</f>
        <v>00410345</v>
      </c>
    </row>
    <row r="9387" spans="1:2" x14ac:dyDescent="0.25">
      <c r="A9387" s="2">
        <v>9382</v>
      </c>
      <c r="B9387" s="3" t="str">
        <f>"00410447"</f>
        <v>00410447</v>
      </c>
    </row>
    <row r="9388" spans="1:2" x14ac:dyDescent="0.25">
      <c r="A9388" s="2">
        <v>9383</v>
      </c>
      <c r="B9388" s="3" t="str">
        <f>"00410466"</f>
        <v>00410466</v>
      </c>
    </row>
    <row r="9389" spans="1:2" x14ac:dyDescent="0.25">
      <c r="A9389" s="2">
        <v>9384</v>
      </c>
      <c r="B9389" s="3" t="str">
        <f>"00410715"</f>
        <v>00410715</v>
      </c>
    </row>
    <row r="9390" spans="1:2" x14ac:dyDescent="0.25">
      <c r="A9390" s="2">
        <v>9385</v>
      </c>
      <c r="B9390" s="3" t="str">
        <f>"00410741"</f>
        <v>00410741</v>
      </c>
    </row>
    <row r="9391" spans="1:2" x14ac:dyDescent="0.25">
      <c r="A9391" s="2">
        <v>9386</v>
      </c>
      <c r="B9391" s="3" t="str">
        <f>"00410849"</f>
        <v>00410849</v>
      </c>
    </row>
    <row r="9392" spans="1:2" x14ac:dyDescent="0.25">
      <c r="A9392" s="2">
        <v>9387</v>
      </c>
      <c r="B9392" s="3" t="str">
        <f>"00410853"</f>
        <v>00410853</v>
      </c>
    </row>
    <row r="9393" spans="1:2" x14ac:dyDescent="0.25">
      <c r="A9393" s="2">
        <v>9388</v>
      </c>
      <c r="B9393" s="3" t="str">
        <f>"00410892"</f>
        <v>00410892</v>
      </c>
    </row>
    <row r="9394" spans="1:2" x14ac:dyDescent="0.25">
      <c r="A9394" s="2">
        <v>9389</v>
      </c>
      <c r="B9394" s="3" t="str">
        <f>"00410919"</f>
        <v>00410919</v>
      </c>
    </row>
    <row r="9395" spans="1:2" x14ac:dyDescent="0.25">
      <c r="A9395" s="2">
        <v>9390</v>
      </c>
      <c r="B9395" s="3" t="str">
        <f>"00410991"</f>
        <v>00410991</v>
      </c>
    </row>
    <row r="9396" spans="1:2" x14ac:dyDescent="0.25">
      <c r="A9396" s="2">
        <v>9391</v>
      </c>
      <c r="B9396" s="3" t="str">
        <f>"00411100"</f>
        <v>00411100</v>
      </c>
    </row>
    <row r="9397" spans="1:2" x14ac:dyDescent="0.25">
      <c r="A9397" s="2">
        <v>9392</v>
      </c>
      <c r="B9397" s="3" t="str">
        <f>"00411131"</f>
        <v>00411131</v>
      </c>
    </row>
    <row r="9398" spans="1:2" x14ac:dyDescent="0.25">
      <c r="A9398" s="2">
        <v>9393</v>
      </c>
      <c r="B9398" s="3" t="str">
        <f>"00411135"</f>
        <v>00411135</v>
      </c>
    </row>
    <row r="9399" spans="1:2" x14ac:dyDescent="0.25">
      <c r="A9399" s="2">
        <v>9394</v>
      </c>
      <c r="B9399" s="3" t="str">
        <f>"00411197"</f>
        <v>00411197</v>
      </c>
    </row>
    <row r="9400" spans="1:2" x14ac:dyDescent="0.25">
      <c r="A9400" s="2">
        <v>9395</v>
      </c>
      <c r="B9400" s="3" t="str">
        <f>"00411305"</f>
        <v>00411305</v>
      </c>
    </row>
    <row r="9401" spans="1:2" x14ac:dyDescent="0.25">
      <c r="A9401" s="2">
        <v>9396</v>
      </c>
      <c r="B9401" s="3" t="str">
        <f>"00411323"</f>
        <v>00411323</v>
      </c>
    </row>
    <row r="9402" spans="1:2" x14ac:dyDescent="0.25">
      <c r="A9402" s="2">
        <v>9397</v>
      </c>
      <c r="B9402" s="3" t="str">
        <f>"00411436"</f>
        <v>00411436</v>
      </c>
    </row>
    <row r="9403" spans="1:2" x14ac:dyDescent="0.25">
      <c r="A9403" s="2">
        <v>9398</v>
      </c>
      <c r="B9403" s="3" t="str">
        <f>"00411467"</f>
        <v>00411467</v>
      </c>
    </row>
    <row r="9404" spans="1:2" x14ac:dyDescent="0.25">
      <c r="A9404" s="2">
        <v>9399</v>
      </c>
      <c r="B9404" s="3" t="str">
        <f>"00411470"</f>
        <v>00411470</v>
      </c>
    </row>
    <row r="9405" spans="1:2" x14ac:dyDescent="0.25">
      <c r="A9405" s="2">
        <v>9400</v>
      </c>
      <c r="B9405" s="3" t="str">
        <f>"00411587"</f>
        <v>00411587</v>
      </c>
    </row>
    <row r="9406" spans="1:2" x14ac:dyDescent="0.25">
      <c r="A9406" s="2">
        <v>9401</v>
      </c>
      <c r="B9406" s="3" t="str">
        <f>"00415189"</f>
        <v>00415189</v>
      </c>
    </row>
    <row r="9407" spans="1:2" x14ac:dyDescent="0.25">
      <c r="A9407" s="2">
        <v>9402</v>
      </c>
      <c r="B9407" s="3" t="str">
        <f>"00415207"</f>
        <v>00415207</v>
      </c>
    </row>
    <row r="9408" spans="1:2" x14ac:dyDescent="0.25">
      <c r="A9408" s="2">
        <v>9403</v>
      </c>
      <c r="B9408" s="3" t="str">
        <f>"00415296"</f>
        <v>00415296</v>
      </c>
    </row>
    <row r="9409" spans="1:2" x14ac:dyDescent="0.25">
      <c r="A9409" s="2">
        <v>9404</v>
      </c>
      <c r="B9409" s="3" t="str">
        <f>"00415349"</f>
        <v>00415349</v>
      </c>
    </row>
    <row r="9410" spans="1:2" x14ac:dyDescent="0.25">
      <c r="A9410" s="2">
        <v>9405</v>
      </c>
      <c r="B9410" s="3" t="str">
        <f>"00415378"</f>
        <v>00415378</v>
      </c>
    </row>
    <row r="9411" spans="1:2" x14ac:dyDescent="0.25">
      <c r="A9411" s="2">
        <v>9406</v>
      </c>
      <c r="B9411" s="3" t="str">
        <f>"00415476"</f>
        <v>00415476</v>
      </c>
    </row>
    <row r="9412" spans="1:2" x14ac:dyDescent="0.25">
      <c r="A9412" s="2">
        <v>9407</v>
      </c>
      <c r="B9412" s="3" t="str">
        <f>"00415532"</f>
        <v>00415532</v>
      </c>
    </row>
    <row r="9413" spans="1:2" x14ac:dyDescent="0.25">
      <c r="A9413" s="2">
        <v>9408</v>
      </c>
      <c r="B9413" s="3" t="str">
        <f>"00415564"</f>
        <v>00415564</v>
      </c>
    </row>
    <row r="9414" spans="1:2" x14ac:dyDescent="0.25">
      <c r="A9414" s="2">
        <v>9409</v>
      </c>
      <c r="B9414" s="3" t="str">
        <f>"00415639"</f>
        <v>00415639</v>
      </c>
    </row>
    <row r="9415" spans="1:2" x14ac:dyDescent="0.25">
      <c r="A9415" s="2">
        <v>9410</v>
      </c>
      <c r="B9415" s="3" t="str">
        <f>"00415755"</f>
        <v>00415755</v>
      </c>
    </row>
    <row r="9416" spans="1:2" x14ac:dyDescent="0.25">
      <c r="A9416" s="2">
        <v>9411</v>
      </c>
      <c r="B9416" s="3" t="str">
        <f>"00415823"</f>
        <v>00415823</v>
      </c>
    </row>
    <row r="9417" spans="1:2" x14ac:dyDescent="0.25">
      <c r="A9417" s="2">
        <v>9412</v>
      </c>
      <c r="B9417" s="3" t="str">
        <f>"00416126"</f>
        <v>00416126</v>
      </c>
    </row>
    <row r="9418" spans="1:2" x14ac:dyDescent="0.25">
      <c r="A9418" s="2">
        <v>9413</v>
      </c>
      <c r="B9418" s="3" t="str">
        <f>"00416131"</f>
        <v>00416131</v>
      </c>
    </row>
    <row r="9419" spans="1:2" x14ac:dyDescent="0.25">
      <c r="A9419" s="2">
        <v>9414</v>
      </c>
      <c r="B9419" s="3" t="str">
        <f>"00416225"</f>
        <v>00416225</v>
      </c>
    </row>
    <row r="9420" spans="1:2" x14ac:dyDescent="0.25">
      <c r="A9420" s="2">
        <v>9415</v>
      </c>
      <c r="B9420" s="3" t="str">
        <f>"00416467"</f>
        <v>00416467</v>
      </c>
    </row>
    <row r="9421" spans="1:2" x14ac:dyDescent="0.25">
      <c r="A9421" s="2">
        <v>9416</v>
      </c>
      <c r="B9421" s="3" t="str">
        <f>"00416469"</f>
        <v>00416469</v>
      </c>
    </row>
    <row r="9422" spans="1:2" x14ac:dyDescent="0.25">
      <c r="A9422" s="2">
        <v>9417</v>
      </c>
      <c r="B9422" s="3" t="str">
        <f>"00416649"</f>
        <v>00416649</v>
      </c>
    </row>
    <row r="9423" spans="1:2" x14ac:dyDescent="0.25">
      <c r="A9423" s="2">
        <v>9418</v>
      </c>
      <c r="B9423" s="3" t="str">
        <f>"00416666"</f>
        <v>00416666</v>
      </c>
    </row>
    <row r="9424" spans="1:2" x14ac:dyDescent="0.25">
      <c r="A9424" s="2">
        <v>9419</v>
      </c>
      <c r="B9424" s="3" t="str">
        <f>"00416793"</f>
        <v>00416793</v>
      </c>
    </row>
    <row r="9425" spans="1:2" x14ac:dyDescent="0.25">
      <c r="A9425" s="2">
        <v>9420</v>
      </c>
      <c r="B9425" s="3" t="str">
        <f>"00416846"</f>
        <v>00416846</v>
      </c>
    </row>
    <row r="9426" spans="1:2" x14ac:dyDescent="0.25">
      <c r="A9426" s="2">
        <v>9421</v>
      </c>
      <c r="B9426" s="3" t="str">
        <f>"00416920"</f>
        <v>00416920</v>
      </c>
    </row>
    <row r="9427" spans="1:2" x14ac:dyDescent="0.25">
      <c r="A9427" s="2">
        <v>9422</v>
      </c>
      <c r="B9427" s="3" t="str">
        <f>"00416922"</f>
        <v>00416922</v>
      </c>
    </row>
    <row r="9428" spans="1:2" x14ac:dyDescent="0.25">
      <c r="A9428" s="2">
        <v>9423</v>
      </c>
      <c r="B9428" s="3" t="str">
        <f>"00417300"</f>
        <v>00417300</v>
      </c>
    </row>
    <row r="9429" spans="1:2" x14ac:dyDescent="0.25">
      <c r="A9429" s="2">
        <v>9424</v>
      </c>
      <c r="B9429" s="3" t="str">
        <f>"00417385"</f>
        <v>00417385</v>
      </c>
    </row>
    <row r="9430" spans="1:2" x14ac:dyDescent="0.25">
      <c r="A9430" s="2">
        <v>9425</v>
      </c>
      <c r="B9430" s="3" t="str">
        <f>"00417631"</f>
        <v>00417631</v>
      </c>
    </row>
    <row r="9431" spans="1:2" x14ac:dyDescent="0.25">
      <c r="A9431" s="2">
        <v>9426</v>
      </c>
      <c r="B9431" s="3" t="str">
        <f>"00417702"</f>
        <v>00417702</v>
      </c>
    </row>
    <row r="9432" spans="1:2" x14ac:dyDescent="0.25">
      <c r="A9432" s="2">
        <v>9427</v>
      </c>
      <c r="B9432" s="3" t="str">
        <f>"00417720"</f>
        <v>00417720</v>
      </c>
    </row>
    <row r="9433" spans="1:2" x14ac:dyDescent="0.25">
      <c r="A9433" s="2">
        <v>9428</v>
      </c>
      <c r="B9433" s="3" t="str">
        <f>"00417865"</f>
        <v>00417865</v>
      </c>
    </row>
    <row r="9434" spans="1:2" x14ac:dyDescent="0.25">
      <c r="A9434" s="2">
        <v>9429</v>
      </c>
      <c r="B9434" s="3" t="str">
        <f>"00417965"</f>
        <v>00417965</v>
      </c>
    </row>
    <row r="9435" spans="1:2" x14ac:dyDescent="0.25">
      <c r="A9435" s="2">
        <v>9430</v>
      </c>
      <c r="B9435" s="3" t="str">
        <f>"00418097"</f>
        <v>00418097</v>
      </c>
    </row>
    <row r="9436" spans="1:2" x14ac:dyDescent="0.25">
      <c r="A9436" s="2">
        <v>9431</v>
      </c>
      <c r="B9436" s="3" t="str">
        <f>"00418115"</f>
        <v>00418115</v>
      </c>
    </row>
    <row r="9437" spans="1:2" x14ac:dyDescent="0.25">
      <c r="A9437" s="2">
        <v>9432</v>
      </c>
      <c r="B9437" s="3" t="str">
        <f>"00418152"</f>
        <v>00418152</v>
      </c>
    </row>
    <row r="9438" spans="1:2" x14ac:dyDescent="0.25">
      <c r="A9438" s="2">
        <v>9433</v>
      </c>
      <c r="B9438" s="3" t="str">
        <f>"00418286"</f>
        <v>00418286</v>
      </c>
    </row>
    <row r="9439" spans="1:2" x14ac:dyDescent="0.25">
      <c r="A9439" s="2">
        <v>9434</v>
      </c>
      <c r="B9439" s="3" t="str">
        <f>"00418381"</f>
        <v>00418381</v>
      </c>
    </row>
    <row r="9440" spans="1:2" x14ac:dyDescent="0.25">
      <c r="A9440" s="2">
        <v>9435</v>
      </c>
      <c r="B9440" s="3" t="str">
        <f>"00418465"</f>
        <v>00418465</v>
      </c>
    </row>
    <row r="9441" spans="1:2" x14ac:dyDescent="0.25">
      <c r="A9441" s="2">
        <v>9436</v>
      </c>
      <c r="B9441" s="3" t="str">
        <f>"00418545"</f>
        <v>00418545</v>
      </c>
    </row>
    <row r="9442" spans="1:2" x14ac:dyDescent="0.25">
      <c r="A9442" s="2">
        <v>9437</v>
      </c>
      <c r="B9442" s="3" t="str">
        <f>"00418627"</f>
        <v>00418627</v>
      </c>
    </row>
    <row r="9443" spans="1:2" x14ac:dyDescent="0.25">
      <c r="A9443" s="2">
        <v>9438</v>
      </c>
      <c r="B9443" s="3" t="str">
        <f>"00418642"</f>
        <v>00418642</v>
      </c>
    </row>
    <row r="9444" spans="1:2" x14ac:dyDescent="0.25">
      <c r="A9444" s="2">
        <v>9439</v>
      </c>
      <c r="B9444" s="3" t="str">
        <f>"00418706"</f>
        <v>00418706</v>
      </c>
    </row>
    <row r="9445" spans="1:2" x14ac:dyDescent="0.25">
      <c r="A9445" s="2">
        <v>9440</v>
      </c>
      <c r="B9445" s="3" t="str">
        <f>"00418714"</f>
        <v>00418714</v>
      </c>
    </row>
    <row r="9446" spans="1:2" x14ac:dyDescent="0.25">
      <c r="A9446" s="2">
        <v>9441</v>
      </c>
      <c r="B9446" s="3" t="str">
        <f>"00418904"</f>
        <v>00418904</v>
      </c>
    </row>
    <row r="9447" spans="1:2" x14ac:dyDescent="0.25">
      <c r="A9447" s="2">
        <v>9442</v>
      </c>
      <c r="B9447" s="3" t="str">
        <f>"00419051"</f>
        <v>00419051</v>
      </c>
    </row>
    <row r="9448" spans="1:2" x14ac:dyDescent="0.25">
      <c r="A9448" s="2">
        <v>9443</v>
      </c>
      <c r="B9448" s="3" t="str">
        <f>"00419073"</f>
        <v>00419073</v>
      </c>
    </row>
    <row r="9449" spans="1:2" x14ac:dyDescent="0.25">
      <c r="A9449" s="2">
        <v>9444</v>
      </c>
      <c r="B9449" s="3" t="str">
        <f>"00419156"</f>
        <v>00419156</v>
      </c>
    </row>
    <row r="9450" spans="1:2" x14ac:dyDescent="0.25">
      <c r="A9450" s="2">
        <v>9445</v>
      </c>
      <c r="B9450" s="3" t="str">
        <f>"00419158"</f>
        <v>00419158</v>
      </c>
    </row>
    <row r="9451" spans="1:2" x14ac:dyDescent="0.25">
      <c r="A9451" s="2">
        <v>9446</v>
      </c>
      <c r="B9451" s="3" t="str">
        <f>"00419172"</f>
        <v>00419172</v>
      </c>
    </row>
    <row r="9452" spans="1:2" x14ac:dyDescent="0.25">
      <c r="A9452" s="2">
        <v>9447</v>
      </c>
      <c r="B9452" s="3" t="str">
        <f>"00419470"</f>
        <v>00419470</v>
      </c>
    </row>
    <row r="9453" spans="1:2" x14ac:dyDescent="0.25">
      <c r="A9453" s="2">
        <v>9448</v>
      </c>
      <c r="B9453" s="3" t="str">
        <f>"00419559"</f>
        <v>00419559</v>
      </c>
    </row>
    <row r="9454" spans="1:2" x14ac:dyDescent="0.25">
      <c r="A9454" s="2">
        <v>9449</v>
      </c>
      <c r="B9454" s="3" t="str">
        <f>"00419667"</f>
        <v>00419667</v>
      </c>
    </row>
    <row r="9455" spans="1:2" x14ac:dyDescent="0.25">
      <c r="A9455" s="2">
        <v>9450</v>
      </c>
      <c r="B9455" s="3" t="str">
        <f>"00419675"</f>
        <v>00419675</v>
      </c>
    </row>
    <row r="9456" spans="1:2" x14ac:dyDescent="0.25">
      <c r="A9456" s="2">
        <v>9451</v>
      </c>
      <c r="B9456" s="3" t="str">
        <f>"00419691"</f>
        <v>00419691</v>
      </c>
    </row>
    <row r="9457" spans="1:2" x14ac:dyDescent="0.25">
      <c r="A9457" s="2">
        <v>9452</v>
      </c>
      <c r="B9457" s="3" t="str">
        <f>"00419754"</f>
        <v>00419754</v>
      </c>
    </row>
    <row r="9458" spans="1:2" x14ac:dyDescent="0.25">
      <c r="A9458" s="2">
        <v>9453</v>
      </c>
      <c r="B9458" s="3" t="str">
        <f>"00420130"</f>
        <v>00420130</v>
      </c>
    </row>
    <row r="9459" spans="1:2" x14ac:dyDescent="0.25">
      <c r="A9459" s="2">
        <v>9454</v>
      </c>
      <c r="B9459" s="3" t="str">
        <f>"00420423"</f>
        <v>00420423</v>
      </c>
    </row>
    <row r="9460" spans="1:2" x14ac:dyDescent="0.25">
      <c r="A9460" s="2">
        <v>9455</v>
      </c>
      <c r="B9460" s="3" t="str">
        <f>"00420565"</f>
        <v>00420565</v>
      </c>
    </row>
    <row r="9461" spans="1:2" x14ac:dyDescent="0.25">
      <c r="A9461" s="2">
        <v>9456</v>
      </c>
      <c r="B9461" s="3" t="str">
        <f>"00420594"</f>
        <v>00420594</v>
      </c>
    </row>
    <row r="9462" spans="1:2" x14ac:dyDescent="0.25">
      <c r="A9462" s="2">
        <v>9457</v>
      </c>
      <c r="B9462" s="3" t="str">
        <f>"00420778"</f>
        <v>00420778</v>
      </c>
    </row>
    <row r="9463" spans="1:2" x14ac:dyDescent="0.25">
      <c r="A9463" s="2">
        <v>9458</v>
      </c>
      <c r="B9463" s="3" t="str">
        <f>"00420782"</f>
        <v>00420782</v>
      </c>
    </row>
    <row r="9464" spans="1:2" x14ac:dyDescent="0.25">
      <c r="A9464" s="2">
        <v>9459</v>
      </c>
      <c r="B9464" s="3" t="str">
        <f>"00420871"</f>
        <v>00420871</v>
      </c>
    </row>
    <row r="9465" spans="1:2" x14ac:dyDescent="0.25">
      <c r="A9465" s="2">
        <v>9460</v>
      </c>
      <c r="B9465" s="3" t="str">
        <f>"00420902"</f>
        <v>00420902</v>
      </c>
    </row>
    <row r="9466" spans="1:2" x14ac:dyDescent="0.25">
      <c r="A9466" s="2">
        <v>9461</v>
      </c>
      <c r="B9466" s="3" t="str">
        <f>"00421021"</f>
        <v>00421021</v>
      </c>
    </row>
    <row r="9467" spans="1:2" x14ac:dyDescent="0.25">
      <c r="A9467" s="2">
        <v>9462</v>
      </c>
      <c r="B9467" s="3" t="str">
        <f>"00421097"</f>
        <v>00421097</v>
      </c>
    </row>
    <row r="9468" spans="1:2" x14ac:dyDescent="0.25">
      <c r="A9468" s="2">
        <v>9463</v>
      </c>
      <c r="B9468" s="3" t="str">
        <f>"00421144"</f>
        <v>00421144</v>
      </c>
    </row>
    <row r="9469" spans="1:2" x14ac:dyDescent="0.25">
      <c r="A9469" s="2">
        <v>9464</v>
      </c>
      <c r="B9469" s="3" t="str">
        <f>"00421145"</f>
        <v>00421145</v>
      </c>
    </row>
    <row r="9470" spans="1:2" x14ac:dyDescent="0.25">
      <c r="A9470" s="2">
        <v>9465</v>
      </c>
      <c r="B9470" s="3" t="str">
        <f>"00421234"</f>
        <v>00421234</v>
      </c>
    </row>
    <row r="9471" spans="1:2" x14ac:dyDescent="0.25">
      <c r="A9471" s="2">
        <v>9466</v>
      </c>
      <c r="B9471" s="3" t="str">
        <f>"00421258"</f>
        <v>00421258</v>
      </c>
    </row>
    <row r="9472" spans="1:2" x14ac:dyDescent="0.25">
      <c r="A9472" s="2">
        <v>9467</v>
      </c>
      <c r="B9472" s="3" t="str">
        <f>"00421402"</f>
        <v>00421402</v>
      </c>
    </row>
    <row r="9473" spans="1:2" x14ac:dyDescent="0.25">
      <c r="A9473" s="2">
        <v>9468</v>
      </c>
      <c r="B9473" s="3" t="str">
        <f>"00421608"</f>
        <v>00421608</v>
      </c>
    </row>
    <row r="9474" spans="1:2" x14ac:dyDescent="0.25">
      <c r="A9474" s="2">
        <v>9469</v>
      </c>
      <c r="B9474" s="3" t="str">
        <f>"00421620"</f>
        <v>00421620</v>
      </c>
    </row>
    <row r="9475" spans="1:2" x14ac:dyDescent="0.25">
      <c r="A9475" s="2">
        <v>9470</v>
      </c>
      <c r="B9475" s="3" t="str">
        <f>"00421656"</f>
        <v>00421656</v>
      </c>
    </row>
    <row r="9476" spans="1:2" x14ac:dyDescent="0.25">
      <c r="A9476" s="2">
        <v>9471</v>
      </c>
      <c r="B9476" s="3" t="str">
        <f>"00421740"</f>
        <v>00421740</v>
      </c>
    </row>
    <row r="9477" spans="1:2" x14ac:dyDescent="0.25">
      <c r="A9477" s="2">
        <v>9472</v>
      </c>
      <c r="B9477" s="3" t="str">
        <f>"00421775"</f>
        <v>00421775</v>
      </c>
    </row>
    <row r="9478" spans="1:2" x14ac:dyDescent="0.25">
      <c r="A9478" s="2">
        <v>9473</v>
      </c>
      <c r="B9478" s="3" t="str">
        <f>"00421881"</f>
        <v>00421881</v>
      </c>
    </row>
    <row r="9479" spans="1:2" x14ac:dyDescent="0.25">
      <c r="A9479" s="2">
        <v>9474</v>
      </c>
      <c r="B9479" s="3" t="str">
        <f>"00421903"</f>
        <v>00421903</v>
      </c>
    </row>
    <row r="9480" spans="1:2" x14ac:dyDescent="0.25">
      <c r="A9480" s="2">
        <v>9475</v>
      </c>
      <c r="B9480" s="3" t="str">
        <f>"00421954"</f>
        <v>00421954</v>
      </c>
    </row>
    <row r="9481" spans="1:2" x14ac:dyDescent="0.25">
      <c r="A9481" s="2">
        <v>9476</v>
      </c>
      <c r="B9481" s="3" t="str">
        <f>"00422010"</f>
        <v>00422010</v>
      </c>
    </row>
    <row r="9482" spans="1:2" x14ac:dyDescent="0.25">
      <c r="A9482" s="2">
        <v>9477</v>
      </c>
      <c r="B9482" s="3" t="str">
        <f>"00422106"</f>
        <v>00422106</v>
      </c>
    </row>
    <row r="9483" spans="1:2" x14ac:dyDescent="0.25">
      <c r="A9483" s="2">
        <v>9478</v>
      </c>
      <c r="B9483" s="3" t="str">
        <f>"00422154"</f>
        <v>00422154</v>
      </c>
    </row>
    <row r="9484" spans="1:2" x14ac:dyDescent="0.25">
      <c r="A9484" s="2">
        <v>9479</v>
      </c>
      <c r="B9484" s="3" t="str">
        <f>"00422303"</f>
        <v>00422303</v>
      </c>
    </row>
    <row r="9485" spans="1:2" x14ac:dyDescent="0.25">
      <c r="A9485" s="2">
        <v>9480</v>
      </c>
      <c r="B9485" s="3" t="str">
        <f>"00422327"</f>
        <v>00422327</v>
      </c>
    </row>
    <row r="9486" spans="1:2" x14ac:dyDescent="0.25">
      <c r="A9486" s="2">
        <v>9481</v>
      </c>
      <c r="B9486" s="3" t="str">
        <f>"00422568"</f>
        <v>00422568</v>
      </c>
    </row>
    <row r="9487" spans="1:2" x14ac:dyDescent="0.25">
      <c r="A9487" s="2">
        <v>9482</v>
      </c>
      <c r="B9487" s="3" t="str">
        <f>"00422617"</f>
        <v>00422617</v>
      </c>
    </row>
    <row r="9488" spans="1:2" x14ac:dyDescent="0.25">
      <c r="A9488" s="2">
        <v>9483</v>
      </c>
      <c r="B9488" s="3" t="str">
        <f>"00422787"</f>
        <v>00422787</v>
      </c>
    </row>
    <row r="9489" spans="1:2" x14ac:dyDescent="0.25">
      <c r="A9489" s="2">
        <v>9484</v>
      </c>
      <c r="B9489" s="3" t="str">
        <f>"00422918"</f>
        <v>00422918</v>
      </c>
    </row>
    <row r="9490" spans="1:2" x14ac:dyDescent="0.25">
      <c r="A9490" s="2">
        <v>9485</v>
      </c>
      <c r="B9490" s="3" t="str">
        <f>"00422942"</f>
        <v>00422942</v>
      </c>
    </row>
    <row r="9491" spans="1:2" x14ac:dyDescent="0.25">
      <c r="A9491" s="2">
        <v>9486</v>
      </c>
      <c r="B9491" s="3" t="str">
        <f>"00422992"</f>
        <v>00422992</v>
      </c>
    </row>
    <row r="9492" spans="1:2" x14ac:dyDescent="0.25">
      <c r="A9492" s="2">
        <v>9487</v>
      </c>
      <c r="B9492" s="3" t="str">
        <f>"00423025"</f>
        <v>00423025</v>
      </c>
    </row>
    <row r="9493" spans="1:2" x14ac:dyDescent="0.25">
      <c r="A9493" s="2">
        <v>9488</v>
      </c>
      <c r="B9493" s="3" t="str">
        <f>"00423046"</f>
        <v>00423046</v>
      </c>
    </row>
    <row r="9494" spans="1:2" x14ac:dyDescent="0.25">
      <c r="A9494" s="2">
        <v>9489</v>
      </c>
      <c r="B9494" s="3" t="str">
        <f>"00423113"</f>
        <v>00423113</v>
      </c>
    </row>
    <row r="9495" spans="1:2" x14ac:dyDescent="0.25">
      <c r="A9495" s="2">
        <v>9490</v>
      </c>
      <c r="B9495" s="3" t="str">
        <f>"00423320"</f>
        <v>00423320</v>
      </c>
    </row>
    <row r="9496" spans="1:2" x14ac:dyDescent="0.25">
      <c r="A9496" s="2">
        <v>9491</v>
      </c>
      <c r="B9496" s="3" t="str">
        <f>"00423410"</f>
        <v>00423410</v>
      </c>
    </row>
    <row r="9497" spans="1:2" x14ac:dyDescent="0.25">
      <c r="A9497" s="2">
        <v>9492</v>
      </c>
      <c r="B9497" s="3" t="str">
        <f>"00423749"</f>
        <v>00423749</v>
      </c>
    </row>
    <row r="9498" spans="1:2" x14ac:dyDescent="0.25">
      <c r="A9498" s="2">
        <v>9493</v>
      </c>
      <c r="B9498" s="3" t="str">
        <f>"00423953"</f>
        <v>00423953</v>
      </c>
    </row>
    <row r="9499" spans="1:2" x14ac:dyDescent="0.25">
      <c r="A9499" s="2">
        <v>9494</v>
      </c>
      <c r="B9499" s="3" t="str">
        <f>"00424069"</f>
        <v>00424069</v>
      </c>
    </row>
    <row r="9500" spans="1:2" x14ac:dyDescent="0.25">
      <c r="A9500" s="2">
        <v>9495</v>
      </c>
      <c r="B9500" s="3" t="str">
        <f>"00424122"</f>
        <v>00424122</v>
      </c>
    </row>
    <row r="9501" spans="1:2" x14ac:dyDescent="0.25">
      <c r="A9501" s="2">
        <v>9496</v>
      </c>
      <c r="B9501" s="3" t="str">
        <f>"00424232"</f>
        <v>00424232</v>
      </c>
    </row>
    <row r="9502" spans="1:2" x14ac:dyDescent="0.25">
      <c r="A9502" s="2">
        <v>9497</v>
      </c>
      <c r="B9502" s="3" t="str">
        <f>"00424278"</f>
        <v>00424278</v>
      </c>
    </row>
    <row r="9503" spans="1:2" x14ac:dyDescent="0.25">
      <c r="A9503" s="2">
        <v>9498</v>
      </c>
      <c r="B9503" s="3" t="str">
        <f>"00424283"</f>
        <v>00424283</v>
      </c>
    </row>
    <row r="9504" spans="1:2" x14ac:dyDescent="0.25">
      <c r="A9504" s="2">
        <v>9499</v>
      </c>
      <c r="B9504" s="3" t="str">
        <f>"00424433"</f>
        <v>00424433</v>
      </c>
    </row>
    <row r="9505" spans="1:2" x14ac:dyDescent="0.25">
      <c r="A9505" s="2">
        <v>9500</v>
      </c>
      <c r="B9505" s="3" t="str">
        <f>"00424489"</f>
        <v>00424489</v>
      </c>
    </row>
    <row r="9506" spans="1:2" x14ac:dyDescent="0.25">
      <c r="A9506" s="2">
        <v>9501</v>
      </c>
      <c r="B9506" s="3" t="str">
        <f>"00424501"</f>
        <v>00424501</v>
      </c>
    </row>
    <row r="9507" spans="1:2" x14ac:dyDescent="0.25">
      <c r="A9507" s="2">
        <v>9502</v>
      </c>
      <c r="B9507" s="3" t="str">
        <f>"00424621"</f>
        <v>00424621</v>
      </c>
    </row>
    <row r="9508" spans="1:2" x14ac:dyDescent="0.25">
      <c r="A9508" s="2">
        <v>9503</v>
      </c>
      <c r="B9508" s="3" t="str">
        <f>"00424625"</f>
        <v>00424625</v>
      </c>
    </row>
    <row r="9509" spans="1:2" x14ac:dyDescent="0.25">
      <c r="A9509" s="2">
        <v>9504</v>
      </c>
      <c r="B9509" s="3" t="str">
        <f>"00424634"</f>
        <v>00424634</v>
      </c>
    </row>
    <row r="9510" spans="1:2" x14ac:dyDescent="0.25">
      <c r="A9510" s="2">
        <v>9505</v>
      </c>
      <c r="B9510" s="3" t="str">
        <f>"00424674"</f>
        <v>00424674</v>
      </c>
    </row>
    <row r="9511" spans="1:2" x14ac:dyDescent="0.25">
      <c r="A9511" s="2">
        <v>9506</v>
      </c>
      <c r="B9511" s="3" t="str">
        <f>"00424689"</f>
        <v>00424689</v>
      </c>
    </row>
    <row r="9512" spans="1:2" x14ac:dyDescent="0.25">
      <c r="A9512" s="2">
        <v>9507</v>
      </c>
      <c r="B9512" s="3" t="str">
        <f>"00424702"</f>
        <v>00424702</v>
      </c>
    </row>
    <row r="9513" spans="1:2" x14ac:dyDescent="0.25">
      <c r="A9513" s="2">
        <v>9508</v>
      </c>
      <c r="B9513" s="3" t="str">
        <f>"00424740"</f>
        <v>00424740</v>
      </c>
    </row>
    <row r="9514" spans="1:2" x14ac:dyDescent="0.25">
      <c r="A9514" s="2">
        <v>9509</v>
      </c>
      <c r="B9514" s="3" t="str">
        <f>"00424907"</f>
        <v>00424907</v>
      </c>
    </row>
    <row r="9515" spans="1:2" x14ac:dyDescent="0.25">
      <c r="A9515" s="2">
        <v>9510</v>
      </c>
      <c r="B9515" s="3" t="str">
        <f>"00424980"</f>
        <v>00424980</v>
      </c>
    </row>
    <row r="9516" spans="1:2" x14ac:dyDescent="0.25">
      <c r="A9516" s="2">
        <v>9511</v>
      </c>
      <c r="B9516" s="3" t="str">
        <f>"00425017"</f>
        <v>00425017</v>
      </c>
    </row>
    <row r="9517" spans="1:2" x14ac:dyDescent="0.25">
      <c r="A9517" s="2">
        <v>9512</v>
      </c>
      <c r="B9517" s="3" t="str">
        <f>"00425171"</f>
        <v>00425171</v>
      </c>
    </row>
    <row r="9518" spans="1:2" x14ac:dyDescent="0.25">
      <c r="A9518" s="2">
        <v>9513</v>
      </c>
      <c r="B9518" s="3" t="str">
        <f>"00425202"</f>
        <v>00425202</v>
      </c>
    </row>
    <row r="9519" spans="1:2" x14ac:dyDescent="0.25">
      <c r="A9519" s="2">
        <v>9514</v>
      </c>
      <c r="B9519" s="3" t="str">
        <f>"00425225"</f>
        <v>00425225</v>
      </c>
    </row>
    <row r="9520" spans="1:2" x14ac:dyDescent="0.25">
      <c r="A9520" s="2">
        <v>9515</v>
      </c>
      <c r="B9520" s="3" t="str">
        <f>"00425246"</f>
        <v>00425246</v>
      </c>
    </row>
    <row r="9521" spans="1:2" x14ac:dyDescent="0.25">
      <c r="A9521" s="2">
        <v>9516</v>
      </c>
      <c r="B9521" s="3" t="str">
        <f>"00425390"</f>
        <v>00425390</v>
      </c>
    </row>
    <row r="9522" spans="1:2" x14ac:dyDescent="0.25">
      <c r="A9522" s="2">
        <v>9517</v>
      </c>
      <c r="B9522" s="3" t="str">
        <f>"00425454"</f>
        <v>00425454</v>
      </c>
    </row>
    <row r="9523" spans="1:2" x14ac:dyDescent="0.25">
      <c r="A9523" s="2">
        <v>9518</v>
      </c>
      <c r="B9523" s="3" t="str">
        <f>"00425523"</f>
        <v>00425523</v>
      </c>
    </row>
    <row r="9524" spans="1:2" x14ac:dyDescent="0.25">
      <c r="A9524" s="2">
        <v>9519</v>
      </c>
      <c r="B9524" s="3" t="str">
        <f>"00425548"</f>
        <v>00425548</v>
      </c>
    </row>
    <row r="9525" spans="1:2" x14ac:dyDescent="0.25">
      <c r="A9525" s="2">
        <v>9520</v>
      </c>
      <c r="B9525" s="3" t="str">
        <f>"00425681"</f>
        <v>00425681</v>
      </c>
    </row>
    <row r="9526" spans="1:2" x14ac:dyDescent="0.25">
      <c r="A9526" s="2">
        <v>9521</v>
      </c>
      <c r="B9526" s="3" t="str">
        <f>"00425705"</f>
        <v>00425705</v>
      </c>
    </row>
    <row r="9527" spans="1:2" x14ac:dyDescent="0.25">
      <c r="A9527" s="2">
        <v>9522</v>
      </c>
      <c r="B9527" s="3" t="str">
        <f>"00425776"</f>
        <v>00425776</v>
      </c>
    </row>
    <row r="9528" spans="1:2" x14ac:dyDescent="0.25">
      <c r="A9528" s="2">
        <v>9523</v>
      </c>
      <c r="B9528" s="3" t="str">
        <f>"00425821"</f>
        <v>00425821</v>
      </c>
    </row>
    <row r="9529" spans="1:2" x14ac:dyDescent="0.25">
      <c r="A9529" s="2">
        <v>9524</v>
      </c>
      <c r="B9529" s="3" t="str">
        <f>"00425888"</f>
        <v>00425888</v>
      </c>
    </row>
    <row r="9530" spans="1:2" x14ac:dyDescent="0.25">
      <c r="A9530" s="2">
        <v>9525</v>
      </c>
      <c r="B9530" s="3" t="str">
        <f>"00425895"</f>
        <v>00425895</v>
      </c>
    </row>
    <row r="9531" spans="1:2" x14ac:dyDescent="0.25">
      <c r="A9531" s="2">
        <v>9526</v>
      </c>
      <c r="B9531" s="3" t="str">
        <f>"00425918"</f>
        <v>00425918</v>
      </c>
    </row>
    <row r="9532" spans="1:2" x14ac:dyDescent="0.25">
      <c r="A9532" s="2">
        <v>9527</v>
      </c>
      <c r="B9532" s="3" t="str">
        <f>"00425963"</f>
        <v>00425963</v>
      </c>
    </row>
    <row r="9533" spans="1:2" x14ac:dyDescent="0.25">
      <c r="A9533" s="2">
        <v>9528</v>
      </c>
      <c r="B9533" s="3" t="str">
        <f>"00425980"</f>
        <v>00425980</v>
      </c>
    </row>
    <row r="9534" spans="1:2" x14ac:dyDescent="0.25">
      <c r="A9534" s="2">
        <v>9529</v>
      </c>
      <c r="B9534" s="3" t="str">
        <f>"00426060"</f>
        <v>00426060</v>
      </c>
    </row>
    <row r="9535" spans="1:2" x14ac:dyDescent="0.25">
      <c r="A9535" s="2">
        <v>9530</v>
      </c>
      <c r="B9535" s="3" t="str">
        <f>"00426112"</f>
        <v>00426112</v>
      </c>
    </row>
    <row r="9536" spans="1:2" x14ac:dyDescent="0.25">
      <c r="A9536" s="2">
        <v>9531</v>
      </c>
      <c r="B9536" s="3" t="str">
        <f>"00426143"</f>
        <v>00426143</v>
      </c>
    </row>
    <row r="9537" spans="1:2" x14ac:dyDescent="0.25">
      <c r="A9537" s="2">
        <v>9532</v>
      </c>
      <c r="B9537" s="3" t="str">
        <f>"00426256"</f>
        <v>00426256</v>
      </c>
    </row>
    <row r="9538" spans="1:2" x14ac:dyDescent="0.25">
      <c r="A9538" s="2">
        <v>9533</v>
      </c>
      <c r="B9538" s="3" t="str">
        <f>"00426264"</f>
        <v>00426264</v>
      </c>
    </row>
    <row r="9539" spans="1:2" x14ac:dyDescent="0.25">
      <c r="A9539" s="2">
        <v>9534</v>
      </c>
      <c r="B9539" s="3" t="str">
        <f>"00426271"</f>
        <v>00426271</v>
      </c>
    </row>
    <row r="9540" spans="1:2" x14ac:dyDescent="0.25">
      <c r="A9540" s="2">
        <v>9535</v>
      </c>
      <c r="B9540" s="3" t="str">
        <f>"00426383"</f>
        <v>00426383</v>
      </c>
    </row>
    <row r="9541" spans="1:2" x14ac:dyDescent="0.25">
      <c r="A9541" s="2">
        <v>9536</v>
      </c>
      <c r="B9541" s="3" t="str">
        <f>"00426491"</f>
        <v>00426491</v>
      </c>
    </row>
    <row r="9542" spans="1:2" x14ac:dyDescent="0.25">
      <c r="A9542" s="2">
        <v>9537</v>
      </c>
      <c r="B9542" s="3" t="str">
        <f>"00426496"</f>
        <v>00426496</v>
      </c>
    </row>
    <row r="9543" spans="1:2" x14ac:dyDescent="0.25">
      <c r="A9543" s="2">
        <v>9538</v>
      </c>
      <c r="B9543" s="3" t="str">
        <f>"00426941"</f>
        <v>00426941</v>
      </c>
    </row>
    <row r="9544" spans="1:2" x14ac:dyDescent="0.25">
      <c r="A9544" s="2">
        <v>9539</v>
      </c>
      <c r="B9544" s="3" t="str">
        <f>"00427048"</f>
        <v>00427048</v>
      </c>
    </row>
    <row r="9545" spans="1:2" x14ac:dyDescent="0.25">
      <c r="A9545" s="2">
        <v>9540</v>
      </c>
      <c r="B9545" s="3" t="str">
        <f>"00427201"</f>
        <v>00427201</v>
      </c>
    </row>
    <row r="9546" spans="1:2" x14ac:dyDescent="0.25">
      <c r="A9546" s="2">
        <v>9541</v>
      </c>
      <c r="B9546" s="3" t="str">
        <f>"00427222"</f>
        <v>00427222</v>
      </c>
    </row>
    <row r="9547" spans="1:2" x14ac:dyDescent="0.25">
      <c r="A9547" s="2">
        <v>9542</v>
      </c>
      <c r="B9547" s="3" t="str">
        <f>"00427267"</f>
        <v>00427267</v>
      </c>
    </row>
    <row r="9548" spans="1:2" x14ac:dyDescent="0.25">
      <c r="A9548" s="2">
        <v>9543</v>
      </c>
      <c r="B9548" s="3" t="str">
        <f>"00427287"</f>
        <v>00427287</v>
      </c>
    </row>
    <row r="9549" spans="1:2" x14ac:dyDescent="0.25">
      <c r="A9549" s="2">
        <v>9544</v>
      </c>
      <c r="B9549" s="3" t="str">
        <f>"00427354"</f>
        <v>00427354</v>
      </c>
    </row>
    <row r="9550" spans="1:2" x14ac:dyDescent="0.25">
      <c r="A9550" s="2">
        <v>9545</v>
      </c>
      <c r="B9550" s="3" t="str">
        <f>"00427388"</f>
        <v>00427388</v>
      </c>
    </row>
    <row r="9551" spans="1:2" x14ac:dyDescent="0.25">
      <c r="A9551" s="2">
        <v>9546</v>
      </c>
      <c r="B9551" s="3" t="str">
        <f>"00427604"</f>
        <v>00427604</v>
      </c>
    </row>
    <row r="9552" spans="1:2" x14ac:dyDescent="0.25">
      <c r="A9552" s="2">
        <v>9547</v>
      </c>
      <c r="B9552" s="3" t="str">
        <f>"00427664"</f>
        <v>00427664</v>
      </c>
    </row>
    <row r="9553" spans="1:2" x14ac:dyDescent="0.25">
      <c r="A9553" s="2">
        <v>9548</v>
      </c>
      <c r="B9553" s="3" t="str">
        <f>"00427728"</f>
        <v>00427728</v>
      </c>
    </row>
    <row r="9554" spans="1:2" x14ac:dyDescent="0.25">
      <c r="A9554" s="2">
        <v>9549</v>
      </c>
      <c r="B9554" s="3" t="str">
        <f>"00427789"</f>
        <v>00427789</v>
      </c>
    </row>
    <row r="9555" spans="1:2" x14ac:dyDescent="0.25">
      <c r="A9555" s="2">
        <v>9550</v>
      </c>
      <c r="B9555" s="3" t="str">
        <f>"00427792"</f>
        <v>00427792</v>
      </c>
    </row>
    <row r="9556" spans="1:2" x14ac:dyDescent="0.25">
      <c r="A9556" s="2">
        <v>9551</v>
      </c>
      <c r="B9556" s="3" t="str">
        <f>"00427854"</f>
        <v>00427854</v>
      </c>
    </row>
    <row r="9557" spans="1:2" x14ac:dyDescent="0.25">
      <c r="A9557" s="2">
        <v>9552</v>
      </c>
      <c r="B9557" s="3" t="str">
        <f>"00428005"</f>
        <v>00428005</v>
      </c>
    </row>
    <row r="9558" spans="1:2" x14ac:dyDescent="0.25">
      <c r="A9558" s="2">
        <v>9553</v>
      </c>
      <c r="B9558" s="3" t="str">
        <f>"00428091"</f>
        <v>00428091</v>
      </c>
    </row>
    <row r="9559" spans="1:2" x14ac:dyDescent="0.25">
      <c r="A9559" s="2">
        <v>9554</v>
      </c>
      <c r="B9559" s="3" t="str">
        <f>"00428108"</f>
        <v>00428108</v>
      </c>
    </row>
    <row r="9560" spans="1:2" x14ac:dyDescent="0.25">
      <c r="A9560" s="2">
        <v>9555</v>
      </c>
      <c r="B9560" s="3" t="str">
        <f>"00428261"</f>
        <v>00428261</v>
      </c>
    </row>
    <row r="9561" spans="1:2" x14ac:dyDescent="0.25">
      <c r="A9561" s="2">
        <v>9556</v>
      </c>
      <c r="B9561" s="3" t="str">
        <f>"00428288"</f>
        <v>00428288</v>
      </c>
    </row>
    <row r="9562" spans="1:2" x14ac:dyDescent="0.25">
      <c r="A9562" s="2">
        <v>9557</v>
      </c>
      <c r="B9562" s="3" t="str">
        <f>"00428353"</f>
        <v>00428353</v>
      </c>
    </row>
    <row r="9563" spans="1:2" x14ac:dyDescent="0.25">
      <c r="A9563" s="2">
        <v>9558</v>
      </c>
      <c r="B9563" s="3" t="str">
        <f>"00428393"</f>
        <v>00428393</v>
      </c>
    </row>
    <row r="9564" spans="1:2" x14ac:dyDescent="0.25">
      <c r="A9564" s="2">
        <v>9559</v>
      </c>
      <c r="B9564" s="3" t="str">
        <f>"00428454"</f>
        <v>00428454</v>
      </c>
    </row>
    <row r="9565" spans="1:2" x14ac:dyDescent="0.25">
      <c r="A9565" s="2">
        <v>9560</v>
      </c>
      <c r="B9565" s="3" t="str">
        <f>"00428537"</f>
        <v>00428537</v>
      </c>
    </row>
    <row r="9566" spans="1:2" x14ac:dyDescent="0.25">
      <c r="A9566" s="2">
        <v>9561</v>
      </c>
      <c r="B9566" s="3" t="str">
        <f>"00428604"</f>
        <v>00428604</v>
      </c>
    </row>
    <row r="9567" spans="1:2" x14ac:dyDescent="0.25">
      <c r="A9567" s="2">
        <v>9562</v>
      </c>
      <c r="B9567" s="3" t="str">
        <f>"00428674"</f>
        <v>00428674</v>
      </c>
    </row>
    <row r="9568" spans="1:2" x14ac:dyDescent="0.25">
      <c r="A9568" s="2">
        <v>9563</v>
      </c>
      <c r="B9568" s="3" t="str">
        <f>"00428750"</f>
        <v>00428750</v>
      </c>
    </row>
    <row r="9569" spans="1:2" x14ac:dyDescent="0.25">
      <c r="A9569" s="2">
        <v>9564</v>
      </c>
      <c r="B9569" s="3" t="str">
        <f>"00428802"</f>
        <v>00428802</v>
      </c>
    </row>
    <row r="9570" spans="1:2" x14ac:dyDescent="0.25">
      <c r="A9570" s="2">
        <v>9565</v>
      </c>
      <c r="B9570" s="3" t="str">
        <f>"00428874"</f>
        <v>00428874</v>
      </c>
    </row>
    <row r="9571" spans="1:2" x14ac:dyDescent="0.25">
      <c r="A9571" s="2">
        <v>9566</v>
      </c>
      <c r="B9571" s="3" t="str">
        <f>"00428935"</f>
        <v>00428935</v>
      </c>
    </row>
    <row r="9572" spans="1:2" x14ac:dyDescent="0.25">
      <c r="A9572" s="2">
        <v>9567</v>
      </c>
      <c r="B9572" s="3" t="str">
        <f>"00428943"</f>
        <v>00428943</v>
      </c>
    </row>
    <row r="9573" spans="1:2" x14ac:dyDescent="0.25">
      <c r="A9573" s="2">
        <v>9568</v>
      </c>
      <c r="B9573" s="3" t="str">
        <f>"00428955"</f>
        <v>00428955</v>
      </c>
    </row>
    <row r="9574" spans="1:2" x14ac:dyDescent="0.25">
      <c r="A9574" s="2">
        <v>9569</v>
      </c>
      <c r="B9574" s="3" t="str">
        <f>"00428963"</f>
        <v>00428963</v>
      </c>
    </row>
    <row r="9575" spans="1:2" x14ac:dyDescent="0.25">
      <c r="A9575" s="2">
        <v>9570</v>
      </c>
      <c r="B9575" s="3" t="str">
        <f>"00429006"</f>
        <v>00429006</v>
      </c>
    </row>
    <row r="9576" spans="1:2" x14ac:dyDescent="0.25">
      <c r="A9576" s="2">
        <v>9571</v>
      </c>
      <c r="B9576" s="3" t="str">
        <f>"00429041"</f>
        <v>00429041</v>
      </c>
    </row>
    <row r="9577" spans="1:2" x14ac:dyDescent="0.25">
      <c r="A9577" s="2">
        <v>9572</v>
      </c>
      <c r="B9577" s="3" t="str">
        <f>"00429112"</f>
        <v>00429112</v>
      </c>
    </row>
    <row r="9578" spans="1:2" x14ac:dyDescent="0.25">
      <c r="A9578" s="2">
        <v>9573</v>
      </c>
      <c r="B9578" s="3" t="str">
        <f>"00429196"</f>
        <v>00429196</v>
      </c>
    </row>
    <row r="9579" spans="1:2" x14ac:dyDescent="0.25">
      <c r="A9579" s="2">
        <v>9574</v>
      </c>
      <c r="B9579" s="3" t="str">
        <f>"00429204"</f>
        <v>00429204</v>
      </c>
    </row>
    <row r="9580" spans="1:2" x14ac:dyDescent="0.25">
      <c r="A9580" s="2">
        <v>9575</v>
      </c>
      <c r="B9580" s="3" t="str">
        <f>"00429213"</f>
        <v>00429213</v>
      </c>
    </row>
    <row r="9581" spans="1:2" x14ac:dyDescent="0.25">
      <c r="A9581" s="2">
        <v>9576</v>
      </c>
      <c r="B9581" s="3" t="str">
        <f>"00429307"</f>
        <v>00429307</v>
      </c>
    </row>
    <row r="9582" spans="1:2" x14ac:dyDescent="0.25">
      <c r="A9582" s="2">
        <v>9577</v>
      </c>
      <c r="B9582" s="3" t="str">
        <f>"00429379"</f>
        <v>00429379</v>
      </c>
    </row>
    <row r="9583" spans="1:2" x14ac:dyDescent="0.25">
      <c r="A9583" s="2">
        <v>9578</v>
      </c>
      <c r="B9583" s="3" t="str">
        <f>"00429401"</f>
        <v>00429401</v>
      </c>
    </row>
    <row r="9584" spans="1:2" x14ac:dyDescent="0.25">
      <c r="A9584" s="2">
        <v>9579</v>
      </c>
      <c r="B9584" s="3" t="str">
        <f>"00429505"</f>
        <v>00429505</v>
      </c>
    </row>
    <row r="9585" spans="1:2" x14ac:dyDescent="0.25">
      <c r="A9585" s="2">
        <v>9580</v>
      </c>
      <c r="B9585" s="3" t="str">
        <f>"00429511"</f>
        <v>00429511</v>
      </c>
    </row>
    <row r="9586" spans="1:2" x14ac:dyDescent="0.25">
      <c r="A9586" s="2">
        <v>9581</v>
      </c>
      <c r="B9586" s="3" t="str">
        <f>"00429548"</f>
        <v>00429548</v>
      </c>
    </row>
    <row r="9587" spans="1:2" x14ac:dyDescent="0.25">
      <c r="A9587" s="2">
        <v>9582</v>
      </c>
      <c r="B9587" s="3" t="str">
        <f>"00429581"</f>
        <v>00429581</v>
      </c>
    </row>
    <row r="9588" spans="1:2" x14ac:dyDescent="0.25">
      <c r="A9588" s="2">
        <v>9583</v>
      </c>
      <c r="B9588" s="3" t="str">
        <f>"00429647"</f>
        <v>00429647</v>
      </c>
    </row>
    <row r="9589" spans="1:2" x14ac:dyDescent="0.25">
      <c r="A9589" s="2">
        <v>9584</v>
      </c>
      <c r="B9589" s="3" t="str">
        <f>"00429680"</f>
        <v>00429680</v>
      </c>
    </row>
    <row r="9590" spans="1:2" x14ac:dyDescent="0.25">
      <c r="A9590" s="2">
        <v>9585</v>
      </c>
      <c r="B9590" s="3" t="str">
        <f>"00429711"</f>
        <v>00429711</v>
      </c>
    </row>
    <row r="9591" spans="1:2" x14ac:dyDescent="0.25">
      <c r="A9591" s="2">
        <v>9586</v>
      </c>
      <c r="B9591" s="3" t="str">
        <f>"00429784"</f>
        <v>00429784</v>
      </c>
    </row>
    <row r="9592" spans="1:2" x14ac:dyDescent="0.25">
      <c r="A9592" s="2">
        <v>9587</v>
      </c>
      <c r="B9592" s="3" t="str">
        <f>"00429794"</f>
        <v>00429794</v>
      </c>
    </row>
    <row r="9593" spans="1:2" x14ac:dyDescent="0.25">
      <c r="A9593" s="2">
        <v>9588</v>
      </c>
      <c r="B9593" s="3" t="str">
        <f>"00429820"</f>
        <v>00429820</v>
      </c>
    </row>
    <row r="9594" spans="1:2" x14ac:dyDescent="0.25">
      <c r="A9594" s="2">
        <v>9589</v>
      </c>
      <c r="B9594" s="3" t="str">
        <f>"00429838"</f>
        <v>00429838</v>
      </c>
    </row>
    <row r="9595" spans="1:2" x14ac:dyDescent="0.25">
      <c r="A9595" s="2">
        <v>9590</v>
      </c>
      <c r="B9595" s="3" t="str">
        <f>"00429858"</f>
        <v>00429858</v>
      </c>
    </row>
    <row r="9596" spans="1:2" x14ac:dyDescent="0.25">
      <c r="A9596" s="2">
        <v>9591</v>
      </c>
      <c r="B9596" s="3" t="str">
        <f>"00429956"</f>
        <v>00429956</v>
      </c>
    </row>
    <row r="9597" spans="1:2" x14ac:dyDescent="0.25">
      <c r="A9597" s="2">
        <v>9592</v>
      </c>
      <c r="B9597" s="3" t="str">
        <f>"00430030"</f>
        <v>00430030</v>
      </c>
    </row>
    <row r="9598" spans="1:2" x14ac:dyDescent="0.25">
      <c r="A9598" s="2">
        <v>9593</v>
      </c>
      <c r="B9598" s="3" t="str">
        <f>"00430086"</f>
        <v>00430086</v>
      </c>
    </row>
    <row r="9599" spans="1:2" x14ac:dyDescent="0.25">
      <c r="A9599" s="2">
        <v>9594</v>
      </c>
      <c r="B9599" s="3" t="str">
        <f>"00430090"</f>
        <v>00430090</v>
      </c>
    </row>
    <row r="9600" spans="1:2" x14ac:dyDescent="0.25">
      <c r="A9600" s="2">
        <v>9595</v>
      </c>
      <c r="B9600" s="3" t="str">
        <f>"00430117"</f>
        <v>00430117</v>
      </c>
    </row>
    <row r="9601" spans="1:2" x14ac:dyDescent="0.25">
      <c r="A9601" s="2">
        <v>9596</v>
      </c>
      <c r="B9601" s="3" t="str">
        <f>"00430242"</f>
        <v>00430242</v>
      </c>
    </row>
    <row r="9602" spans="1:2" x14ac:dyDescent="0.25">
      <c r="A9602" s="2">
        <v>9597</v>
      </c>
      <c r="B9602" s="3" t="str">
        <f>"00430263"</f>
        <v>00430263</v>
      </c>
    </row>
    <row r="9603" spans="1:2" x14ac:dyDescent="0.25">
      <c r="A9603" s="2">
        <v>9598</v>
      </c>
      <c r="B9603" s="3" t="str">
        <f>"00430275"</f>
        <v>00430275</v>
      </c>
    </row>
    <row r="9604" spans="1:2" x14ac:dyDescent="0.25">
      <c r="A9604" s="2">
        <v>9599</v>
      </c>
      <c r="B9604" s="3" t="str">
        <f>"00430282"</f>
        <v>00430282</v>
      </c>
    </row>
    <row r="9605" spans="1:2" x14ac:dyDescent="0.25">
      <c r="A9605" s="2">
        <v>9600</v>
      </c>
      <c r="B9605" s="3" t="str">
        <f>"00430301"</f>
        <v>00430301</v>
      </c>
    </row>
    <row r="9606" spans="1:2" x14ac:dyDescent="0.25">
      <c r="A9606" s="2">
        <v>9601</v>
      </c>
      <c r="B9606" s="3" t="str">
        <f>"00430328"</f>
        <v>00430328</v>
      </c>
    </row>
    <row r="9607" spans="1:2" x14ac:dyDescent="0.25">
      <c r="A9607" s="2">
        <v>9602</v>
      </c>
      <c r="B9607" s="3" t="str">
        <f>"00430512"</f>
        <v>00430512</v>
      </c>
    </row>
    <row r="9608" spans="1:2" x14ac:dyDescent="0.25">
      <c r="A9608" s="2">
        <v>9603</v>
      </c>
      <c r="B9608" s="3" t="str">
        <f>"00430524"</f>
        <v>00430524</v>
      </c>
    </row>
    <row r="9609" spans="1:2" x14ac:dyDescent="0.25">
      <c r="A9609" s="2">
        <v>9604</v>
      </c>
      <c r="B9609" s="3" t="str">
        <f>"00430590"</f>
        <v>00430590</v>
      </c>
    </row>
    <row r="9610" spans="1:2" x14ac:dyDescent="0.25">
      <c r="A9610" s="2">
        <v>9605</v>
      </c>
      <c r="B9610" s="3" t="str">
        <f>"00430597"</f>
        <v>00430597</v>
      </c>
    </row>
    <row r="9611" spans="1:2" x14ac:dyDescent="0.25">
      <c r="A9611" s="2">
        <v>9606</v>
      </c>
      <c r="B9611" s="3" t="str">
        <f>"00430668"</f>
        <v>00430668</v>
      </c>
    </row>
    <row r="9612" spans="1:2" x14ac:dyDescent="0.25">
      <c r="A9612" s="2">
        <v>9607</v>
      </c>
      <c r="B9612" s="3" t="str">
        <f>"00430771"</f>
        <v>00430771</v>
      </c>
    </row>
    <row r="9613" spans="1:2" x14ac:dyDescent="0.25">
      <c r="A9613" s="2">
        <v>9608</v>
      </c>
      <c r="B9613" s="3" t="str">
        <f>"00430779"</f>
        <v>00430779</v>
      </c>
    </row>
    <row r="9614" spans="1:2" x14ac:dyDescent="0.25">
      <c r="A9614" s="2">
        <v>9609</v>
      </c>
      <c r="B9614" s="3" t="str">
        <f>"00430840"</f>
        <v>00430840</v>
      </c>
    </row>
    <row r="9615" spans="1:2" x14ac:dyDescent="0.25">
      <c r="A9615" s="2">
        <v>9610</v>
      </c>
      <c r="B9615" s="3" t="str">
        <f>"00430879"</f>
        <v>00430879</v>
      </c>
    </row>
    <row r="9616" spans="1:2" x14ac:dyDescent="0.25">
      <c r="A9616" s="2">
        <v>9611</v>
      </c>
      <c r="B9616" s="3" t="str">
        <f>"00430907"</f>
        <v>00430907</v>
      </c>
    </row>
    <row r="9617" spans="1:2" x14ac:dyDescent="0.25">
      <c r="A9617" s="2">
        <v>9612</v>
      </c>
      <c r="B9617" s="3" t="str">
        <f>"00430915"</f>
        <v>00430915</v>
      </c>
    </row>
    <row r="9618" spans="1:2" x14ac:dyDescent="0.25">
      <c r="A9618" s="2">
        <v>9613</v>
      </c>
      <c r="B9618" s="3" t="str">
        <f>"00431178"</f>
        <v>00431178</v>
      </c>
    </row>
    <row r="9619" spans="1:2" x14ac:dyDescent="0.25">
      <c r="A9619" s="2">
        <v>9614</v>
      </c>
      <c r="B9619" s="3" t="str">
        <f>"00431225"</f>
        <v>00431225</v>
      </c>
    </row>
    <row r="9620" spans="1:2" x14ac:dyDescent="0.25">
      <c r="A9620" s="2">
        <v>9615</v>
      </c>
      <c r="B9620" s="3" t="str">
        <f>"00431244"</f>
        <v>00431244</v>
      </c>
    </row>
    <row r="9621" spans="1:2" x14ac:dyDescent="0.25">
      <c r="A9621" s="2">
        <v>9616</v>
      </c>
      <c r="B9621" s="3" t="str">
        <f>"00431267"</f>
        <v>00431267</v>
      </c>
    </row>
    <row r="9622" spans="1:2" x14ac:dyDescent="0.25">
      <c r="A9622" s="2">
        <v>9617</v>
      </c>
      <c r="B9622" s="3" t="str">
        <f>"00431284"</f>
        <v>00431284</v>
      </c>
    </row>
    <row r="9623" spans="1:2" x14ac:dyDescent="0.25">
      <c r="A9623" s="2">
        <v>9618</v>
      </c>
      <c r="B9623" s="3" t="str">
        <f>"00431363"</f>
        <v>00431363</v>
      </c>
    </row>
    <row r="9624" spans="1:2" x14ac:dyDescent="0.25">
      <c r="A9624" s="2">
        <v>9619</v>
      </c>
      <c r="B9624" s="3" t="str">
        <f>"00431373"</f>
        <v>00431373</v>
      </c>
    </row>
    <row r="9625" spans="1:2" x14ac:dyDescent="0.25">
      <c r="A9625" s="2">
        <v>9620</v>
      </c>
      <c r="B9625" s="3" t="str">
        <f>"00431388"</f>
        <v>00431388</v>
      </c>
    </row>
    <row r="9626" spans="1:2" x14ac:dyDescent="0.25">
      <c r="A9626" s="2">
        <v>9621</v>
      </c>
      <c r="B9626" s="3" t="str">
        <f>"00431495"</f>
        <v>00431495</v>
      </c>
    </row>
    <row r="9627" spans="1:2" x14ac:dyDescent="0.25">
      <c r="A9627" s="2">
        <v>9622</v>
      </c>
      <c r="B9627" s="3" t="str">
        <f>"00431514"</f>
        <v>00431514</v>
      </c>
    </row>
    <row r="9628" spans="1:2" x14ac:dyDescent="0.25">
      <c r="A9628" s="2">
        <v>9623</v>
      </c>
      <c r="B9628" s="3" t="str">
        <f>"00431525"</f>
        <v>00431525</v>
      </c>
    </row>
    <row r="9629" spans="1:2" x14ac:dyDescent="0.25">
      <c r="A9629" s="2">
        <v>9624</v>
      </c>
      <c r="B9629" s="3" t="str">
        <f>"00431548"</f>
        <v>00431548</v>
      </c>
    </row>
    <row r="9630" spans="1:2" x14ac:dyDescent="0.25">
      <c r="A9630" s="2">
        <v>9625</v>
      </c>
      <c r="B9630" s="3" t="str">
        <f>"00431585"</f>
        <v>00431585</v>
      </c>
    </row>
    <row r="9631" spans="1:2" x14ac:dyDescent="0.25">
      <c r="A9631" s="2">
        <v>9626</v>
      </c>
      <c r="B9631" s="3" t="str">
        <f>"00431607"</f>
        <v>00431607</v>
      </c>
    </row>
    <row r="9632" spans="1:2" x14ac:dyDescent="0.25">
      <c r="A9632" s="2">
        <v>9627</v>
      </c>
      <c r="B9632" s="3" t="str">
        <f>"00431612"</f>
        <v>00431612</v>
      </c>
    </row>
    <row r="9633" spans="1:2" x14ac:dyDescent="0.25">
      <c r="A9633" s="2">
        <v>9628</v>
      </c>
      <c r="B9633" s="3" t="str">
        <f>"00431638"</f>
        <v>00431638</v>
      </c>
    </row>
    <row r="9634" spans="1:2" x14ac:dyDescent="0.25">
      <c r="A9634" s="2">
        <v>9629</v>
      </c>
      <c r="B9634" s="3" t="str">
        <f>"00431666"</f>
        <v>00431666</v>
      </c>
    </row>
    <row r="9635" spans="1:2" x14ac:dyDescent="0.25">
      <c r="A9635" s="2">
        <v>9630</v>
      </c>
      <c r="B9635" s="3" t="str">
        <f>"00431741"</f>
        <v>00431741</v>
      </c>
    </row>
    <row r="9636" spans="1:2" x14ac:dyDescent="0.25">
      <c r="A9636" s="2">
        <v>9631</v>
      </c>
      <c r="B9636" s="3" t="str">
        <f>"00431838"</f>
        <v>00431838</v>
      </c>
    </row>
    <row r="9637" spans="1:2" x14ac:dyDescent="0.25">
      <c r="A9637" s="2">
        <v>9632</v>
      </c>
      <c r="B9637" s="3" t="str">
        <f>"00431841"</f>
        <v>00431841</v>
      </c>
    </row>
    <row r="9638" spans="1:2" x14ac:dyDescent="0.25">
      <c r="A9638" s="2">
        <v>9633</v>
      </c>
      <c r="B9638" s="3" t="str">
        <f>"00431930"</f>
        <v>00431930</v>
      </c>
    </row>
    <row r="9639" spans="1:2" x14ac:dyDescent="0.25">
      <c r="A9639" s="2">
        <v>9634</v>
      </c>
      <c r="B9639" s="3" t="str">
        <f>"00431946"</f>
        <v>00431946</v>
      </c>
    </row>
    <row r="9640" spans="1:2" x14ac:dyDescent="0.25">
      <c r="A9640" s="2">
        <v>9635</v>
      </c>
      <c r="B9640" s="3" t="str">
        <f>"00431973"</f>
        <v>00431973</v>
      </c>
    </row>
    <row r="9641" spans="1:2" x14ac:dyDescent="0.25">
      <c r="A9641" s="2">
        <v>9636</v>
      </c>
      <c r="B9641" s="3" t="str">
        <f>"00432022"</f>
        <v>00432022</v>
      </c>
    </row>
    <row r="9642" spans="1:2" x14ac:dyDescent="0.25">
      <c r="A9642" s="2">
        <v>9637</v>
      </c>
      <c r="B9642" s="3" t="str">
        <f>"00432024"</f>
        <v>00432024</v>
      </c>
    </row>
    <row r="9643" spans="1:2" x14ac:dyDescent="0.25">
      <c r="A9643" s="2">
        <v>9638</v>
      </c>
      <c r="B9643" s="3" t="str">
        <f>"00432053"</f>
        <v>00432053</v>
      </c>
    </row>
    <row r="9644" spans="1:2" x14ac:dyDescent="0.25">
      <c r="A9644" s="2">
        <v>9639</v>
      </c>
      <c r="B9644" s="3" t="str">
        <f>"00432088"</f>
        <v>00432088</v>
      </c>
    </row>
    <row r="9645" spans="1:2" x14ac:dyDescent="0.25">
      <c r="A9645" s="2">
        <v>9640</v>
      </c>
      <c r="B9645" s="3" t="str">
        <f>"00432138"</f>
        <v>00432138</v>
      </c>
    </row>
    <row r="9646" spans="1:2" x14ac:dyDescent="0.25">
      <c r="A9646" s="2">
        <v>9641</v>
      </c>
      <c r="B9646" s="3" t="str">
        <f>"00432303"</f>
        <v>00432303</v>
      </c>
    </row>
    <row r="9647" spans="1:2" x14ac:dyDescent="0.25">
      <c r="A9647" s="2">
        <v>9642</v>
      </c>
      <c r="B9647" s="3" t="str">
        <f>"00432351"</f>
        <v>00432351</v>
      </c>
    </row>
    <row r="9648" spans="1:2" x14ac:dyDescent="0.25">
      <c r="A9648" s="2">
        <v>9643</v>
      </c>
      <c r="B9648" s="3" t="str">
        <f>"00432396"</f>
        <v>00432396</v>
      </c>
    </row>
    <row r="9649" spans="1:2" x14ac:dyDescent="0.25">
      <c r="A9649" s="2">
        <v>9644</v>
      </c>
      <c r="B9649" s="3" t="str">
        <f>"00432436"</f>
        <v>00432436</v>
      </c>
    </row>
    <row r="9650" spans="1:2" x14ac:dyDescent="0.25">
      <c r="A9650" s="2">
        <v>9645</v>
      </c>
      <c r="B9650" s="3" t="str">
        <f>"00432472"</f>
        <v>00432472</v>
      </c>
    </row>
    <row r="9651" spans="1:2" x14ac:dyDescent="0.25">
      <c r="A9651" s="2">
        <v>9646</v>
      </c>
      <c r="B9651" s="3" t="str">
        <f>"00432517"</f>
        <v>00432517</v>
      </c>
    </row>
    <row r="9652" spans="1:2" x14ac:dyDescent="0.25">
      <c r="A9652" s="2">
        <v>9647</v>
      </c>
      <c r="B9652" s="3" t="str">
        <f>"00432551"</f>
        <v>00432551</v>
      </c>
    </row>
    <row r="9653" spans="1:2" x14ac:dyDescent="0.25">
      <c r="A9653" s="2">
        <v>9648</v>
      </c>
      <c r="B9653" s="3" t="str">
        <f>"00432612"</f>
        <v>00432612</v>
      </c>
    </row>
    <row r="9654" spans="1:2" x14ac:dyDescent="0.25">
      <c r="A9654" s="2">
        <v>9649</v>
      </c>
      <c r="B9654" s="3" t="str">
        <f>"00432617"</f>
        <v>00432617</v>
      </c>
    </row>
    <row r="9655" spans="1:2" x14ac:dyDescent="0.25">
      <c r="A9655" s="2">
        <v>9650</v>
      </c>
      <c r="B9655" s="3" t="str">
        <f>"00432666"</f>
        <v>00432666</v>
      </c>
    </row>
    <row r="9656" spans="1:2" x14ac:dyDescent="0.25">
      <c r="A9656" s="2">
        <v>9651</v>
      </c>
      <c r="B9656" s="3" t="str">
        <f>"00432716"</f>
        <v>00432716</v>
      </c>
    </row>
    <row r="9657" spans="1:2" x14ac:dyDescent="0.25">
      <c r="A9657" s="2">
        <v>9652</v>
      </c>
      <c r="B9657" s="3" t="str">
        <f>"00432795"</f>
        <v>00432795</v>
      </c>
    </row>
    <row r="9658" spans="1:2" x14ac:dyDescent="0.25">
      <c r="A9658" s="2">
        <v>9653</v>
      </c>
      <c r="B9658" s="3" t="str">
        <f>"00432868"</f>
        <v>00432868</v>
      </c>
    </row>
    <row r="9659" spans="1:2" x14ac:dyDescent="0.25">
      <c r="A9659" s="2">
        <v>9654</v>
      </c>
      <c r="B9659" s="3" t="str">
        <f>"00432994"</f>
        <v>00432994</v>
      </c>
    </row>
    <row r="9660" spans="1:2" x14ac:dyDescent="0.25">
      <c r="A9660" s="2">
        <v>9655</v>
      </c>
      <c r="B9660" s="3" t="str">
        <f>"00433063"</f>
        <v>00433063</v>
      </c>
    </row>
    <row r="9661" spans="1:2" x14ac:dyDescent="0.25">
      <c r="A9661" s="2">
        <v>9656</v>
      </c>
      <c r="B9661" s="3" t="str">
        <f>"00433069"</f>
        <v>00433069</v>
      </c>
    </row>
    <row r="9662" spans="1:2" x14ac:dyDescent="0.25">
      <c r="A9662" s="2">
        <v>9657</v>
      </c>
      <c r="B9662" s="3" t="str">
        <f>"00433118"</f>
        <v>00433118</v>
      </c>
    </row>
    <row r="9663" spans="1:2" x14ac:dyDescent="0.25">
      <c r="A9663" s="2">
        <v>9658</v>
      </c>
      <c r="B9663" s="3" t="str">
        <f>"00433191"</f>
        <v>00433191</v>
      </c>
    </row>
    <row r="9664" spans="1:2" x14ac:dyDescent="0.25">
      <c r="A9664" s="2">
        <v>9659</v>
      </c>
      <c r="B9664" s="3" t="str">
        <f>"00433200"</f>
        <v>00433200</v>
      </c>
    </row>
    <row r="9665" spans="1:2" x14ac:dyDescent="0.25">
      <c r="A9665" s="2">
        <v>9660</v>
      </c>
      <c r="B9665" s="3" t="str">
        <f>"00433258"</f>
        <v>00433258</v>
      </c>
    </row>
    <row r="9666" spans="1:2" x14ac:dyDescent="0.25">
      <c r="A9666" s="2">
        <v>9661</v>
      </c>
      <c r="B9666" s="3" t="str">
        <f>"00433264"</f>
        <v>00433264</v>
      </c>
    </row>
    <row r="9667" spans="1:2" x14ac:dyDescent="0.25">
      <c r="A9667" s="2">
        <v>9662</v>
      </c>
      <c r="B9667" s="3" t="str">
        <f>"00433274"</f>
        <v>00433274</v>
      </c>
    </row>
    <row r="9668" spans="1:2" x14ac:dyDescent="0.25">
      <c r="A9668" s="2">
        <v>9663</v>
      </c>
      <c r="B9668" s="3" t="str">
        <f>"00433296"</f>
        <v>00433296</v>
      </c>
    </row>
    <row r="9669" spans="1:2" x14ac:dyDescent="0.25">
      <c r="A9669" s="2">
        <v>9664</v>
      </c>
      <c r="B9669" s="3" t="str">
        <f>"00433301"</f>
        <v>00433301</v>
      </c>
    </row>
    <row r="9670" spans="1:2" x14ac:dyDescent="0.25">
      <c r="A9670" s="2">
        <v>9665</v>
      </c>
      <c r="B9670" s="3" t="str">
        <f>"00433347"</f>
        <v>00433347</v>
      </c>
    </row>
    <row r="9671" spans="1:2" x14ac:dyDescent="0.25">
      <c r="A9671" s="2">
        <v>9666</v>
      </c>
      <c r="B9671" s="3" t="str">
        <f>"00433399"</f>
        <v>00433399</v>
      </c>
    </row>
    <row r="9672" spans="1:2" x14ac:dyDescent="0.25">
      <c r="A9672" s="2">
        <v>9667</v>
      </c>
      <c r="B9672" s="3" t="str">
        <f>"00433413"</f>
        <v>00433413</v>
      </c>
    </row>
    <row r="9673" spans="1:2" x14ac:dyDescent="0.25">
      <c r="A9673" s="2">
        <v>9668</v>
      </c>
      <c r="B9673" s="3" t="str">
        <f>"00433454"</f>
        <v>00433454</v>
      </c>
    </row>
    <row r="9674" spans="1:2" x14ac:dyDescent="0.25">
      <c r="A9674" s="2">
        <v>9669</v>
      </c>
      <c r="B9674" s="3" t="str">
        <f>"00433485"</f>
        <v>00433485</v>
      </c>
    </row>
    <row r="9675" spans="1:2" x14ac:dyDescent="0.25">
      <c r="A9675" s="2">
        <v>9670</v>
      </c>
      <c r="B9675" s="3" t="str">
        <f>"00433495"</f>
        <v>00433495</v>
      </c>
    </row>
    <row r="9676" spans="1:2" x14ac:dyDescent="0.25">
      <c r="A9676" s="2">
        <v>9671</v>
      </c>
      <c r="B9676" s="3" t="str">
        <f>"00433498"</f>
        <v>00433498</v>
      </c>
    </row>
    <row r="9677" spans="1:2" x14ac:dyDescent="0.25">
      <c r="A9677" s="2">
        <v>9672</v>
      </c>
      <c r="B9677" s="3" t="str">
        <f>"00433512"</f>
        <v>00433512</v>
      </c>
    </row>
    <row r="9678" spans="1:2" x14ac:dyDescent="0.25">
      <c r="A9678" s="2">
        <v>9673</v>
      </c>
      <c r="B9678" s="3" t="str">
        <f>"00433545"</f>
        <v>00433545</v>
      </c>
    </row>
    <row r="9679" spans="1:2" x14ac:dyDescent="0.25">
      <c r="A9679" s="2">
        <v>9674</v>
      </c>
      <c r="B9679" s="3" t="str">
        <f>"00433561"</f>
        <v>00433561</v>
      </c>
    </row>
    <row r="9680" spans="1:2" x14ac:dyDescent="0.25">
      <c r="A9680" s="2">
        <v>9675</v>
      </c>
      <c r="B9680" s="3" t="str">
        <f>"00433571"</f>
        <v>00433571</v>
      </c>
    </row>
    <row r="9681" spans="1:2" x14ac:dyDescent="0.25">
      <c r="A9681" s="2">
        <v>9676</v>
      </c>
      <c r="B9681" s="3" t="str">
        <f>"00433614"</f>
        <v>00433614</v>
      </c>
    </row>
    <row r="9682" spans="1:2" x14ac:dyDescent="0.25">
      <c r="A9682" s="2">
        <v>9677</v>
      </c>
      <c r="B9682" s="3" t="str">
        <f>"00433623"</f>
        <v>00433623</v>
      </c>
    </row>
    <row r="9683" spans="1:2" x14ac:dyDescent="0.25">
      <c r="A9683" s="2">
        <v>9678</v>
      </c>
      <c r="B9683" s="3" t="str">
        <f>"00433639"</f>
        <v>00433639</v>
      </c>
    </row>
    <row r="9684" spans="1:2" x14ac:dyDescent="0.25">
      <c r="A9684" s="2">
        <v>9679</v>
      </c>
      <c r="B9684" s="3" t="str">
        <f>"00433714"</f>
        <v>00433714</v>
      </c>
    </row>
    <row r="9685" spans="1:2" x14ac:dyDescent="0.25">
      <c r="A9685" s="2">
        <v>9680</v>
      </c>
      <c r="B9685" s="3" t="str">
        <f>"00433718"</f>
        <v>00433718</v>
      </c>
    </row>
    <row r="9686" spans="1:2" x14ac:dyDescent="0.25">
      <c r="A9686" s="2">
        <v>9681</v>
      </c>
      <c r="B9686" s="3" t="str">
        <f>"00433990"</f>
        <v>00433990</v>
      </c>
    </row>
    <row r="9687" spans="1:2" x14ac:dyDescent="0.25">
      <c r="A9687" s="2">
        <v>9682</v>
      </c>
      <c r="B9687" s="3" t="str">
        <f>"00434030"</f>
        <v>00434030</v>
      </c>
    </row>
    <row r="9688" spans="1:2" x14ac:dyDescent="0.25">
      <c r="A9688" s="2">
        <v>9683</v>
      </c>
      <c r="B9688" s="3" t="str">
        <f>"00434036"</f>
        <v>00434036</v>
      </c>
    </row>
    <row r="9689" spans="1:2" x14ac:dyDescent="0.25">
      <c r="A9689" s="2">
        <v>9684</v>
      </c>
      <c r="B9689" s="3" t="str">
        <f>"00434058"</f>
        <v>00434058</v>
      </c>
    </row>
    <row r="9690" spans="1:2" x14ac:dyDescent="0.25">
      <c r="A9690" s="2">
        <v>9685</v>
      </c>
      <c r="B9690" s="3" t="str">
        <f>"00434144"</f>
        <v>00434144</v>
      </c>
    </row>
    <row r="9691" spans="1:2" x14ac:dyDescent="0.25">
      <c r="A9691" s="2">
        <v>9686</v>
      </c>
      <c r="B9691" s="3" t="str">
        <f>"00434160"</f>
        <v>00434160</v>
      </c>
    </row>
    <row r="9692" spans="1:2" x14ac:dyDescent="0.25">
      <c r="A9692" s="2">
        <v>9687</v>
      </c>
      <c r="B9692" s="3" t="str">
        <f>"00434185"</f>
        <v>00434185</v>
      </c>
    </row>
    <row r="9693" spans="1:2" x14ac:dyDescent="0.25">
      <c r="A9693" s="2">
        <v>9688</v>
      </c>
      <c r="B9693" s="3" t="str">
        <f>"00434188"</f>
        <v>00434188</v>
      </c>
    </row>
    <row r="9694" spans="1:2" x14ac:dyDescent="0.25">
      <c r="A9694" s="2">
        <v>9689</v>
      </c>
      <c r="B9694" s="3" t="str">
        <f>"00434285"</f>
        <v>00434285</v>
      </c>
    </row>
    <row r="9695" spans="1:2" x14ac:dyDescent="0.25">
      <c r="A9695" s="2">
        <v>9690</v>
      </c>
      <c r="B9695" s="3" t="str">
        <f>"00434295"</f>
        <v>00434295</v>
      </c>
    </row>
    <row r="9696" spans="1:2" x14ac:dyDescent="0.25">
      <c r="A9696" s="2">
        <v>9691</v>
      </c>
      <c r="B9696" s="3" t="str">
        <f>"00434311"</f>
        <v>00434311</v>
      </c>
    </row>
    <row r="9697" spans="1:2" x14ac:dyDescent="0.25">
      <c r="A9697" s="2">
        <v>9692</v>
      </c>
      <c r="B9697" s="3" t="str">
        <f>"00434315"</f>
        <v>00434315</v>
      </c>
    </row>
    <row r="9698" spans="1:2" x14ac:dyDescent="0.25">
      <c r="A9698" s="2">
        <v>9693</v>
      </c>
      <c r="B9698" s="3" t="str">
        <f>"00434340"</f>
        <v>00434340</v>
      </c>
    </row>
    <row r="9699" spans="1:2" x14ac:dyDescent="0.25">
      <c r="A9699" s="2">
        <v>9694</v>
      </c>
      <c r="B9699" s="3" t="str">
        <f>"00434402"</f>
        <v>00434402</v>
      </c>
    </row>
    <row r="9700" spans="1:2" x14ac:dyDescent="0.25">
      <c r="A9700" s="2">
        <v>9695</v>
      </c>
      <c r="B9700" s="3" t="str">
        <f>"00434517"</f>
        <v>00434517</v>
      </c>
    </row>
    <row r="9701" spans="1:2" x14ac:dyDescent="0.25">
      <c r="A9701" s="2">
        <v>9696</v>
      </c>
      <c r="B9701" s="3" t="str">
        <f>"00434537"</f>
        <v>00434537</v>
      </c>
    </row>
    <row r="9702" spans="1:2" x14ac:dyDescent="0.25">
      <c r="A9702" s="2">
        <v>9697</v>
      </c>
      <c r="B9702" s="3" t="str">
        <f>"00434566"</f>
        <v>00434566</v>
      </c>
    </row>
    <row r="9703" spans="1:2" x14ac:dyDescent="0.25">
      <c r="A9703" s="2">
        <v>9698</v>
      </c>
      <c r="B9703" s="3" t="str">
        <f>"00434645"</f>
        <v>00434645</v>
      </c>
    </row>
    <row r="9704" spans="1:2" x14ac:dyDescent="0.25">
      <c r="A9704" s="2">
        <v>9699</v>
      </c>
      <c r="B9704" s="3" t="str">
        <f>"00434674"</f>
        <v>00434674</v>
      </c>
    </row>
    <row r="9705" spans="1:2" x14ac:dyDescent="0.25">
      <c r="A9705" s="2">
        <v>9700</v>
      </c>
      <c r="B9705" s="3" t="str">
        <f>"00434676"</f>
        <v>00434676</v>
      </c>
    </row>
    <row r="9706" spans="1:2" x14ac:dyDescent="0.25">
      <c r="A9706" s="2">
        <v>9701</v>
      </c>
      <c r="B9706" s="3" t="str">
        <f>"00434933"</f>
        <v>00434933</v>
      </c>
    </row>
    <row r="9707" spans="1:2" x14ac:dyDescent="0.25">
      <c r="A9707" s="2">
        <v>9702</v>
      </c>
      <c r="B9707" s="3" t="str">
        <f>"00435098"</f>
        <v>00435098</v>
      </c>
    </row>
    <row r="9708" spans="1:2" x14ac:dyDescent="0.25">
      <c r="A9708" s="2">
        <v>9703</v>
      </c>
      <c r="B9708" s="3" t="str">
        <f>"00435132"</f>
        <v>00435132</v>
      </c>
    </row>
    <row r="9709" spans="1:2" x14ac:dyDescent="0.25">
      <c r="A9709" s="2">
        <v>9704</v>
      </c>
      <c r="B9709" s="3" t="str">
        <f>"00435136"</f>
        <v>00435136</v>
      </c>
    </row>
    <row r="9710" spans="1:2" x14ac:dyDescent="0.25">
      <c r="A9710" s="2">
        <v>9705</v>
      </c>
      <c r="B9710" s="3" t="str">
        <f>"00435274"</f>
        <v>00435274</v>
      </c>
    </row>
    <row r="9711" spans="1:2" x14ac:dyDescent="0.25">
      <c r="A9711" s="2">
        <v>9706</v>
      </c>
      <c r="B9711" s="3" t="str">
        <f>"00435312"</f>
        <v>00435312</v>
      </c>
    </row>
    <row r="9712" spans="1:2" x14ac:dyDescent="0.25">
      <c r="A9712" s="2">
        <v>9707</v>
      </c>
      <c r="B9712" s="3" t="str">
        <f>"00435376"</f>
        <v>00435376</v>
      </c>
    </row>
    <row r="9713" spans="1:2" x14ac:dyDescent="0.25">
      <c r="A9713" s="2">
        <v>9708</v>
      </c>
      <c r="B9713" s="3" t="str">
        <f>"00435381"</f>
        <v>00435381</v>
      </c>
    </row>
    <row r="9714" spans="1:2" x14ac:dyDescent="0.25">
      <c r="A9714" s="2">
        <v>9709</v>
      </c>
      <c r="B9714" s="3" t="str">
        <f>"00435396"</f>
        <v>00435396</v>
      </c>
    </row>
    <row r="9715" spans="1:2" x14ac:dyDescent="0.25">
      <c r="A9715" s="2">
        <v>9710</v>
      </c>
      <c r="B9715" s="3" t="str">
        <f>"00435412"</f>
        <v>00435412</v>
      </c>
    </row>
    <row r="9716" spans="1:2" x14ac:dyDescent="0.25">
      <c r="A9716" s="2">
        <v>9711</v>
      </c>
      <c r="B9716" s="3" t="str">
        <f>"00435417"</f>
        <v>00435417</v>
      </c>
    </row>
    <row r="9717" spans="1:2" x14ac:dyDescent="0.25">
      <c r="A9717" s="2">
        <v>9712</v>
      </c>
      <c r="B9717" s="3" t="str">
        <f>"00435440"</f>
        <v>00435440</v>
      </c>
    </row>
    <row r="9718" spans="1:2" x14ac:dyDescent="0.25">
      <c r="A9718" s="2">
        <v>9713</v>
      </c>
      <c r="B9718" s="3" t="str">
        <f>"00435473"</f>
        <v>00435473</v>
      </c>
    </row>
    <row r="9719" spans="1:2" x14ac:dyDescent="0.25">
      <c r="A9719" s="2">
        <v>9714</v>
      </c>
      <c r="B9719" s="3" t="str">
        <f>"00435526"</f>
        <v>00435526</v>
      </c>
    </row>
    <row r="9720" spans="1:2" x14ac:dyDescent="0.25">
      <c r="A9720" s="2">
        <v>9715</v>
      </c>
      <c r="B9720" s="3" t="str">
        <f>"00435593"</f>
        <v>00435593</v>
      </c>
    </row>
    <row r="9721" spans="1:2" x14ac:dyDescent="0.25">
      <c r="A9721" s="2">
        <v>9716</v>
      </c>
      <c r="B9721" s="3" t="str">
        <f>"00435803"</f>
        <v>00435803</v>
      </c>
    </row>
    <row r="9722" spans="1:2" x14ac:dyDescent="0.25">
      <c r="A9722" s="2">
        <v>9717</v>
      </c>
      <c r="B9722" s="3" t="str">
        <f>"00435862"</f>
        <v>00435862</v>
      </c>
    </row>
    <row r="9723" spans="1:2" x14ac:dyDescent="0.25">
      <c r="A9723" s="2">
        <v>9718</v>
      </c>
      <c r="B9723" s="3" t="str">
        <f>"00435952"</f>
        <v>00435952</v>
      </c>
    </row>
    <row r="9724" spans="1:2" x14ac:dyDescent="0.25">
      <c r="A9724" s="2">
        <v>9719</v>
      </c>
      <c r="B9724" s="3" t="str">
        <f>"00436011"</f>
        <v>00436011</v>
      </c>
    </row>
    <row r="9725" spans="1:2" x14ac:dyDescent="0.25">
      <c r="A9725" s="2">
        <v>9720</v>
      </c>
      <c r="B9725" s="3" t="str">
        <f>"00436091"</f>
        <v>00436091</v>
      </c>
    </row>
    <row r="9726" spans="1:2" x14ac:dyDescent="0.25">
      <c r="A9726" s="2">
        <v>9721</v>
      </c>
      <c r="B9726" s="3" t="str">
        <f>"00436107"</f>
        <v>00436107</v>
      </c>
    </row>
    <row r="9727" spans="1:2" x14ac:dyDescent="0.25">
      <c r="A9727" s="2">
        <v>9722</v>
      </c>
      <c r="B9727" s="3" t="str">
        <f>"00436130"</f>
        <v>00436130</v>
      </c>
    </row>
    <row r="9728" spans="1:2" x14ac:dyDescent="0.25">
      <c r="A9728" s="2">
        <v>9723</v>
      </c>
      <c r="B9728" s="3" t="str">
        <f>"00436172"</f>
        <v>00436172</v>
      </c>
    </row>
    <row r="9729" spans="1:2" x14ac:dyDescent="0.25">
      <c r="A9729" s="2">
        <v>9724</v>
      </c>
      <c r="B9729" s="3" t="str">
        <f>"00436206"</f>
        <v>00436206</v>
      </c>
    </row>
    <row r="9730" spans="1:2" x14ac:dyDescent="0.25">
      <c r="A9730" s="2">
        <v>9725</v>
      </c>
      <c r="B9730" s="3" t="str">
        <f>"00436209"</f>
        <v>00436209</v>
      </c>
    </row>
    <row r="9731" spans="1:2" x14ac:dyDescent="0.25">
      <c r="A9731" s="2">
        <v>9726</v>
      </c>
      <c r="B9731" s="3" t="str">
        <f>"00436214"</f>
        <v>00436214</v>
      </c>
    </row>
    <row r="9732" spans="1:2" x14ac:dyDescent="0.25">
      <c r="A9732" s="2">
        <v>9727</v>
      </c>
      <c r="B9732" s="3" t="str">
        <f>"00436221"</f>
        <v>00436221</v>
      </c>
    </row>
    <row r="9733" spans="1:2" x14ac:dyDescent="0.25">
      <c r="A9733" s="2">
        <v>9728</v>
      </c>
      <c r="B9733" s="3" t="str">
        <f>"00436274"</f>
        <v>00436274</v>
      </c>
    </row>
    <row r="9734" spans="1:2" x14ac:dyDescent="0.25">
      <c r="A9734" s="2">
        <v>9729</v>
      </c>
      <c r="B9734" s="3" t="str">
        <f>"00436310"</f>
        <v>00436310</v>
      </c>
    </row>
    <row r="9735" spans="1:2" x14ac:dyDescent="0.25">
      <c r="A9735" s="2">
        <v>9730</v>
      </c>
      <c r="B9735" s="3" t="str">
        <f>"00436316"</f>
        <v>00436316</v>
      </c>
    </row>
    <row r="9736" spans="1:2" x14ac:dyDescent="0.25">
      <c r="A9736" s="2">
        <v>9731</v>
      </c>
      <c r="B9736" s="3" t="str">
        <f>"00436588"</f>
        <v>00436588</v>
      </c>
    </row>
    <row r="9737" spans="1:2" x14ac:dyDescent="0.25">
      <c r="A9737" s="2">
        <v>9732</v>
      </c>
      <c r="B9737" s="3" t="str">
        <f>"00436590"</f>
        <v>00436590</v>
      </c>
    </row>
    <row r="9738" spans="1:2" x14ac:dyDescent="0.25">
      <c r="A9738" s="2">
        <v>9733</v>
      </c>
      <c r="B9738" s="3" t="str">
        <f>"00436627"</f>
        <v>00436627</v>
      </c>
    </row>
    <row r="9739" spans="1:2" x14ac:dyDescent="0.25">
      <c r="A9739" s="2">
        <v>9734</v>
      </c>
      <c r="B9739" s="3" t="str">
        <f>"00436628"</f>
        <v>00436628</v>
      </c>
    </row>
    <row r="9740" spans="1:2" x14ac:dyDescent="0.25">
      <c r="A9740" s="2">
        <v>9735</v>
      </c>
      <c r="B9740" s="3" t="str">
        <f>"00436675"</f>
        <v>00436675</v>
      </c>
    </row>
    <row r="9741" spans="1:2" x14ac:dyDescent="0.25">
      <c r="A9741" s="2">
        <v>9736</v>
      </c>
      <c r="B9741" s="3" t="str">
        <f>"00436701"</f>
        <v>00436701</v>
      </c>
    </row>
    <row r="9742" spans="1:2" x14ac:dyDescent="0.25">
      <c r="A9742" s="2">
        <v>9737</v>
      </c>
      <c r="B9742" s="3" t="str">
        <f>"00436718"</f>
        <v>00436718</v>
      </c>
    </row>
    <row r="9743" spans="1:2" x14ac:dyDescent="0.25">
      <c r="A9743" s="2">
        <v>9738</v>
      </c>
      <c r="B9743" s="3" t="str">
        <f>"00436934"</f>
        <v>00436934</v>
      </c>
    </row>
    <row r="9744" spans="1:2" x14ac:dyDescent="0.25">
      <c r="A9744" s="2">
        <v>9739</v>
      </c>
      <c r="B9744" s="3" t="str">
        <f>"00436963"</f>
        <v>00436963</v>
      </c>
    </row>
    <row r="9745" spans="1:2" x14ac:dyDescent="0.25">
      <c r="A9745" s="2">
        <v>9740</v>
      </c>
      <c r="B9745" s="3" t="str">
        <f>"00436966"</f>
        <v>00436966</v>
      </c>
    </row>
    <row r="9746" spans="1:2" x14ac:dyDescent="0.25">
      <c r="A9746" s="2">
        <v>9741</v>
      </c>
      <c r="B9746" s="3" t="str">
        <f>"00436978"</f>
        <v>00436978</v>
      </c>
    </row>
    <row r="9747" spans="1:2" x14ac:dyDescent="0.25">
      <c r="A9747" s="2">
        <v>9742</v>
      </c>
      <c r="B9747" s="3" t="str">
        <f>"00436979"</f>
        <v>00436979</v>
      </c>
    </row>
    <row r="9748" spans="1:2" x14ac:dyDescent="0.25">
      <c r="A9748" s="2">
        <v>9743</v>
      </c>
      <c r="B9748" s="3" t="str">
        <f>"00436997"</f>
        <v>00436997</v>
      </c>
    </row>
    <row r="9749" spans="1:2" x14ac:dyDescent="0.25">
      <c r="A9749" s="2">
        <v>9744</v>
      </c>
      <c r="B9749" s="3" t="str">
        <f>"00437020"</f>
        <v>00437020</v>
      </c>
    </row>
    <row r="9750" spans="1:2" x14ac:dyDescent="0.25">
      <c r="A9750" s="2">
        <v>9745</v>
      </c>
      <c r="B9750" s="3" t="str">
        <f>"00437154"</f>
        <v>00437154</v>
      </c>
    </row>
    <row r="9751" spans="1:2" x14ac:dyDescent="0.25">
      <c r="A9751" s="2">
        <v>9746</v>
      </c>
      <c r="B9751" s="3" t="str">
        <f>"00437177"</f>
        <v>00437177</v>
      </c>
    </row>
    <row r="9752" spans="1:2" x14ac:dyDescent="0.25">
      <c r="A9752" s="2">
        <v>9747</v>
      </c>
      <c r="B9752" s="3" t="str">
        <f>"00437191"</f>
        <v>00437191</v>
      </c>
    </row>
    <row r="9753" spans="1:2" x14ac:dyDescent="0.25">
      <c r="A9753" s="2">
        <v>9748</v>
      </c>
      <c r="B9753" s="3" t="str">
        <f>"00437223"</f>
        <v>00437223</v>
      </c>
    </row>
    <row r="9754" spans="1:2" x14ac:dyDescent="0.25">
      <c r="A9754" s="2">
        <v>9749</v>
      </c>
      <c r="B9754" s="3" t="str">
        <f>"00437235"</f>
        <v>00437235</v>
      </c>
    </row>
    <row r="9755" spans="1:2" x14ac:dyDescent="0.25">
      <c r="A9755" s="2">
        <v>9750</v>
      </c>
      <c r="B9755" s="3" t="str">
        <f>"00437306"</f>
        <v>00437306</v>
      </c>
    </row>
    <row r="9756" spans="1:2" x14ac:dyDescent="0.25">
      <c r="A9756" s="2">
        <v>9751</v>
      </c>
      <c r="B9756" s="3" t="str">
        <f>"00437471"</f>
        <v>00437471</v>
      </c>
    </row>
    <row r="9757" spans="1:2" x14ac:dyDescent="0.25">
      <c r="A9757" s="2">
        <v>9752</v>
      </c>
      <c r="B9757" s="3" t="str">
        <f>"00437491"</f>
        <v>00437491</v>
      </c>
    </row>
    <row r="9758" spans="1:2" x14ac:dyDescent="0.25">
      <c r="A9758" s="2">
        <v>9753</v>
      </c>
      <c r="B9758" s="3" t="str">
        <f>"00437498"</f>
        <v>00437498</v>
      </c>
    </row>
    <row r="9759" spans="1:2" x14ac:dyDescent="0.25">
      <c r="A9759" s="2">
        <v>9754</v>
      </c>
      <c r="B9759" s="3" t="str">
        <f>"00437535"</f>
        <v>00437535</v>
      </c>
    </row>
    <row r="9760" spans="1:2" x14ac:dyDescent="0.25">
      <c r="A9760" s="2">
        <v>9755</v>
      </c>
      <c r="B9760" s="3" t="str">
        <f>"00437562"</f>
        <v>00437562</v>
      </c>
    </row>
    <row r="9761" spans="1:2" x14ac:dyDescent="0.25">
      <c r="A9761" s="2">
        <v>9756</v>
      </c>
      <c r="B9761" s="3" t="str">
        <f>"00437683"</f>
        <v>00437683</v>
      </c>
    </row>
    <row r="9762" spans="1:2" x14ac:dyDescent="0.25">
      <c r="A9762" s="2">
        <v>9757</v>
      </c>
      <c r="B9762" s="3" t="str">
        <f>"00437689"</f>
        <v>00437689</v>
      </c>
    </row>
    <row r="9763" spans="1:2" x14ac:dyDescent="0.25">
      <c r="A9763" s="2">
        <v>9758</v>
      </c>
      <c r="B9763" s="3" t="str">
        <f>"00437693"</f>
        <v>00437693</v>
      </c>
    </row>
    <row r="9764" spans="1:2" x14ac:dyDescent="0.25">
      <c r="A9764" s="2">
        <v>9759</v>
      </c>
      <c r="B9764" s="3" t="str">
        <f>"00437715"</f>
        <v>00437715</v>
      </c>
    </row>
    <row r="9765" spans="1:2" x14ac:dyDescent="0.25">
      <c r="A9765" s="2">
        <v>9760</v>
      </c>
      <c r="B9765" s="3" t="str">
        <f>"00437767"</f>
        <v>00437767</v>
      </c>
    </row>
    <row r="9766" spans="1:2" x14ac:dyDescent="0.25">
      <c r="A9766" s="2">
        <v>9761</v>
      </c>
      <c r="B9766" s="3" t="str">
        <f>"00437972"</f>
        <v>00437972</v>
      </c>
    </row>
    <row r="9767" spans="1:2" x14ac:dyDescent="0.25">
      <c r="A9767" s="2">
        <v>9762</v>
      </c>
      <c r="B9767" s="3" t="str">
        <f>"00438099"</f>
        <v>00438099</v>
      </c>
    </row>
    <row r="9768" spans="1:2" x14ac:dyDescent="0.25">
      <c r="A9768" s="2">
        <v>9763</v>
      </c>
      <c r="B9768" s="3" t="str">
        <f>"00438214"</f>
        <v>00438214</v>
      </c>
    </row>
    <row r="9769" spans="1:2" x14ac:dyDescent="0.25">
      <c r="A9769" s="2">
        <v>9764</v>
      </c>
      <c r="B9769" s="3" t="str">
        <f>"00438225"</f>
        <v>00438225</v>
      </c>
    </row>
    <row r="9770" spans="1:2" x14ac:dyDescent="0.25">
      <c r="A9770" s="2">
        <v>9765</v>
      </c>
      <c r="B9770" s="3" t="str">
        <f>"00438229"</f>
        <v>00438229</v>
      </c>
    </row>
    <row r="9771" spans="1:2" x14ac:dyDescent="0.25">
      <c r="A9771" s="2">
        <v>9766</v>
      </c>
      <c r="B9771" s="3" t="str">
        <f>"00438275"</f>
        <v>00438275</v>
      </c>
    </row>
    <row r="9772" spans="1:2" x14ac:dyDescent="0.25">
      <c r="A9772" s="2">
        <v>9767</v>
      </c>
      <c r="B9772" s="3" t="str">
        <f>"00438332"</f>
        <v>00438332</v>
      </c>
    </row>
    <row r="9773" spans="1:2" x14ac:dyDescent="0.25">
      <c r="A9773" s="2">
        <v>9768</v>
      </c>
      <c r="B9773" s="3" t="str">
        <f>"00438345"</f>
        <v>00438345</v>
      </c>
    </row>
    <row r="9774" spans="1:2" x14ac:dyDescent="0.25">
      <c r="A9774" s="2">
        <v>9769</v>
      </c>
      <c r="B9774" s="3" t="str">
        <f>"00438351"</f>
        <v>00438351</v>
      </c>
    </row>
    <row r="9775" spans="1:2" x14ac:dyDescent="0.25">
      <c r="A9775" s="2">
        <v>9770</v>
      </c>
      <c r="B9775" s="3" t="str">
        <f>"00438418"</f>
        <v>00438418</v>
      </c>
    </row>
    <row r="9776" spans="1:2" x14ac:dyDescent="0.25">
      <c r="A9776" s="2">
        <v>9771</v>
      </c>
      <c r="B9776" s="3" t="str">
        <f>"00438477"</f>
        <v>00438477</v>
      </c>
    </row>
    <row r="9777" spans="1:2" x14ac:dyDescent="0.25">
      <c r="A9777" s="2">
        <v>9772</v>
      </c>
      <c r="B9777" s="3" t="str">
        <f>"00438505"</f>
        <v>00438505</v>
      </c>
    </row>
    <row r="9778" spans="1:2" x14ac:dyDescent="0.25">
      <c r="A9778" s="2">
        <v>9773</v>
      </c>
      <c r="B9778" s="3" t="str">
        <f>"00438549"</f>
        <v>00438549</v>
      </c>
    </row>
    <row r="9779" spans="1:2" x14ac:dyDescent="0.25">
      <c r="A9779" s="2">
        <v>9774</v>
      </c>
      <c r="B9779" s="3" t="str">
        <f>"00438605"</f>
        <v>00438605</v>
      </c>
    </row>
    <row r="9780" spans="1:2" x14ac:dyDescent="0.25">
      <c r="A9780" s="2">
        <v>9775</v>
      </c>
      <c r="B9780" s="3" t="str">
        <f>"00438631"</f>
        <v>00438631</v>
      </c>
    </row>
    <row r="9781" spans="1:2" x14ac:dyDescent="0.25">
      <c r="A9781" s="2">
        <v>9776</v>
      </c>
      <c r="B9781" s="3" t="str">
        <f>"00438648"</f>
        <v>00438648</v>
      </c>
    </row>
    <row r="9782" spans="1:2" x14ac:dyDescent="0.25">
      <c r="A9782" s="2">
        <v>9777</v>
      </c>
      <c r="B9782" s="3" t="str">
        <f>"00438676"</f>
        <v>00438676</v>
      </c>
    </row>
    <row r="9783" spans="1:2" x14ac:dyDescent="0.25">
      <c r="A9783" s="2">
        <v>9778</v>
      </c>
      <c r="B9783" s="3" t="str">
        <f>"00438695"</f>
        <v>00438695</v>
      </c>
    </row>
    <row r="9784" spans="1:2" x14ac:dyDescent="0.25">
      <c r="A9784" s="2">
        <v>9779</v>
      </c>
      <c r="B9784" s="3" t="str">
        <f>"00438775"</f>
        <v>00438775</v>
      </c>
    </row>
    <row r="9785" spans="1:2" x14ac:dyDescent="0.25">
      <c r="A9785" s="2">
        <v>9780</v>
      </c>
      <c r="B9785" s="3" t="str">
        <f>"00438817"</f>
        <v>00438817</v>
      </c>
    </row>
    <row r="9786" spans="1:2" x14ac:dyDescent="0.25">
      <c r="A9786" s="2">
        <v>9781</v>
      </c>
      <c r="B9786" s="3" t="str">
        <f>"00439011"</f>
        <v>00439011</v>
      </c>
    </row>
    <row r="9787" spans="1:2" x14ac:dyDescent="0.25">
      <c r="A9787" s="2">
        <v>9782</v>
      </c>
      <c r="B9787" s="3" t="str">
        <f>"00439037"</f>
        <v>00439037</v>
      </c>
    </row>
    <row r="9788" spans="1:2" x14ac:dyDescent="0.25">
      <c r="A9788" s="2">
        <v>9783</v>
      </c>
      <c r="B9788" s="3" t="str">
        <f>"00439171"</f>
        <v>00439171</v>
      </c>
    </row>
    <row r="9789" spans="1:2" x14ac:dyDescent="0.25">
      <c r="A9789" s="2">
        <v>9784</v>
      </c>
      <c r="B9789" s="3" t="str">
        <f>"00439203"</f>
        <v>00439203</v>
      </c>
    </row>
    <row r="9790" spans="1:2" x14ac:dyDescent="0.25">
      <c r="A9790" s="2">
        <v>9785</v>
      </c>
      <c r="B9790" s="3" t="str">
        <f>"00439208"</f>
        <v>00439208</v>
      </c>
    </row>
    <row r="9791" spans="1:2" x14ac:dyDescent="0.25">
      <c r="A9791" s="2">
        <v>9786</v>
      </c>
      <c r="B9791" s="3" t="str">
        <f>"00439211"</f>
        <v>00439211</v>
      </c>
    </row>
    <row r="9792" spans="1:2" x14ac:dyDescent="0.25">
      <c r="A9792" s="2">
        <v>9787</v>
      </c>
      <c r="B9792" s="3" t="str">
        <f>"00439220"</f>
        <v>00439220</v>
      </c>
    </row>
    <row r="9793" spans="1:2" x14ac:dyDescent="0.25">
      <c r="A9793" s="2">
        <v>9788</v>
      </c>
      <c r="B9793" s="3" t="str">
        <f>"00439294"</f>
        <v>00439294</v>
      </c>
    </row>
    <row r="9794" spans="1:2" x14ac:dyDescent="0.25">
      <c r="A9794" s="2">
        <v>9789</v>
      </c>
      <c r="B9794" s="3" t="str">
        <f>"00439306"</f>
        <v>00439306</v>
      </c>
    </row>
    <row r="9795" spans="1:2" x14ac:dyDescent="0.25">
      <c r="A9795" s="2">
        <v>9790</v>
      </c>
      <c r="B9795" s="3" t="str">
        <f>"00439316"</f>
        <v>00439316</v>
      </c>
    </row>
    <row r="9796" spans="1:2" x14ac:dyDescent="0.25">
      <c r="A9796" s="2">
        <v>9791</v>
      </c>
      <c r="B9796" s="3" t="str">
        <f>"00439398"</f>
        <v>00439398</v>
      </c>
    </row>
    <row r="9797" spans="1:2" x14ac:dyDescent="0.25">
      <c r="A9797" s="2">
        <v>9792</v>
      </c>
      <c r="B9797" s="3" t="str">
        <f>"00439441"</f>
        <v>00439441</v>
      </c>
    </row>
    <row r="9798" spans="1:2" x14ac:dyDescent="0.25">
      <c r="A9798" s="2">
        <v>9793</v>
      </c>
      <c r="B9798" s="3" t="str">
        <f>"00439478"</f>
        <v>00439478</v>
      </c>
    </row>
    <row r="9799" spans="1:2" x14ac:dyDescent="0.25">
      <c r="A9799" s="2">
        <v>9794</v>
      </c>
      <c r="B9799" s="3" t="str">
        <f>"00439494"</f>
        <v>00439494</v>
      </c>
    </row>
    <row r="9800" spans="1:2" x14ac:dyDescent="0.25">
      <c r="A9800" s="2">
        <v>9795</v>
      </c>
      <c r="B9800" s="3" t="str">
        <f>"00439565"</f>
        <v>00439565</v>
      </c>
    </row>
    <row r="9801" spans="1:2" x14ac:dyDescent="0.25">
      <c r="A9801" s="2">
        <v>9796</v>
      </c>
      <c r="B9801" s="3" t="str">
        <f>"00439591"</f>
        <v>00439591</v>
      </c>
    </row>
    <row r="9802" spans="1:2" x14ac:dyDescent="0.25">
      <c r="A9802" s="2">
        <v>9797</v>
      </c>
      <c r="B9802" s="3" t="str">
        <f>"00439595"</f>
        <v>00439595</v>
      </c>
    </row>
    <row r="9803" spans="1:2" x14ac:dyDescent="0.25">
      <c r="A9803" s="2">
        <v>9798</v>
      </c>
      <c r="B9803" s="3" t="str">
        <f>"00439625"</f>
        <v>00439625</v>
      </c>
    </row>
    <row r="9804" spans="1:2" x14ac:dyDescent="0.25">
      <c r="A9804" s="2">
        <v>9799</v>
      </c>
      <c r="B9804" s="3" t="str">
        <f>"00439648"</f>
        <v>00439648</v>
      </c>
    </row>
    <row r="9805" spans="1:2" x14ac:dyDescent="0.25">
      <c r="A9805" s="2">
        <v>9800</v>
      </c>
      <c r="B9805" s="3" t="str">
        <f>"00439670"</f>
        <v>00439670</v>
      </c>
    </row>
    <row r="9806" spans="1:2" x14ac:dyDescent="0.25">
      <c r="A9806" s="2">
        <v>9801</v>
      </c>
      <c r="B9806" s="3" t="str">
        <f>"00439783"</f>
        <v>00439783</v>
      </c>
    </row>
    <row r="9807" spans="1:2" x14ac:dyDescent="0.25">
      <c r="A9807" s="2">
        <v>9802</v>
      </c>
      <c r="B9807" s="3" t="str">
        <f>"00439796"</f>
        <v>00439796</v>
      </c>
    </row>
    <row r="9808" spans="1:2" x14ac:dyDescent="0.25">
      <c r="A9808" s="2">
        <v>9803</v>
      </c>
      <c r="B9808" s="3" t="str">
        <f>"00439810"</f>
        <v>00439810</v>
      </c>
    </row>
    <row r="9809" spans="1:2" x14ac:dyDescent="0.25">
      <c r="A9809" s="2">
        <v>9804</v>
      </c>
      <c r="B9809" s="3" t="str">
        <f>"00439871"</f>
        <v>00439871</v>
      </c>
    </row>
    <row r="9810" spans="1:2" x14ac:dyDescent="0.25">
      <c r="A9810" s="2">
        <v>9805</v>
      </c>
      <c r="B9810" s="3" t="str">
        <f>"00439945"</f>
        <v>00439945</v>
      </c>
    </row>
    <row r="9811" spans="1:2" x14ac:dyDescent="0.25">
      <c r="A9811" s="2">
        <v>9806</v>
      </c>
      <c r="B9811" s="3" t="str">
        <f>"00440041"</f>
        <v>00440041</v>
      </c>
    </row>
    <row r="9812" spans="1:2" x14ac:dyDescent="0.25">
      <c r="A9812" s="2">
        <v>9807</v>
      </c>
      <c r="B9812" s="3" t="str">
        <f>"00440176"</f>
        <v>00440176</v>
      </c>
    </row>
    <row r="9813" spans="1:2" x14ac:dyDescent="0.25">
      <c r="A9813" s="2">
        <v>9808</v>
      </c>
      <c r="B9813" s="3" t="str">
        <f>"00440221"</f>
        <v>00440221</v>
      </c>
    </row>
    <row r="9814" spans="1:2" x14ac:dyDescent="0.25">
      <c r="A9814" s="2">
        <v>9809</v>
      </c>
      <c r="B9814" s="3" t="str">
        <f>"00440225"</f>
        <v>00440225</v>
      </c>
    </row>
    <row r="9815" spans="1:2" x14ac:dyDescent="0.25">
      <c r="A9815" s="2">
        <v>9810</v>
      </c>
      <c r="B9815" s="3" t="str">
        <f>"00440254"</f>
        <v>00440254</v>
      </c>
    </row>
    <row r="9816" spans="1:2" x14ac:dyDescent="0.25">
      <c r="A9816" s="2">
        <v>9811</v>
      </c>
      <c r="B9816" s="3" t="str">
        <f>"00440284"</f>
        <v>00440284</v>
      </c>
    </row>
    <row r="9817" spans="1:2" x14ac:dyDescent="0.25">
      <c r="A9817" s="2">
        <v>9812</v>
      </c>
      <c r="B9817" s="3" t="str">
        <f>"00440334"</f>
        <v>00440334</v>
      </c>
    </row>
    <row r="9818" spans="1:2" x14ac:dyDescent="0.25">
      <c r="A9818" s="2">
        <v>9813</v>
      </c>
      <c r="B9818" s="3" t="str">
        <f>"00440350"</f>
        <v>00440350</v>
      </c>
    </row>
    <row r="9819" spans="1:2" x14ac:dyDescent="0.25">
      <c r="A9819" s="2">
        <v>9814</v>
      </c>
      <c r="B9819" s="3" t="str">
        <f>"00440361"</f>
        <v>00440361</v>
      </c>
    </row>
    <row r="9820" spans="1:2" x14ac:dyDescent="0.25">
      <c r="A9820" s="2">
        <v>9815</v>
      </c>
      <c r="B9820" s="3" t="str">
        <f>"00440420"</f>
        <v>00440420</v>
      </c>
    </row>
    <row r="9821" spans="1:2" x14ac:dyDescent="0.25">
      <c r="A9821" s="2">
        <v>9816</v>
      </c>
      <c r="B9821" s="3" t="str">
        <f>"00440423"</f>
        <v>00440423</v>
      </c>
    </row>
    <row r="9822" spans="1:2" x14ac:dyDescent="0.25">
      <c r="A9822" s="2">
        <v>9817</v>
      </c>
      <c r="B9822" s="3" t="str">
        <f>"00440463"</f>
        <v>00440463</v>
      </c>
    </row>
    <row r="9823" spans="1:2" x14ac:dyDescent="0.25">
      <c r="A9823" s="2">
        <v>9818</v>
      </c>
      <c r="B9823" s="3" t="str">
        <f>"00440493"</f>
        <v>00440493</v>
      </c>
    </row>
    <row r="9824" spans="1:2" x14ac:dyDescent="0.25">
      <c r="A9824" s="2">
        <v>9819</v>
      </c>
      <c r="B9824" s="3" t="str">
        <f>"00440527"</f>
        <v>00440527</v>
      </c>
    </row>
    <row r="9825" spans="1:2" x14ac:dyDescent="0.25">
      <c r="A9825" s="2">
        <v>9820</v>
      </c>
      <c r="B9825" s="3" t="str">
        <f>"00440528"</f>
        <v>00440528</v>
      </c>
    </row>
    <row r="9826" spans="1:2" x14ac:dyDescent="0.25">
      <c r="A9826" s="2">
        <v>9821</v>
      </c>
      <c r="B9826" s="3" t="str">
        <f>"00440550"</f>
        <v>00440550</v>
      </c>
    </row>
    <row r="9827" spans="1:2" x14ac:dyDescent="0.25">
      <c r="A9827" s="2">
        <v>9822</v>
      </c>
      <c r="B9827" s="3" t="str">
        <f>"00440594"</f>
        <v>00440594</v>
      </c>
    </row>
    <row r="9828" spans="1:2" x14ac:dyDescent="0.25">
      <c r="A9828" s="2">
        <v>9823</v>
      </c>
      <c r="B9828" s="3" t="str">
        <f>"00440701"</f>
        <v>00440701</v>
      </c>
    </row>
    <row r="9829" spans="1:2" x14ac:dyDescent="0.25">
      <c r="A9829" s="2">
        <v>9824</v>
      </c>
      <c r="B9829" s="3" t="str">
        <f>"00440784"</f>
        <v>00440784</v>
      </c>
    </row>
    <row r="9830" spans="1:2" x14ac:dyDescent="0.25">
      <c r="A9830" s="2">
        <v>9825</v>
      </c>
      <c r="B9830" s="3" t="str">
        <f>"00440822"</f>
        <v>00440822</v>
      </c>
    </row>
    <row r="9831" spans="1:2" x14ac:dyDescent="0.25">
      <c r="A9831" s="2">
        <v>9826</v>
      </c>
      <c r="B9831" s="3" t="str">
        <f>"00440841"</f>
        <v>00440841</v>
      </c>
    </row>
    <row r="9832" spans="1:2" x14ac:dyDescent="0.25">
      <c r="A9832" s="2">
        <v>9827</v>
      </c>
      <c r="B9832" s="3" t="str">
        <f>"00440941"</f>
        <v>00440941</v>
      </c>
    </row>
    <row r="9833" spans="1:2" x14ac:dyDescent="0.25">
      <c r="A9833" s="2">
        <v>9828</v>
      </c>
      <c r="B9833" s="3" t="str">
        <f>"00441055"</f>
        <v>00441055</v>
      </c>
    </row>
    <row r="9834" spans="1:2" x14ac:dyDescent="0.25">
      <c r="A9834" s="2">
        <v>9829</v>
      </c>
      <c r="B9834" s="3" t="str">
        <f>"00441066"</f>
        <v>00441066</v>
      </c>
    </row>
    <row r="9835" spans="1:2" x14ac:dyDescent="0.25">
      <c r="A9835" s="2">
        <v>9830</v>
      </c>
      <c r="B9835" s="3" t="str">
        <f>"00441093"</f>
        <v>00441093</v>
      </c>
    </row>
    <row r="9836" spans="1:2" x14ac:dyDescent="0.25">
      <c r="A9836" s="2">
        <v>9831</v>
      </c>
      <c r="B9836" s="3" t="str">
        <f>"00441111"</f>
        <v>00441111</v>
      </c>
    </row>
    <row r="9837" spans="1:2" x14ac:dyDescent="0.25">
      <c r="A9837" s="2">
        <v>9832</v>
      </c>
      <c r="B9837" s="3" t="str">
        <f>"00441132"</f>
        <v>00441132</v>
      </c>
    </row>
    <row r="9838" spans="1:2" x14ac:dyDescent="0.25">
      <c r="A9838" s="2">
        <v>9833</v>
      </c>
      <c r="B9838" s="3" t="str">
        <f>"00441152"</f>
        <v>00441152</v>
      </c>
    </row>
    <row r="9839" spans="1:2" x14ac:dyDescent="0.25">
      <c r="A9839" s="2">
        <v>9834</v>
      </c>
      <c r="B9839" s="3" t="str">
        <f>"00441171"</f>
        <v>00441171</v>
      </c>
    </row>
    <row r="9840" spans="1:2" x14ac:dyDescent="0.25">
      <c r="A9840" s="2">
        <v>9835</v>
      </c>
      <c r="B9840" s="3" t="str">
        <f>"00441356"</f>
        <v>00441356</v>
      </c>
    </row>
    <row r="9841" spans="1:2" x14ac:dyDescent="0.25">
      <c r="A9841" s="2">
        <v>9836</v>
      </c>
      <c r="B9841" s="3" t="str">
        <f>"00441442"</f>
        <v>00441442</v>
      </c>
    </row>
    <row r="9842" spans="1:2" x14ac:dyDescent="0.25">
      <c r="A9842" s="2">
        <v>9837</v>
      </c>
      <c r="B9842" s="3" t="str">
        <f>"00441483"</f>
        <v>00441483</v>
      </c>
    </row>
    <row r="9843" spans="1:2" x14ac:dyDescent="0.25">
      <c r="A9843" s="2">
        <v>9838</v>
      </c>
      <c r="B9843" s="3" t="str">
        <f>"00441485"</f>
        <v>00441485</v>
      </c>
    </row>
    <row r="9844" spans="1:2" x14ac:dyDescent="0.25">
      <c r="A9844" s="2">
        <v>9839</v>
      </c>
      <c r="B9844" s="3" t="str">
        <f>"00441557"</f>
        <v>00441557</v>
      </c>
    </row>
    <row r="9845" spans="1:2" x14ac:dyDescent="0.25">
      <c r="A9845" s="2">
        <v>9840</v>
      </c>
      <c r="B9845" s="3" t="str">
        <f>"00441625"</f>
        <v>00441625</v>
      </c>
    </row>
    <row r="9846" spans="1:2" x14ac:dyDescent="0.25">
      <c r="A9846" s="2">
        <v>9841</v>
      </c>
      <c r="B9846" s="3" t="str">
        <f>"00441715"</f>
        <v>00441715</v>
      </c>
    </row>
    <row r="9847" spans="1:2" x14ac:dyDescent="0.25">
      <c r="A9847" s="2">
        <v>9842</v>
      </c>
      <c r="B9847" s="3" t="str">
        <f>"00441716"</f>
        <v>00441716</v>
      </c>
    </row>
    <row r="9848" spans="1:2" x14ac:dyDescent="0.25">
      <c r="A9848" s="2">
        <v>9843</v>
      </c>
      <c r="B9848" s="3" t="str">
        <f>"00441806"</f>
        <v>00441806</v>
      </c>
    </row>
    <row r="9849" spans="1:2" x14ac:dyDescent="0.25">
      <c r="A9849" s="2">
        <v>9844</v>
      </c>
      <c r="B9849" s="3" t="str">
        <f>"00441815"</f>
        <v>00441815</v>
      </c>
    </row>
    <row r="9850" spans="1:2" x14ac:dyDescent="0.25">
      <c r="A9850" s="2">
        <v>9845</v>
      </c>
      <c r="B9850" s="3" t="str">
        <f>"00441875"</f>
        <v>00441875</v>
      </c>
    </row>
    <row r="9851" spans="1:2" x14ac:dyDescent="0.25">
      <c r="A9851" s="2">
        <v>9846</v>
      </c>
      <c r="B9851" s="3" t="str">
        <f>"00441921"</f>
        <v>00441921</v>
      </c>
    </row>
    <row r="9852" spans="1:2" x14ac:dyDescent="0.25">
      <c r="A9852" s="2">
        <v>9847</v>
      </c>
      <c r="B9852" s="3" t="str">
        <f>"00441993"</f>
        <v>00441993</v>
      </c>
    </row>
    <row r="9853" spans="1:2" x14ac:dyDescent="0.25">
      <c r="A9853" s="2">
        <v>9848</v>
      </c>
      <c r="B9853" s="3" t="str">
        <f>"00442122"</f>
        <v>00442122</v>
      </c>
    </row>
    <row r="9854" spans="1:2" x14ac:dyDescent="0.25">
      <c r="A9854" s="2">
        <v>9849</v>
      </c>
      <c r="B9854" s="3" t="str">
        <f>"00442152"</f>
        <v>00442152</v>
      </c>
    </row>
    <row r="9855" spans="1:2" x14ac:dyDescent="0.25">
      <c r="A9855" s="2">
        <v>9850</v>
      </c>
      <c r="B9855" s="3" t="str">
        <f>"00442177"</f>
        <v>00442177</v>
      </c>
    </row>
    <row r="9856" spans="1:2" x14ac:dyDescent="0.25">
      <c r="A9856" s="2">
        <v>9851</v>
      </c>
      <c r="B9856" s="3" t="str">
        <f>"00442197"</f>
        <v>00442197</v>
      </c>
    </row>
    <row r="9857" spans="1:2" x14ac:dyDescent="0.25">
      <c r="A9857" s="2">
        <v>9852</v>
      </c>
      <c r="B9857" s="3" t="str">
        <f>"00442246"</f>
        <v>00442246</v>
      </c>
    </row>
    <row r="9858" spans="1:2" x14ac:dyDescent="0.25">
      <c r="A9858" s="2">
        <v>9853</v>
      </c>
      <c r="B9858" s="3" t="str">
        <f>"00442287"</f>
        <v>00442287</v>
      </c>
    </row>
    <row r="9859" spans="1:2" x14ac:dyDescent="0.25">
      <c r="A9859" s="2">
        <v>9854</v>
      </c>
      <c r="B9859" s="3" t="str">
        <f>"00442318"</f>
        <v>00442318</v>
      </c>
    </row>
    <row r="9860" spans="1:2" x14ac:dyDescent="0.25">
      <c r="A9860" s="2">
        <v>9855</v>
      </c>
      <c r="B9860" s="3" t="str">
        <f>"00442343"</f>
        <v>00442343</v>
      </c>
    </row>
    <row r="9861" spans="1:2" x14ac:dyDescent="0.25">
      <c r="A9861" s="2">
        <v>9856</v>
      </c>
      <c r="B9861" s="3" t="str">
        <f>"00442478"</f>
        <v>00442478</v>
      </c>
    </row>
    <row r="9862" spans="1:2" x14ac:dyDescent="0.25">
      <c r="A9862" s="2">
        <v>9857</v>
      </c>
      <c r="B9862" s="3" t="str">
        <f>"00442510"</f>
        <v>00442510</v>
      </c>
    </row>
    <row r="9863" spans="1:2" x14ac:dyDescent="0.25">
      <c r="A9863" s="2">
        <v>9858</v>
      </c>
      <c r="B9863" s="3" t="str">
        <f>"00442512"</f>
        <v>00442512</v>
      </c>
    </row>
    <row r="9864" spans="1:2" x14ac:dyDescent="0.25">
      <c r="A9864" s="2">
        <v>9859</v>
      </c>
      <c r="B9864" s="3" t="str">
        <f>"00442621"</f>
        <v>00442621</v>
      </c>
    </row>
    <row r="9865" spans="1:2" x14ac:dyDescent="0.25">
      <c r="A9865" s="2">
        <v>9860</v>
      </c>
      <c r="B9865" s="3" t="str">
        <f>"00442670"</f>
        <v>00442670</v>
      </c>
    </row>
    <row r="9866" spans="1:2" x14ac:dyDescent="0.25">
      <c r="A9866" s="2">
        <v>9861</v>
      </c>
      <c r="B9866" s="3" t="str">
        <f>"00442697"</f>
        <v>00442697</v>
      </c>
    </row>
    <row r="9867" spans="1:2" x14ac:dyDescent="0.25">
      <c r="A9867" s="2">
        <v>9862</v>
      </c>
      <c r="B9867" s="3" t="str">
        <f>"00442772"</f>
        <v>00442772</v>
      </c>
    </row>
    <row r="9868" spans="1:2" x14ac:dyDescent="0.25">
      <c r="A9868" s="2">
        <v>9863</v>
      </c>
      <c r="B9868" s="3" t="str">
        <f>"00442839"</f>
        <v>00442839</v>
      </c>
    </row>
    <row r="9869" spans="1:2" x14ac:dyDescent="0.25">
      <c r="A9869" s="2">
        <v>9864</v>
      </c>
      <c r="B9869" s="3" t="str">
        <f>"00442847"</f>
        <v>00442847</v>
      </c>
    </row>
    <row r="9870" spans="1:2" x14ac:dyDescent="0.25">
      <c r="A9870" s="2">
        <v>9865</v>
      </c>
      <c r="B9870" s="3" t="str">
        <f>"00442952"</f>
        <v>00442952</v>
      </c>
    </row>
    <row r="9871" spans="1:2" x14ac:dyDescent="0.25">
      <c r="A9871" s="2">
        <v>9866</v>
      </c>
      <c r="B9871" s="3" t="str">
        <f>"00442977"</f>
        <v>00442977</v>
      </c>
    </row>
    <row r="9872" spans="1:2" x14ac:dyDescent="0.25">
      <c r="A9872" s="2">
        <v>9867</v>
      </c>
      <c r="B9872" s="3" t="str">
        <f>"00443004"</f>
        <v>00443004</v>
      </c>
    </row>
    <row r="9873" spans="1:2" x14ac:dyDescent="0.25">
      <c r="A9873" s="2">
        <v>9868</v>
      </c>
      <c r="B9873" s="3" t="str">
        <f>"00443077"</f>
        <v>00443077</v>
      </c>
    </row>
    <row r="9874" spans="1:2" x14ac:dyDescent="0.25">
      <c r="A9874" s="2">
        <v>9869</v>
      </c>
      <c r="B9874" s="3" t="str">
        <f>"00443275"</f>
        <v>00443275</v>
      </c>
    </row>
    <row r="9875" spans="1:2" x14ac:dyDescent="0.25">
      <c r="A9875" s="2">
        <v>9870</v>
      </c>
      <c r="B9875" s="3" t="str">
        <f>"00443306"</f>
        <v>00443306</v>
      </c>
    </row>
    <row r="9876" spans="1:2" x14ac:dyDescent="0.25">
      <c r="A9876" s="2">
        <v>9871</v>
      </c>
      <c r="B9876" s="3" t="str">
        <f>"00443353"</f>
        <v>00443353</v>
      </c>
    </row>
    <row r="9877" spans="1:2" x14ac:dyDescent="0.25">
      <c r="A9877" s="2">
        <v>9872</v>
      </c>
      <c r="B9877" s="3" t="str">
        <f>"00443371"</f>
        <v>00443371</v>
      </c>
    </row>
    <row r="9878" spans="1:2" x14ac:dyDescent="0.25">
      <c r="A9878" s="2">
        <v>9873</v>
      </c>
      <c r="B9878" s="3" t="str">
        <f>"00443397"</f>
        <v>00443397</v>
      </c>
    </row>
    <row r="9879" spans="1:2" x14ac:dyDescent="0.25">
      <c r="A9879" s="2">
        <v>9874</v>
      </c>
      <c r="B9879" s="3" t="str">
        <f>"00443398"</f>
        <v>00443398</v>
      </c>
    </row>
    <row r="9880" spans="1:2" x14ac:dyDescent="0.25">
      <c r="A9880" s="2">
        <v>9875</v>
      </c>
      <c r="B9880" s="3" t="str">
        <f>"00443461"</f>
        <v>00443461</v>
      </c>
    </row>
    <row r="9881" spans="1:2" x14ac:dyDescent="0.25">
      <c r="A9881" s="2">
        <v>9876</v>
      </c>
      <c r="B9881" s="3" t="str">
        <f>"00443485"</f>
        <v>00443485</v>
      </c>
    </row>
    <row r="9882" spans="1:2" x14ac:dyDescent="0.25">
      <c r="A9882" s="2">
        <v>9877</v>
      </c>
      <c r="B9882" s="3" t="str">
        <f>"00443495"</f>
        <v>00443495</v>
      </c>
    </row>
    <row r="9883" spans="1:2" x14ac:dyDescent="0.25">
      <c r="A9883" s="2">
        <v>9878</v>
      </c>
      <c r="B9883" s="3" t="str">
        <f>"00443513"</f>
        <v>00443513</v>
      </c>
    </row>
    <row r="9884" spans="1:2" x14ac:dyDescent="0.25">
      <c r="A9884" s="2">
        <v>9879</v>
      </c>
      <c r="B9884" s="3" t="str">
        <f>"00443803"</f>
        <v>00443803</v>
      </c>
    </row>
    <row r="9885" spans="1:2" x14ac:dyDescent="0.25">
      <c r="A9885" s="2">
        <v>9880</v>
      </c>
      <c r="B9885" s="3" t="str">
        <f>"00443837"</f>
        <v>00443837</v>
      </c>
    </row>
    <row r="9886" spans="1:2" x14ac:dyDescent="0.25">
      <c r="A9886" s="2">
        <v>9881</v>
      </c>
      <c r="B9886" s="3" t="str">
        <f>"00443844"</f>
        <v>00443844</v>
      </c>
    </row>
    <row r="9887" spans="1:2" x14ac:dyDescent="0.25">
      <c r="A9887" s="2">
        <v>9882</v>
      </c>
      <c r="B9887" s="3" t="str">
        <f>"00443878"</f>
        <v>00443878</v>
      </c>
    </row>
    <row r="9888" spans="1:2" x14ac:dyDescent="0.25">
      <c r="A9888" s="2">
        <v>9883</v>
      </c>
      <c r="B9888" s="3" t="str">
        <f>"00443929"</f>
        <v>00443929</v>
      </c>
    </row>
    <row r="9889" spans="1:2" x14ac:dyDescent="0.25">
      <c r="A9889" s="2">
        <v>9884</v>
      </c>
      <c r="B9889" s="3" t="str">
        <f>"00443961"</f>
        <v>00443961</v>
      </c>
    </row>
    <row r="9890" spans="1:2" x14ac:dyDescent="0.25">
      <c r="A9890" s="2">
        <v>9885</v>
      </c>
      <c r="B9890" s="3" t="str">
        <f>"00443985"</f>
        <v>00443985</v>
      </c>
    </row>
    <row r="9891" spans="1:2" x14ac:dyDescent="0.25">
      <c r="A9891" s="2">
        <v>9886</v>
      </c>
      <c r="B9891" s="3" t="str">
        <f>"00444048"</f>
        <v>00444048</v>
      </c>
    </row>
    <row r="9892" spans="1:2" x14ac:dyDescent="0.25">
      <c r="A9892" s="2">
        <v>9887</v>
      </c>
      <c r="B9892" s="3" t="str">
        <f>"00444078"</f>
        <v>00444078</v>
      </c>
    </row>
    <row r="9893" spans="1:2" x14ac:dyDescent="0.25">
      <c r="A9893" s="2">
        <v>9888</v>
      </c>
      <c r="B9893" s="3" t="str">
        <f>"00444102"</f>
        <v>00444102</v>
      </c>
    </row>
    <row r="9894" spans="1:2" x14ac:dyDescent="0.25">
      <c r="A9894" s="2">
        <v>9889</v>
      </c>
      <c r="B9894" s="3" t="str">
        <f>"00444365"</f>
        <v>00444365</v>
      </c>
    </row>
    <row r="9895" spans="1:2" x14ac:dyDescent="0.25">
      <c r="A9895" s="2">
        <v>9890</v>
      </c>
      <c r="B9895" s="3" t="str">
        <f>"00444381"</f>
        <v>00444381</v>
      </c>
    </row>
    <row r="9896" spans="1:2" x14ac:dyDescent="0.25">
      <c r="A9896" s="2">
        <v>9891</v>
      </c>
      <c r="B9896" s="3" t="str">
        <f>"00444415"</f>
        <v>00444415</v>
      </c>
    </row>
    <row r="9897" spans="1:2" x14ac:dyDescent="0.25">
      <c r="A9897" s="2">
        <v>9892</v>
      </c>
      <c r="B9897" s="3" t="str">
        <f>"00444453"</f>
        <v>00444453</v>
      </c>
    </row>
    <row r="9898" spans="1:2" x14ac:dyDescent="0.25">
      <c r="A9898" s="2">
        <v>9893</v>
      </c>
      <c r="B9898" s="3" t="str">
        <f>"00444481"</f>
        <v>00444481</v>
      </c>
    </row>
    <row r="9899" spans="1:2" x14ac:dyDescent="0.25">
      <c r="A9899" s="2">
        <v>9894</v>
      </c>
      <c r="B9899" s="3" t="str">
        <f>"00444540"</f>
        <v>00444540</v>
      </c>
    </row>
    <row r="9900" spans="1:2" x14ac:dyDescent="0.25">
      <c r="A9900" s="2">
        <v>9895</v>
      </c>
      <c r="B9900" s="3" t="str">
        <f>"00444594"</f>
        <v>00444594</v>
      </c>
    </row>
    <row r="9901" spans="1:2" x14ac:dyDescent="0.25">
      <c r="A9901" s="2">
        <v>9896</v>
      </c>
      <c r="B9901" s="3" t="str">
        <f>"00444605"</f>
        <v>00444605</v>
      </c>
    </row>
    <row r="9902" spans="1:2" x14ac:dyDescent="0.25">
      <c r="A9902" s="2">
        <v>9897</v>
      </c>
      <c r="B9902" s="3" t="str">
        <f>"00444633"</f>
        <v>00444633</v>
      </c>
    </row>
    <row r="9903" spans="1:2" x14ac:dyDescent="0.25">
      <c r="A9903" s="2">
        <v>9898</v>
      </c>
      <c r="B9903" s="3" t="str">
        <f>"00444637"</f>
        <v>00444637</v>
      </c>
    </row>
    <row r="9904" spans="1:2" x14ac:dyDescent="0.25">
      <c r="A9904" s="2">
        <v>9899</v>
      </c>
      <c r="B9904" s="3" t="str">
        <f>"00444674"</f>
        <v>00444674</v>
      </c>
    </row>
    <row r="9905" spans="1:2" x14ac:dyDescent="0.25">
      <c r="A9905" s="2">
        <v>9900</v>
      </c>
      <c r="B9905" s="3" t="str">
        <f>"00445008"</f>
        <v>00445008</v>
      </c>
    </row>
    <row r="9906" spans="1:2" x14ac:dyDescent="0.25">
      <c r="A9906" s="2">
        <v>9901</v>
      </c>
      <c r="B9906" s="3" t="str">
        <f>"00445062"</f>
        <v>00445062</v>
      </c>
    </row>
    <row r="9907" spans="1:2" x14ac:dyDescent="0.25">
      <c r="A9907" s="2">
        <v>9902</v>
      </c>
      <c r="B9907" s="3" t="str">
        <f>"00445081"</f>
        <v>00445081</v>
      </c>
    </row>
    <row r="9908" spans="1:2" x14ac:dyDescent="0.25">
      <c r="A9908" s="2">
        <v>9903</v>
      </c>
      <c r="B9908" s="3" t="str">
        <f>"00445189"</f>
        <v>00445189</v>
      </c>
    </row>
    <row r="9909" spans="1:2" x14ac:dyDescent="0.25">
      <c r="A9909" s="2">
        <v>9904</v>
      </c>
      <c r="B9909" s="3" t="str">
        <f>"00445232"</f>
        <v>00445232</v>
      </c>
    </row>
    <row r="9910" spans="1:2" x14ac:dyDescent="0.25">
      <c r="A9910" s="2">
        <v>9905</v>
      </c>
      <c r="B9910" s="3" t="str">
        <f>"00445245"</f>
        <v>00445245</v>
      </c>
    </row>
    <row r="9911" spans="1:2" x14ac:dyDescent="0.25">
      <c r="A9911" s="2">
        <v>9906</v>
      </c>
      <c r="B9911" s="3" t="str">
        <f>"00445248"</f>
        <v>00445248</v>
      </c>
    </row>
    <row r="9912" spans="1:2" x14ac:dyDescent="0.25">
      <c r="A9912" s="2">
        <v>9907</v>
      </c>
      <c r="B9912" s="3" t="str">
        <f>"00445360"</f>
        <v>00445360</v>
      </c>
    </row>
    <row r="9913" spans="1:2" x14ac:dyDescent="0.25">
      <c r="A9913" s="2">
        <v>9908</v>
      </c>
      <c r="B9913" s="3" t="str">
        <f>"00445395"</f>
        <v>00445395</v>
      </c>
    </row>
    <row r="9914" spans="1:2" x14ac:dyDescent="0.25">
      <c r="A9914" s="2">
        <v>9909</v>
      </c>
      <c r="B9914" s="3" t="str">
        <f>"00445496"</f>
        <v>00445496</v>
      </c>
    </row>
    <row r="9915" spans="1:2" x14ac:dyDescent="0.25">
      <c r="A9915" s="2">
        <v>9910</v>
      </c>
      <c r="B9915" s="3" t="str">
        <f>"00445547"</f>
        <v>00445547</v>
      </c>
    </row>
    <row r="9916" spans="1:2" x14ac:dyDescent="0.25">
      <c r="A9916" s="2">
        <v>9911</v>
      </c>
      <c r="B9916" s="3" t="str">
        <f>"00445549"</f>
        <v>00445549</v>
      </c>
    </row>
    <row r="9917" spans="1:2" x14ac:dyDescent="0.25">
      <c r="A9917" s="2">
        <v>9912</v>
      </c>
      <c r="B9917" s="3" t="str">
        <f>"00445596"</f>
        <v>00445596</v>
      </c>
    </row>
    <row r="9918" spans="1:2" x14ac:dyDescent="0.25">
      <c r="A9918" s="2">
        <v>9913</v>
      </c>
      <c r="B9918" s="3" t="str">
        <f>"00445609"</f>
        <v>00445609</v>
      </c>
    </row>
    <row r="9919" spans="1:2" x14ac:dyDescent="0.25">
      <c r="A9919" s="2">
        <v>9914</v>
      </c>
      <c r="B9919" s="3" t="str">
        <f>"00445642"</f>
        <v>00445642</v>
      </c>
    </row>
    <row r="9920" spans="1:2" x14ac:dyDescent="0.25">
      <c r="A9920" s="2">
        <v>9915</v>
      </c>
      <c r="B9920" s="3" t="str">
        <f>"00445650"</f>
        <v>00445650</v>
      </c>
    </row>
    <row r="9921" spans="1:2" x14ac:dyDescent="0.25">
      <c r="A9921" s="2">
        <v>9916</v>
      </c>
      <c r="B9921" s="3" t="str">
        <f>"00445728"</f>
        <v>00445728</v>
      </c>
    </row>
    <row r="9922" spans="1:2" x14ac:dyDescent="0.25">
      <c r="A9922" s="2">
        <v>9917</v>
      </c>
      <c r="B9922" s="3" t="str">
        <f>"00445804"</f>
        <v>00445804</v>
      </c>
    </row>
    <row r="9923" spans="1:2" x14ac:dyDescent="0.25">
      <c r="A9923" s="2">
        <v>9918</v>
      </c>
      <c r="B9923" s="3" t="str">
        <f>"00446096"</f>
        <v>00446096</v>
      </c>
    </row>
    <row r="9924" spans="1:2" x14ac:dyDescent="0.25">
      <c r="A9924" s="2">
        <v>9919</v>
      </c>
      <c r="B9924" s="3" t="str">
        <f>"00446126"</f>
        <v>00446126</v>
      </c>
    </row>
    <row r="9925" spans="1:2" x14ac:dyDescent="0.25">
      <c r="A9925" s="2">
        <v>9920</v>
      </c>
      <c r="B9925" s="3" t="str">
        <f>"00446130"</f>
        <v>00446130</v>
      </c>
    </row>
    <row r="9926" spans="1:2" x14ac:dyDescent="0.25">
      <c r="A9926" s="2">
        <v>9921</v>
      </c>
      <c r="B9926" s="3" t="str">
        <f>"00446142"</f>
        <v>00446142</v>
      </c>
    </row>
    <row r="9927" spans="1:2" x14ac:dyDescent="0.25">
      <c r="A9927" s="2">
        <v>9922</v>
      </c>
      <c r="B9927" s="3" t="str">
        <f>"00446155"</f>
        <v>00446155</v>
      </c>
    </row>
    <row r="9928" spans="1:2" x14ac:dyDescent="0.25">
      <c r="A9928" s="2">
        <v>9923</v>
      </c>
      <c r="B9928" s="3" t="str">
        <f>"00446244"</f>
        <v>00446244</v>
      </c>
    </row>
    <row r="9929" spans="1:2" x14ac:dyDescent="0.25">
      <c r="A9929" s="2">
        <v>9924</v>
      </c>
      <c r="B9929" s="3" t="str">
        <f>"00446247"</f>
        <v>00446247</v>
      </c>
    </row>
    <row r="9930" spans="1:2" x14ac:dyDescent="0.25">
      <c r="A9930" s="2">
        <v>9925</v>
      </c>
      <c r="B9930" s="3" t="str">
        <f>"00446270"</f>
        <v>00446270</v>
      </c>
    </row>
    <row r="9931" spans="1:2" x14ac:dyDescent="0.25">
      <c r="A9931" s="2">
        <v>9926</v>
      </c>
      <c r="B9931" s="3" t="str">
        <f>"00446272"</f>
        <v>00446272</v>
      </c>
    </row>
    <row r="9932" spans="1:2" x14ac:dyDescent="0.25">
      <c r="A9932" s="2">
        <v>9927</v>
      </c>
      <c r="B9932" s="3" t="str">
        <f>"00446446"</f>
        <v>00446446</v>
      </c>
    </row>
    <row r="9933" spans="1:2" x14ac:dyDescent="0.25">
      <c r="A9933" s="2">
        <v>9928</v>
      </c>
      <c r="B9933" s="3" t="str">
        <f>"00446451"</f>
        <v>00446451</v>
      </c>
    </row>
    <row r="9934" spans="1:2" x14ac:dyDescent="0.25">
      <c r="A9934" s="2">
        <v>9929</v>
      </c>
      <c r="B9934" s="3" t="str">
        <f>"00446488"</f>
        <v>00446488</v>
      </c>
    </row>
    <row r="9935" spans="1:2" x14ac:dyDescent="0.25">
      <c r="A9935" s="2">
        <v>9930</v>
      </c>
      <c r="B9935" s="3" t="str">
        <f>"00446667"</f>
        <v>00446667</v>
      </c>
    </row>
    <row r="9936" spans="1:2" x14ac:dyDescent="0.25">
      <c r="A9936" s="2">
        <v>9931</v>
      </c>
      <c r="B9936" s="3" t="str">
        <f>"00446691"</f>
        <v>00446691</v>
      </c>
    </row>
    <row r="9937" spans="1:2" x14ac:dyDescent="0.25">
      <c r="A9937" s="2">
        <v>9932</v>
      </c>
      <c r="B9937" s="3" t="str">
        <f>"00446863"</f>
        <v>00446863</v>
      </c>
    </row>
    <row r="9938" spans="1:2" x14ac:dyDescent="0.25">
      <c r="A9938" s="2">
        <v>9933</v>
      </c>
      <c r="B9938" s="3" t="str">
        <f>"00446914"</f>
        <v>00446914</v>
      </c>
    </row>
    <row r="9939" spans="1:2" x14ac:dyDescent="0.25">
      <c r="A9939" s="2">
        <v>9934</v>
      </c>
      <c r="B9939" s="3" t="str">
        <f>"00446976"</f>
        <v>00446976</v>
      </c>
    </row>
    <row r="9940" spans="1:2" x14ac:dyDescent="0.25">
      <c r="A9940" s="2">
        <v>9935</v>
      </c>
      <c r="B9940" s="3" t="str">
        <f>"00446997"</f>
        <v>00446997</v>
      </c>
    </row>
    <row r="9941" spans="1:2" x14ac:dyDescent="0.25">
      <c r="A9941" s="2">
        <v>9936</v>
      </c>
      <c r="B9941" s="3" t="str">
        <f>"00447124"</f>
        <v>00447124</v>
      </c>
    </row>
    <row r="9942" spans="1:2" x14ac:dyDescent="0.25">
      <c r="A9942" s="2">
        <v>9937</v>
      </c>
      <c r="B9942" s="3" t="str">
        <f>"00447155"</f>
        <v>00447155</v>
      </c>
    </row>
    <row r="9943" spans="1:2" x14ac:dyDescent="0.25">
      <c r="A9943" s="2">
        <v>9938</v>
      </c>
      <c r="B9943" s="3" t="str">
        <f>"00447180"</f>
        <v>00447180</v>
      </c>
    </row>
    <row r="9944" spans="1:2" x14ac:dyDescent="0.25">
      <c r="A9944" s="2">
        <v>9939</v>
      </c>
      <c r="B9944" s="3" t="str">
        <f>"00447457"</f>
        <v>00447457</v>
      </c>
    </row>
    <row r="9945" spans="1:2" x14ac:dyDescent="0.25">
      <c r="A9945" s="2">
        <v>9940</v>
      </c>
      <c r="B9945" s="3" t="str">
        <f>"00447515"</f>
        <v>00447515</v>
      </c>
    </row>
    <row r="9946" spans="1:2" x14ac:dyDescent="0.25">
      <c r="A9946" s="2">
        <v>9941</v>
      </c>
      <c r="B9946" s="3" t="str">
        <f>"00447586"</f>
        <v>00447586</v>
      </c>
    </row>
    <row r="9947" spans="1:2" x14ac:dyDescent="0.25">
      <c r="A9947" s="2">
        <v>9942</v>
      </c>
      <c r="B9947" s="3" t="str">
        <f>"00447695"</f>
        <v>00447695</v>
      </c>
    </row>
    <row r="9948" spans="1:2" x14ac:dyDescent="0.25">
      <c r="A9948" s="2">
        <v>9943</v>
      </c>
      <c r="B9948" s="3" t="str">
        <f>"00447704"</f>
        <v>00447704</v>
      </c>
    </row>
    <row r="9949" spans="1:2" x14ac:dyDescent="0.25">
      <c r="A9949" s="2">
        <v>9944</v>
      </c>
      <c r="B9949" s="3" t="str">
        <f>"00447935"</f>
        <v>00447935</v>
      </c>
    </row>
    <row r="9950" spans="1:2" x14ac:dyDescent="0.25">
      <c r="A9950" s="2">
        <v>9945</v>
      </c>
      <c r="B9950" s="3" t="str">
        <f>"00447936"</f>
        <v>00447936</v>
      </c>
    </row>
    <row r="9951" spans="1:2" x14ac:dyDescent="0.25">
      <c r="A9951" s="2">
        <v>9946</v>
      </c>
      <c r="B9951" s="3" t="str">
        <f>"00447970"</f>
        <v>00447970</v>
      </c>
    </row>
    <row r="9952" spans="1:2" x14ac:dyDescent="0.25">
      <c r="A9952" s="2">
        <v>9947</v>
      </c>
      <c r="B9952" s="3" t="str">
        <f>"00447982"</f>
        <v>00447982</v>
      </c>
    </row>
    <row r="9953" spans="1:2" x14ac:dyDescent="0.25">
      <c r="A9953" s="2">
        <v>9948</v>
      </c>
      <c r="B9953" s="3" t="str">
        <f>"00448056"</f>
        <v>00448056</v>
      </c>
    </row>
    <row r="9954" spans="1:2" x14ac:dyDescent="0.25">
      <c r="A9954" s="2">
        <v>9949</v>
      </c>
      <c r="B9954" s="3" t="str">
        <f>"00448072"</f>
        <v>00448072</v>
      </c>
    </row>
    <row r="9955" spans="1:2" x14ac:dyDescent="0.25">
      <c r="A9955" s="2">
        <v>9950</v>
      </c>
      <c r="B9955" s="3" t="str">
        <f>"00448079"</f>
        <v>00448079</v>
      </c>
    </row>
    <row r="9956" spans="1:2" x14ac:dyDescent="0.25">
      <c r="A9956" s="2">
        <v>9951</v>
      </c>
      <c r="B9956" s="3" t="str">
        <f>"00448102"</f>
        <v>00448102</v>
      </c>
    </row>
    <row r="9957" spans="1:2" x14ac:dyDescent="0.25">
      <c r="A9957" s="2">
        <v>9952</v>
      </c>
      <c r="B9957" s="3" t="str">
        <f>"00448344"</f>
        <v>00448344</v>
      </c>
    </row>
    <row r="9958" spans="1:2" x14ac:dyDescent="0.25">
      <c r="A9958" s="2">
        <v>9953</v>
      </c>
      <c r="B9958" s="3" t="str">
        <f>"00448393"</f>
        <v>00448393</v>
      </c>
    </row>
    <row r="9959" spans="1:2" x14ac:dyDescent="0.25">
      <c r="A9959" s="2">
        <v>9954</v>
      </c>
      <c r="B9959" s="3" t="str">
        <f>"00448500"</f>
        <v>00448500</v>
      </c>
    </row>
    <row r="9960" spans="1:2" x14ac:dyDescent="0.25">
      <c r="A9960" s="2">
        <v>9955</v>
      </c>
      <c r="B9960" s="3" t="str">
        <f>"00448513"</f>
        <v>00448513</v>
      </c>
    </row>
    <row r="9961" spans="1:2" x14ac:dyDescent="0.25">
      <c r="A9961" s="2">
        <v>9956</v>
      </c>
      <c r="B9961" s="3" t="str">
        <f>"00448576"</f>
        <v>00448576</v>
      </c>
    </row>
    <row r="9962" spans="1:2" x14ac:dyDescent="0.25">
      <c r="A9962" s="2">
        <v>9957</v>
      </c>
      <c r="B9962" s="3" t="str">
        <f>"00448673"</f>
        <v>00448673</v>
      </c>
    </row>
    <row r="9963" spans="1:2" x14ac:dyDescent="0.25">
      <c r="A9963" s="2">
        <v>9958</v>
      </c>
      <c r="B9963" s="3" t="str">
        <f>"00448706"</f>
        <v>00448706</v>
      </c>
    </row>
    <row r="9964" spans="1:2" x14ac:dyDescent="0.25">
      <c r="A9964" s="2">
        <v>9959</v>
      </c>
      <c r="B9964" s="3" t="str">
        <f>"00448734"</f>
        <v>00448734</v>
      </c>
    </row>
    <row r="9965" spans="1:2" x14ac:dyDescent="0.25">
      <c r="A9965" s="2">
        <v>9960</v>
      </c>
      <c r="B9965" s="3" t="str">
        <f>"00448846"</f>
        <v>00448846</v>
      </c>
    </row>
    <row r="9966" spans="1:2" x14ac:dyDescent="0.25">
      <c r="A9966" s="2">
        <v>9961</v>
      </c>
      <c r="B9966" s="3" t="str">
        <f>"00448858"</f>
        <v>00448858</v>
      </c>
    </row>
    <row r="9967" spans="1:2" x14ac:dyDescent="0.25">
      <c r="A9967" s="2">
        <v>9962</v>
      </c>
      <c r="B9967" s="3" t="str">
        <f>"00448872"</f>
        <v>00448872</v>
      </c>
    </row>
    <row r="9968" spans="1:2" x14ac:dyDescent="0.25">
      <c r="A9968" s="2">
        <v>9963</v>
      </c>
      <c r="B9968" s="3" t="str">
        <f>"00448992"</f>
        <v>00448992</v>
      </c>
    </row>
    <row r="9969" spans="1:2" x14ac:dyDescent="0.25">
      <c r="A9969" s="2">
        <v>9964</v>
      </c>
      <c r="B9969" s="3" t="str">
        <f>"00449032"</f>
        <v>00449032</v>
      </c>
    </row>
    <row r="9970" spans="1:2" x14ac:dyDescent="0.25">
      <c r="A9970" s="2">
        <v>9965</v>
      </c>
      <c r="B9970" s="3" t="str">
        <f>"00449043"</f>
        <v>00449043</v>
      </c>
    </row>
    <row r="9971" spans="1:2" x14ac:dyDescent="0.25">
      <c r="A9971" s="2">
        <v>9966</v>
      </c>
      <c r="B9971" s="3" t="str">
        <f>"00449045"</f>
        <v>00449045</v>
      </c>
    </row>
    <row r="9972" spans="1:2" x14ac:dyDescent="0.25">
      <c r="A9972" s="2">
        <v>9967</v>
      </c>
      <c r="B9972" s="3" t="str">
        <f>"00449070"</f>
        <v>00449070</v>
      </c>
    </row>
    <row r="9973" spans="1:2" x14ac:dyDescent="0.25">
      <c r="A9973" s="2">
        <v>9968</v>
      </c>
      <c r="B9973" s="3" t="str">
        <f>"00449082"</f>
        <v>00449082</v>
      </c>
    </row>
    <row r="9974" spans="1:2" x14ac:dyDescent="0.25">
      <c r="A9974" s="2">
        <v>9969</v>
      </c>
      <c r="B9974" s="3" t="str">
        <f>"00449107"</f>
        <v>00449107</v>
      </c>
    </row>
    <row r="9975" spans="1:2" x14ac:dyDescent="0.25">
      <c r="A9975" s="2">
        <v>9970</v>
      </c>
      <c r="B9975" s="3" t="str">
        <f>"00449222"</f>
        <v>00449222</v>
      </c>
    </row>
    <row r="9976" spans="1:2" x14ac:dyDescent="0.25">
      <c r="A9976" s="2">
        <v>9971</v>
      </c>
      <c r="B9976" s="3" t="str">
        <f>"00449291"</f>
        <v>00449291</v>
      </c>
    </row>
    <row r="9977" spans="1:2" x14ac:dyDescent="0.25">
      <c r="A9977" s="2">
        <v>9972</v>
      </c>
      <c r="B9977" s="3" t="str">
        <f>"00449331"</f>
        <v>00449331</v>
      </c>
    </row>
    <row r="9978" spans="1:2" x14ac:dyDescent="0.25">
      <c r="A9978" s="2">
        <v>9973</v>
      </c>
      <c r="B9978" s="3" t="str">
        <f>"00449366"</f>
        <v>00449366</v>
      </c>
    </row>
    <row r="9979" spans="1:2" x14ac:dyDescent="0.25">
      <c r="A9979" s="2">
        <v>9974</v>
      </c>
      <c r="B9979" s="3" t="str">
        <f>"00449395"</f>
        <v>00449395</v>
      </c>
    </row>
    <row r="9980" spans="1:2" x14ac:dyDescent="0.25">
      <c r="A9980" s="2">
        <v>9975</v>
      </c>
      <c r="B9980" s="3" t="str">
        <f>"00449484"</f>
        <v>00449484</v>
      </c>
    </row>
    <row r="9981" spans="1:2" x14ac:dyDescent="0.25">
      <c r="A9981" s="2">
        <v>9976</v>
      </c>
      <c r="B9981" s="3" t="str">
        <f>"00449529"</f>
        <v>00449529</v>
      </c>
    </row>
    <row r="9982" spans="1:2" x14ac:dyDescent="0.25">
      <c r="A9982" s="2">
        <v>9977</v>
      </c>
      <c r="B9982" s="3" t="str">
        <f>"00449551"</f>
        <v>00449551</v>
      </c>
    </row>
    <row r="9983" spans="1:2" x14ac:dyDescent="0.25">
      <c r="A9983" s="2">
        <v>9978</v>
      </c>
      <c r="B9983" s="3" t="str">
        <f>"00449648"</f>
        <v>00449648</v>
      </c>
    </row>
    <row r="9984" spans="1:2" x14ac:dyDescent="0.25">
      <c r="A9984" s="2">
        <v>9979</v>
      </c>
      <c r="B9984" s="3" t="str">
        <f>"00449662"</f>
        <v>00449662</v>
      </c>
    </row>
    <row r="9985" spans="1:2" x14ac:dyDescent="0.25">
      <c r="A9985" s="2">
        <v>9980</v>
      </c>
      <c r="B9985" s="3" t="str">
        <f>"00449682"</f>
        <v>00449682</v>
      </c>
    </row>
    <row r="9986" spans="1:2" x14ac:dyDescent="0.25">
      <c r="A9986" s="2">
        <v>9981</v>
      </c>
      <c r="B9986" s="3" t="str">
        <f>"00449709"</f>
        <v>00449709</v>
      </c>
    </row>
    <row r="9987" spans="1:2" x14ac:dyDescent="0.25">
      <c r="A9987" s="2">
        <v>9982</v>
      </c>
      <c r="B9987" s="3" t="str">
        <f>"00449784"</f>
        <v>00449784</v>
      </c>
    </row>
    <row r="9988" spans="1:2" x14ac:dyDescent="0.25">
      <c r="A9988" s="2">
        <v>9983</v>
      </c>
      <c r="B9988" s="3" t="str">
        <f>"00449812"</f>
        <v>00449812</v>
      </c>
    </row>
    <row r="9989" spans="1:2" x14ac:dyDescent="0.25">
      <c r="A9989" s="2">
        <v>9984</v>
      </c>
      <c r="B9989" s="3" t="str">
        <f>"00449816"</f>
        <v>00449816</v>
      </c>
    </row>
    <row r="9990" spans="1:2" x14ac:dyDescent="0.25">
      <c r="A9990" s="2">
        <v>9985</v>
      </c>
      <c r="B9990" s="3" t="str">
        <f>"00449817"</f>
        <v>00449817</v>
      </c>
    </row>
    <row r="9991" spans="1:2" x14ac:dyDescent="0.25">
      <c r="A9991" s="2">
        <v>9986</v>
      </c>
      <c r="B9991" s="3" t="str">
        <f>"00449849"</f>
        <v>00449849</v>
      </c>
    </row>
    <row r="9992" spans="1:2" x14ac:dyDescent="0.25">
      <c r="A9992" s="2">
        <v>9987</v>
      </c>
      <c r="B9992" s="3" t="str">
        <f>"00449874"</f>
        <v>00449874</v>
      </c>
    </row>
    <row r="9993" spans="1:2" x14ac:dyDescent="0.25">
      <c r="A9993" s="2">
        <v>9988</v>
      </c>
      <c r="B9993" s="3" t="str">
        <f>"00449880"</f>
        <v>00449880</v>
      </c>
    </row>
    <row r="9994" spans="1:2" x14ac:dyDescent="0.25">
      <c r="A9994" s="2">
        <v>9989</v>
      </c>
      <c r="B9994" s="3" t="str">
        <f>"00449914"</f>
        <v>00449914</v>
      </c>
    </row>
    <row r="9995" spans="1:2" x14ac:dyDescent="0.25">
      <c r="A9995" s="2">
        <v>9990</v>
      </c>
      <c r="B9995" s="3" t="str">
        <f>"00449928"</f>
        <v>00449928</v>
      </c>
    </row>
    <row r="9996" spans="1:2" x14ac:dyDescent="0.25">
      <c r="A9996" s="2">
        <v>9991</v>
      </c>
      <c r="B9996" s="3" t="str">
        <f>"00449948"</f>
        <v>00449948</v>
      </c>
    </row>
    <row r="9997" spans="1:2" x14ac:dyDescent="0.25">
      <c r="A9997" s="2">
        <v>9992</v>
      </c>
      <c r="B9997" s="3" t="str">
        <f>"00449969"</f>
        <v>00449969</v>
      </c>
    </row>
    <row r="9998" spans="1:2" x14ac:dyDescent="0.25">
      <c r="A9998" s="2">
        <v>9993</v>
      </c>
      <c r="B9998" s="3" t="str">
        <f>"00450020"</f>
        <v>00450020</v>
      </c>
    </row>
    <row r="9999" spans="1:2" x14ac:dyDescent="0.25">
      <c r="A9999" s="2">
        <v>9994</v>
      </c>
      <c r="B9999" s="3" t="str">
        <f>"00450186"</f>
        <v>00450186</v>
      </c>
    </row>
    <row r="10000" spans="1:2" x14ac:dyDescent="0.25">
      <c r="A10000" s="2">
        <v>9995</v>
      </c>
      <c r="B10000" s="3" t="str">
        <f>"00450202"</f>
        <v>00450202</v>
      </c>
    </row>
    <row r="10001" spans="1:2" x14ac:dyDescent="0.25">
      <c r="A10001" s="2">
        <v>9996</v>
      </c>
      <c r="B10001" s="3" t="str">
        <f>"00450437"</f>
        <v>00450437</v>
      </c>
    </row>
    <row r="10002" spans="1:2" x14ac:dyDescent="0.25">
      <c r="A10002" s="2">
        <v>9997</v>
      </c>
      <c r="B10002" s="3" t="str">
        <f>"00450472"</f>
        <v>00450472</v>
      </c>
    </row>
    <row r="10003" spans="1:2" x14ac:dyDescent="0.25">
      <c r="A10003" s="2">
        <v>9998</v>
      </c>
      <c r="B10003" s="3" t="str">
        <f>"00450605"</f>
        <v>00450605</v>
      </c>
    </row>
    <row r="10004" spans="1:2" x14ac:dyDescent="0.25">
      <c r="A10004" s="2">
        <v>9999</v>
      </c>
      <c r="B10004" s="3" t="str">
        <f>"00450640"</f>
        <v>00450640</v>
      </c>
    </row>
    <row r="10005" spans="1:2" x14ac:dyDescent="0.25">
      <c r="A10005" s="2">
        <v>10000</v>
      </c>
      <c r="B10005" s="3" t="str">
        <f>"00450875"</f>
        <v>00450875</v>
      </c>
    </row>
    <row r="10006" spans="1:2" x14ac:dyDescent="0.25">
      <c r="A10006" s="2">
        <v>10001</v>
      </c>
      <c r="B10006" s="3" t="str">
        <f>"00450945"</f>
        <v>00450945</v>
      </c>
    </row>
    <row r="10007" spans="1:2" x14ac:dyDescent="0.25">
      <c r="A10007" s="2">
        <v>10002</v>
      </c>
      <c r="B10007" s="3" t="str">
        <f>"00450959"</f>
        <v>00450959</v>
      </c>
    </row>
    <row r="10008" spans="1:2" x14ac:dyDescent="0.25">
      <c r="A10008" s="2">
        <v>10003</v>
      </c>
      <c r="B10008" s="3" t="str">
        <f>"00451014"</f>
        <v>00451014</v>
      </c>
    </row>
    <row r="10009" spans="1:2" x14ac:dyDescent="0.25">
      <c r="A10009" s="2">
        <v>10004</v>
      </c>
      <c r="B10009" s="3" t="str">
        <f>"00451030"</f>
        <v>00451030</v>
      </c>
    </row>
    <row r="10010" spans="1:2" x14ac:dyDescent="0.25">
      <c r="A10010" s="2">
        <v>10005</v>
      </c>
      <c r="B10010" s="3" t="str">
        <f>"00451032"</f>
        <v>00451032</v>
      </c>
    </row>
    <row r="10011" spans="1:2" x14ac:dyDescent="0.25">
      <c r="A10011" s="2">
        <v>10006</v>
      </c>
      <c r="B10011" s="3" t="str">
        <f>"00451033"</f>
        <v>00451033</v>
      </c>
    </row>
    <row r="10012" spans="1:2" x14ac:dyDescent="0.25">
      <c r="A10012" s="2">
        <v>10007</v>
      </c>
      <c r="B10012" s="3" t="str">
        <f>"00451037"</f>
        <v>00451037</v>
      </c>
    </row>
    <row r="10013" spans="1:2" x14ac:dyDescent="0.25">
      <c r="A10013" s="2">
        <v>10008</v>
      </c>
      <c r="B10013" s="3" t="str">
        <f>"00451051"</f>
        <v>00451051</v>
      </c>
    </row>
    <row r="10014" spans="1:2" x14ac:dyDescent="0.25">
      <c r="A10014" s="2">
        <v>10009</v>
      </c>
      <c r="B10014" s="3" t="str">
        <f>"00451118"</f>
        <v>00451118</v>
      </c>
    </row>
    <row r="10015" spans="1:2" x14ac:dyDescent="0.25">
      <c r="A10015" s="2">
        <v>10010</v>
      </c>
      <c r="B10015" s="3" t="str">
        <f>"00451137"</f>
        <v>00451137</v>
      </c>
    </row>
    <row r="10016" spans="1:2" x14ac:dyDescent="0.25">
      <c r="A10016" s="2">
        <v>10011</v>
      </c>
      <c r="B10016" s="3" t="str">
        <f>"00451209"</f>
        <v>00451209</v>
      </c>
    </row>
    <row r="10017" spans="1:2" x14ac:dyDescent="0.25">
      <c r="A10017" s="2">
        <v>10012</v>
      </c>
      <c r="B10017" s="3" t="str">
        <f>"00451306"</f>
        <v>00451306</v>
      </c>
    </row>
    <row r="10018" spans="1:2" x14ac:dyDescent="0.25">
      <c r="A10018" s="2">
        <v>10013</v>
      </c>
      <c r="B10018" s="3" t="str">
        <f>"00451314"</f>
        <v>00451314</v>
      </c>
    </row>
    <row r="10019" spans="1:2" x14ac:dyDescent="0.25">
      <c r="A10019" s="2">
        <v>10014</v>
      </c>
      <c r="B10019" s="3" t="str">
        <f>"00451329"</f>
        <v>00451329</v>
      </c>
    </row>
    <row r="10020" spans="1:2" x14ac:dyDescent="0.25">
      <c r="A10020" s="2">
        <v>10015</v>
      </c>
      <c r="B10020" s="3" t="str">
        <f>"00451347"</f>
        <v>00451347</v>
      </c>
    </row>
    <row r="10021" spans="1:2" x14ac:dyDescent="0.25">
      <c r="A10021" s="2">
        <v>10016</v>
      </c>
      <c r="B10021" s="3" t="str">
        <f>"00451373"</f>
        <v>00451373</v>
      </c>
    </row>
    <row r="10022" spans="1:2" x14ac:dyDescent="0.25">
      <c r="A10022" s="2">
        <v>10017</v>
      </c>
      <c r="B10022" s="3" t="str">
        <f>"00451596"</f>
        <v>00451596</v>
      </c>
    </row>
    <row r="10023" spans="1:2" x14ac:dyDescent="0.25">
      <c r="A10023" s="2">
        <v>10018</v>
      </c>
      <c r="B10023" s="3" t="str">
        <f>"00451656"</f>
        <v>00451656</v>
      </c>
    </row>
    <row r="10024" spans="1:2" x14ac:dyDescent="0.25">
      <c r="A10024" s="2">
        <v>10019</v>
      </c>
      <c r="B10024" s="3" t="str">
        <f>"00451689"</f>
        <v>00451689</v>
      </c>
    </row>
    <row r="10025" spans="1:2" x14ac:dyDescent="0.25">
      <c r="A10025" s="2">
        <v>10020</v>
      </c>
      <c r="B10025" s="3" t="str">
        <f>"00451709"</f>
        <v>00451709</v>
      </c>
    </row>
    <row r="10026" spans="1:2" x14ac:dyDescent="0.25">
      <c r="A10026" s="2">
        <v>10021</v>
      </c>
      <c r="B10026" s="3" t="str">
        <f>"00451732"</f>
        <v>00451732</v>
      </c>
    </row>
    <row r="10027" spans="1:2" x14ac:dyDescent="0.25">
      <c r="A10027" s="2">
        <v>10022</v>
      </c>
      <c r="B10027" s="3" t="str">
        <f>"00451754"</f>
        <v>00451754</v>
      </c>
    </row>
    <row r="10028" spans="1:2" x14ac:dyDescent="0.25">
      <c r="A10028" s="2">
        <v>10023</v>
      </c>
      <c r="B10028" s="3" t="str">
        <f>"00451762"</f>
        <v>00451762</v>
      </c>
    </row>
    <row r="10029" spans="1:2" x14ac:dyDescent="0.25">
      <c r="A10029" s="2">
        <v>10024</v>
      </c>
      <c r="B10029" s="3" t="str">
        <f>"00451843"</f>
        <v>00451843</v>
      </c>
    </row>
    <row r="10030" spans="1:2" x14ac:dyDescent="0.25">
      <c r="A10030" s="2">
        <v>10025</v>
      </c>
      <c r="B10030" s="3" t="str">
        <f>"00451872"</f>
        <v>00451872</v>
      </c>
    </row>
    <row r="10031" spans="1:2" x14ac:dyDescent="0.25">
      <c r="A10031" s="2">
        <v>10026</v>
      </c>
      <c r="B10031" s="3" t="str">
        <f>"00451878"</f>
        <v>00451878</v>
      </c>
    </row>
    <row r="10032" spans="1:2" x14ac:dyDescent="0.25">
      <c r="A10032" s="2">
        <v>10027</v>
      </c>
      <c r="B10032" s="3" t="str">
        <f>"00451930"</f>
        <v>00451930</v>
      </c>
    </row>
    <row r="10033" spans="1:2" x14ac:dyDescent="0.25">
      <c r="A10033" s="2">
        <v>10028</v>
      </c>
      <c r="B10033" s="3" t="str">
        <f>"00451937"</f>
        <v>00451937</v>
      </c>
    </row>
    <row r="10034" spans="1:2" x14ac:dyDescent="0.25">
      <c r="A10034" s="2">
        <v>10029</v>
      </c>
      <c r="B10034" s="3" t="str">
        <f>"00451978"</f>
        <v>00451978</v>
      </c>
    </row>
    <row r="10035" spans="1:2" x14ac:dyDescent="0.25">
      <c r="A10035" s="2">
        <v>10030</v>
      </c>
      <c r="B10035" s="3" t="str">
        <f>"00452131"</f>
        <v>00452131</v>
      </c>
    </row>
    <row r="10036" spans="1:2" x14ac:dyDescent="0.25">
      <c r="A10036" s="2">
        <v>10031</v>
      </c>
      <c r="B10036" s="3" t="str">
        <f>"00452170"</f>
        <v>00452170</v>
      </c>
    </row>
    <row r="10037" spans="1:2" x14ac:dyDescent="0.25">
      <c r="A10037" s="2">
        <v>10032</v>
      </c>
      <c r="B10037" s="3" t="str">
        <f>"00452171"</f>
        <v>00452171</v>
      </c>
    </row>
    <row r="10038" spans="1:2" x14ac:dyDescent="0.25">
      <c r="A10038" s="2">
        <v>10033</v>
      </c>
      <c r="B10038" s="3" t="str">
        <f>"00452270"</f>
        <v>00452270</v>
      </c>
    </row>
    <row r="10039" spans="1:2" x14ac:dyDescent="0.25">
      <c r="A10039" s="2">
        <v>10034</v>
      </c>
      <c r="B10039" s="3" t="str">
        <f>"00452289"</f>
        <v>00452289</v>
      </c>
    </row>
    <row r="10040" spans="1:2" x14ac:dyDescent="0.25">
      <c r="A10040" s="2">
        <v>10035</v>
      </c>
      <c r="B10040" s="3" t="str">
        <f>"00452357"</f>
        <v>00452357</v>
      </c>
    </row>
    <row r="10041" spans="1:2" x14ac:dyDescent="0.25">
      <c r="A10041" s="2">
        <v>10036</v>
      </c>
      <c r="B10041" s="3" t="str">
        <f>"00452382"</f>
        <v>00452382</v>
      </c>
    </row>
    <row r="10042" spans="1:2" x14ac:dyDescent="0.25">
      <c r="A10042" s="2">
        <v>10037</v>
      </c>
      <c r="B10042" s="3" t="str">
        <f>"00452408"</f>
        <v>00452408</v>
      </c>
    </row>
    <row r="10043" spans="1:2" x14ac:dyDescent="0.25">
      <c r="A10043" s="2">
        <v>10038</v>
      </c>
      <c r="B10043" s="3" t="str">
        <f>"00452490"</f>
        <v>00452490</v>
      </c>
    </row>
    <row r="10044" spans="1:2" x14ac:dyDescent="0.25">
      <c r="A10044" s="2">
        <v>10039</v>
      </c>
      <c r="B10044" s="3" t="str">
        <f>"00452529"</f>
        <v>00452529</v>
      </c>
    </row>
    <row r="10045" spans="1:2" x14ac:dyDescent="0.25">
      <c r="A10045" s="2">
        <v>10040</v>
      </c>
      <c r="B10045" s="3" t="str">
        <f>"00452563"</f>
        <v>00452563</v>
      </c>
    </row>
    <row r="10046" spans="1:2" x14ac:dyDescent="0.25">
      <c r="A10046" s="2">
        <v>10041</v>
      </c>
      <c r="B10046" s="3" t="str">
        <f>"00452578"</f>
        <v>00452578</v>
      </c>
    </row>
    <row r="10047" spans="1:2" x14ac:dyDescent="0.25">
      <c r="A10047" s="2">
        <v>10042</v>
      </c>
      <c r="B10047" s="3" t="str">
        <f>"00452622"</f>
        <v>00452622</v>
      </c>
    </row>
    <row r="10048" spans="1:2" x14ac:dyDescent="0.25">
      <c r="A10048" s="2">
        <v>10043</v>
      </c>
      <c r="B10048" s="3" t="str">
        <f>"00452630"</f>
        <v>00452630</v>
      </c>
    </row>
    <row r="10049" spans="1:2" x14ac:dyDescent="0.25">
      <c r="A10049" s="2">
        <v>10044</v>
      </c>
      <c r="B10049" s="3" t="str">
        <f>"00452715"</f>
        <v>00452715</v>
      </c>
    </row>
    <row r="10050" spans="1:2" x14ac:dyDescent="0.25">
      <c r="A10050" s="2">
        <v>10045</v>
      </c>
      <c r="B10050" s="3" t="str">
        <f>"00452734"</f>
        <v>00452734</v>
      </c>
    </row>
    <row r="10051" spans="1:2" x14ac:dyDescent="0.25">
      <c r="A10051" s="2">
        <v>10046</v>
      </c>
      <c r="B10051" s="3" t="str">
        <f>"00452816"</f>
        <v>00452816</v>
      </c>
    </row>
    <row r="10052" spans="1:2" x14ac:dyDescent="0.25">
      <c r="A10052" s="2">
        <v>10047</v>
      </c>
      <c r="B10052" s="3" t="str">
        <f>"00452833"</f>
        <v>00452833</v>
      </c>
    </row>
    <row r="10053" spans="1:2" x14ac:dyDescent="0.25">
      <c r="A10053" s="2">
        <v>10048</v>
      </c>
      <c r="B10053" s="3" t="str">
        <f>"00452845"</f>
        <v>00452845</v>
      </c>
    </row>
    <row r="10054" spans="1:2" x14ac:dyDescent="0.25">
      <c r="A10054" s="2">
        <v>10049</v>
      </c>
      <c r="B10054" s="3" t="str">
        <f>"00452851"</f>
        <v>00452851</v>
      </c>
    </row>
    <row r="10055" spans="1:2" x14ac:dyDescent="0.25">
      <c r="A10055" s="2">
        <v>10050</v>
      </c>
      <c r="B10055" s="3" t="str">
        <f>"00452874"</f>
        <v>00452874</v>
      </c>
    </row>
    <row r="10056" spans="1:2" x14ac:dyDescent="0.25">
      <c r="A10056" s="2">
        <v>10051</v>
      </c>
      <c r="B10056" s="3" t="str">
        <f>"00452912"</f>
        <v>00452912</v>
      </c>
    </row>
    <row r="10057" spans="1:2" x14ac:dyDescent="0.25">
      <c r="A10057" s="2">
        <v>10052</v>
      </c>
      <c r="B10057" s="3" t="str">
        <f>"00452968"</f>
        <v>00452968</v>
      </c>
    </row>
    <row r="10058" spans="1:2" x14ac:dyDescent="0.25">
      <c r="A10058" s="2">
        <v>10053</v>
      </c>
      <c r="B10058" s="3" t="str">
        <f>"00452988"</f>
        <v>00452988</v>
      </c>
    </row>
    <row r="10059" spans="1:2" x14ac:dyDescent="0.25">
      <c r="A10059" s="2">
        <v>10054</v>
      </c>
      <c r="B10059" s="3" t="str">
        <f>"00453020"</f>
        <v>00453020</v>
      </c>
    </row>
    <row r="10060" spans="1:2" x14ac:dyDescent="0.25">
      <c r="A10060" s="2">
        <v>10055</v>
      </c>
      <c r="B10060" s="3" t="str">
        <f>"00453077"</f>
        <v>00453077</v>
      </c>
    </row>
    <row r="10061" spans="1:2" x14ac:dyDescent="0.25">
      <c r="A10061" s="2">
        <v>10056</v>
      </c>
      <c r="B10061" s="3" t="str">
        <f>"00453119"</f>
        <v>00453119</v>
      </c>
    </row>
    <row r="10062" spans="1:2" x14ac:dyDescent="0.25">
      <c r="A10062" s="2">
        <v>10057</v>
      </c>
      <c r="B10062" s="3" t="str">
        <f>"00453142"</f>
        <v>00453142</v>
      </c>
    </row>
    <row r="10063" spans="1:2" x14ac:dyDescent="0.25">
      <c r="A10063" s="2">
        <v>10058</v>
      </c>
      <c r="B10063" s="3" t="str">
        <f>"00453168"</f>
        <v>00453168</v>
      </c>
    </row>
    <row r="10064" spans="1:2" x14ac:dyDescent="0.25">
      <c r="A10064" s="2">
        <v>10059</v>
      </c>
      <c r="B10064" s="3" t="str">
        <f>"00453183"</f>
        <v>00453183</v>
      </c>
    </row>
    <row r="10065" spans="1:2" x14ac:dyDescent="0.25">
      <c r="A10065" s="2">
        <v>10060</v>
      </c>
      <c r="B10065" s="3" t="str">
        <f>"00453200"</f>
        <v>00453200</v>
      </c>
    </row>
    <row r="10066" spans="1:2" x14ac:dyDescent="0.25">
      <c r="A10066" s="2">
        <v>10061</v>
      </c>
      <c r="B10066" s="3" t="str">
        <f>"00453232"</f>
        <v>00453232</v>
      </c>
    </row>
    <row r="10067" spans="1:2" x14ac:dyDescent="0.25">
      <c r="A10067" s="2">
        <v>10062</v>
      </c>
      <c r="B10067" s="3" t="str">
        <f>"00453238"</f>
        <v>00453238</v>
      </c>
    </row>
    <row r="10068" spans="1:2" x14ac:dyDescent="0.25">
      <c r="A10068" s="2">
        <v>10063</v>
      </c>
      <c r="B10068" s="3" t="str">
        <f>"00453249"</f>
        <v>00453249</v>
      </c>
    </row>
    <row r="10069" spans="1:2" x14ac:dyDescent="0.25">
      <c r="A10069" s="2">
        <v>10064</v>
      </c>
      <c r="B10069" s="3" t="str">
        <f>"00453300"</f>
        <v>00453300</v>
      </c>
    </row>
    <row r="10070" spans="1:2" x14ac:dyDescent="0.25">
      <c r="A10070" s="2">
        <v>10065</v>
      </c>
      <c r="B10070" s="3" t="str">
        <f>"00453326"</f>
        <v>00453326</v>
      </c>
    </row>
    <row r="10071" spans="1:2" x14ac:dyDescent="0.25">
      <c r="A10071" s="2">
        <v>10066</v>
      </c>
      <c r="B10071" s="3" t="str">
        <f>"00453384"</f>
        <v>00453384</v>
      </c>
    </row>
    <row r="10072" spans="1:2" x14ac:dyDescent="0.25">
      <c r="A10072" s="2">
        <v>10067</v>
      </c>
      <c r="B10072" s="3" t="str">
        <f>"00453389"</f>
        <v>00453389</v>
      </c>
    </row>
    <row r="10073" spans="1:2" x14ac:dyDescent="0.25">
      <c r="A10073" s="2">
        <v>10068</v>
      </c>
      <c r="B10073" s="3" t="str">
        <f>"00453501"</f>
        <v>00453501</v>
      </c>
    </row>
    <row r="10074" spans="1:2" x14ac:dyDescent="0.25">
      <c r="A10074" s="2">
        <v>10069</v>
      </c>
      <c r="B10074" s="3" t="str">
        <f>"00453539"</f>
        <v>00453539</v>
      </c>
    </row>
    <row r="10075" spans="1:2" x14ac:dyDescent="0.25">
      <c r="A10075" s="2">
        <v>10070</v>
      </c>
      <c r="B10075" s="3" t="str">
        <f>"00453547"</f>
        <v>00453547</v>
      </c>
    </row>
    <row r="10076" spans="1:2" x14ac:dyDescent="0.25">
      <c r="A10076" s="2">
        <v>10071</v>
      </c>
      <c r="B10076" s="3" t="str">
        <f>"00453598"</f>
        <v>00453598</v>
      </c>
    </row>
    <row r="10077" spans="1:2" x14ac:dyDescent="0.25">
      <c r="A10077" s="2">
        <v>10072</v>
      </c>
      <c r="B10077" s="3" t="str">
        <f>"00453610"</f>
        <v>00453610</v>
      </c>
    </row>
    <row r="10078" spans="1:2" x14ac:dyDescent="0.25">
      <c r="A10078" s="2">
        <v>10073</v>
      </c>
      <c r="B10078" s="3" t="str">
        <f>"00453670"</f>
        <v>00453670</v>
      </c>
    </row>
    <row r="10079" spans="1:2" x14ac:dyDescent="0.25">
      <c r="A10079" s="2">
        <v>10074</v>
      </c>
      <c r="B10079" s="3" t="str">
        <f>"00453683"</f>
        <v>00453683</v>
      </c>
    </row>
    <row r="10080" spans="1:2" x14ac:dyDescent="0.25">
      <c r="A10080" s="2">
        <v>10075</v>
      </c>
      <c r="B10080" s="3" t="str">
        <f>"00453710"</f>
        <v>00453710</v>
      </c>
    </row>
    <row r="10081" spans="1:2" x14ac:dyDescent="0.25">
      <c r="A10081" s="2">
        <v>10076</v>
      </c>
      <c r="B10081" s="3" t="str">
        <f>"00453767"</f>
        <v>00453767</v>
      </c>
    </row>
    <row r="10082" spans="1:2" x14ac:dyDescent="0.25">
      <c r="A10082" s="2">
        <v>10077</v>
      </c>
      <c r="B10082" s="3" t="str">
        <f>"00453783"</f>
        <v>00453783</v>
      </c>
    </row>
    <row r="10083" spans="1:2" x14ac:dyDescent="0.25">
      <c r="A10083" s="2">
        <v>10078</v>
      </c>
      <c r="B10083" s="3" t="str">
        <f>"00453900"</f>
        <v>00453900</v>
      </c>
    </row>
    <row r="10084" spans="1:2" x14ac:dyDescent="0.25">
      <c r="A10084" s="2">
        <v>10079</v>
      </c>
      <c r="B10084" s="3" t="str">
        <f>"00453909"</f>
        <v>00453909</v>
      </c>
    </row>
    <row r="10085" spans="1:2" x14ac:dyDescent="0.25">
      <c r="A10085" s="2">
        <v>10080</v>
      </c>
      <c r="B10085" s="3" t="str">
        <f>"00453926"</f>
        <v>00453926</v>
      </c>
    </row>
    <row r="10086" spans="1:2" x14ac:dyDescent="0.25">
      <c r="A10086" s="2">
        <v>10081</v>
      </c>
      <c r="B10086" s="3" t="str">
        <f>"00453928"</f>
        <v>00453928</v>
      </c>
    </row>
    <row r="10087" spans="1:2" x14ac:dyDescent="0.25">
      <c r="A10087" s="2">
        <v>10082</v>
      </c>
      <c r="B10087" s="3" t="str">
        <f>"00453944"</f>
        <v>00453944</v>
      </c>
    </row>
    <row r="10088" spans="1:2" x14ac:dyDescent="0.25">
      <c r="A10088" s="2">
        <v>10083</v>
      </c>
      <c r="B10088" s="3" t="str">
        <f>"00453952"</f>
        <v>00453952</v>
      </c>
    </row>
    <row r="10089" spans="1:2" x14ac:dyDescent="0.25">
      <c r="A10089" s="2">
        <v>10084</v>
      </c>
      <c r="B10089" s="3" t="str">
        <f>"00454007"</f>
        <v>00454007</v>
      </c>
    </row>
    <row r="10090" spans="1:2" x14ac:dyDescent="0.25">
      <c r="A10090" s="2">
        <v>10085</v>
      </c>
      <c r="B10090" s="3" t="str">
        <f>"00454045"</f>
        <v>00454045</v>
      </c>
    </row>
    <row r="10091" spans="1:2" x14ac:dyDescent="0.25">
      <c r="A10091" s="2">
        <v>10086</v>
      </c>
      <c r="B10091" s="3" t="str">
        <f>"00454055"</f>
        <v>00454055</v>
      </c>
    </row>
    <row r="10092" spans="1:2" x14ac:dyDescent="0.25">
      <c r="A10092" s="2">
        <v>10087</v>
      </c>
      <c r="B10092" s="3" t="str">
        <f>"00454079"</f>
        <v>00454079</v>
      </c>
    </row>
    <row r="10093" spans="1:2" x14ac:dyDescent="0.25">
      <c r="A10093" s="2">
        <v>10088</v>
      </c>
      <c r="B10093" s="3" t="str">
        <f>"00454085"</f>
        <v>00454085</v>
      </c>
    </row>
    <row r="10094" spans="1:2" x14ac:dyDescent="0.25">
      <c r="A10094" s="2">
        <v>10089</v>
      </c>
      <c r="B10094" s="3" t="str">
        <f>"00454099"</f>
        <v>00454099</v>
      </c>
    </row>
    <row r="10095" spans="1:2" x14ac:dyDescent="0.25">
      <c r="A10095" s="2">
        <v>10090</v>
      </c>
      <c r="B10095" s="3" t="str">
        <f>"00454136"</f>
        <v>00454136</v>
      </c>
    </row>
    <row r="10096" spans="1:2" x14ac:dyDescent="0.25">
      <c r="A10096" s="2">
        <v>10091</v>
      </c>
      <c r="B10096" s="3" t="str">
        <f>"00454139"</f>
        <v>00454139</v>
      </c>
    </row>
    <row r="10097" spans="1:2" x14ac:dyDescent="0.25">
      <c r="A10097" s="2">
        <v>10092</v>
      </c>
      <c r="B10097" s="3" t="str">
        <f>"00454183"</f>
        <v>00454183</v>
      </c>
    </row>
    <row r="10098" spans="1:2" x14ac:dyDescent="0.25">
      <c r="A10098" s="2">
        <v>10093</v>
      </c>
      <c r="B10098" s="3" t="str">
        <f>"00454265"</f>
        <v>00454265</v>
      </c>
    </row>
    <row r="10099" spans="1:2" x14ac:dyDescent="0.25">
      <c r="A10099" s="2">
        <v>10094</v>
      </c>
      <c r="B10099" s="3" t="str">
        <f>"00454290"</f>
        <v>00454290</v>
      </c>
    </row>
    <row r="10100" spans="1:2" x14ac:dyDescent="0.25">
      <c r="A10100" s="2">
        <v>10095</v>
      </c>
      <c r="B10100" s="3" t="str">
        <f>"00454343"</f>
        <v>00454343</v>
      </c>
    </row>
    <row r="10101" spans="1:2" x14ac:dyDescent="0.25">
      <c r="A10101" s="2">
        <v>10096</v>
      </c>
      <c r="B10101" s="3" t="str">
        <f>"00454387"</f>
        <v>00454387</v>
      </c>
    </row>
    <row r="10102" spans="1:2" x14ac:dyDescent="0.25">
      <c r="A10102" s="2">
        <v>10097</v>
      </c>
      <c r="B10102" s="3" t="str">
        <f>"00454388"</f>
        <v>00454388</v>
      </c>
    </row>
    <row r="10103" spans="1:2" x14ac:dyDescent="0.25">
      <c r="A10103" s="2">
        <v>10098</v>
      </c>
      <c r="B10103" s="3" t="str">
        <f>"00454394"</f>
        <v>00454394</v>
      </c>
    </row>
    <row r="10104" spans="1:2" x14ac:dyDescent="0.25">
      <c r="A10104" s="2">
        <v>10099</v>
      </c>
      <c r="B10104" s="3" t="str">
        <f>"00454410"</f>
        <v>00454410</v>
      </c>
    </row>
    <row r="10105" spans="1:2" x14ac:dyDescent="0.25">
      <c r="A10105" s="2">
        <v>10100</v>
      </c>
      <c r="B10105" s="3" t="str">
        <f>"00454420"</f>
        <v>00454420</v>
      </c>
    </row>
    <row r="10106" spans="1:2" x14ac:dyDescent="0.25">
      <c r="A10106" s="2">
        <v>10101</v>
      </c>
      <c r="B10106" s="3" t="str">
        <f>"00454457"</f>
        <v>00454457</v>
      </c>
    </row>
    <row r="10107" spans="1:2" x14ac:dyDescent="0.25">
      <c r="A10107" s="2">
        <v>10102</v>
      </c>
      <c r="B10107" s="3" t="str">
        <f>"00454496"</f>
        <v>00454496</v>
      </c>
    </row>
    <row r="10108" spans="1:2" x14ac:dyDescent="0.25">
      <c r="A10108" s="2">
        <v>10103</v>
      </c>
      <c r="B10108" s="3" t="str">
        <f>"00454514"</f>
        <v>00454514</v>
      </c>
    </row>
    <row r="10109" spans="1:2" x14ac:dyDescent="0.25">
      <c r="A10109" s="2">
        <v>10104</v>
      </c>
      <c r="B10109" s="3" t="str">
        <f>"00454547"</f>
        <v>00454547</v>
      </c>
    </row>
    <row r="10110" spans="1:2" x14ac:dyDescent="0.25">
      <c r="A10110" s="2">
        <v>10105</v>
      </c>
      <c r="B10110" s="3" t="str">
        <f>"00454558"</f>
        <v>00454558</v>
      </c>
    </row>
    <row r="10111" spans="1:2" x14ac:dyDescent="0.25">
      <c r="A10111" s="2">
        <v>10106</v>
      </c>
      <c r="B10111" s="3" t="str">
        <f>"00454560"</f>
        <v>00454560</v>
      </c>
    </row>
    <row r="10112" spans="1:2" x14ac:dyDescent="0.25">
      <c r="A10112" s="2">
        <v>10107</v>
      </c>
      <c r="B10112" s="3" t="str">
        <f>"00454689"</f>
        <v>00454689</v>
      </c>
    </row>
    <row r="10113" spans="1:2" x14ac:dyDescent="0.25">
      <c r="A10113" s="2">
        <v>10108</v>
      </c>
      <c r="B10113" s="3" t="str">
        <f>"00454832"</f>
        <v>00454832</v>
      </c>
    </row>
    <row r="10114" spans="1:2" x14ac:dyDescent="0.25">
      <c r="A10114" s="2">
        <v>10109</v>
      </c>
      <c r="B10114" s="3" t="str">
        <f>"00454890"</f>
        <v>00454890</v>
      </c>
    </row>
    <row r="10115" spans="1:2" x14ac:dyDescent="0.25">
      <c r="A10115" s="2">
        <v>10110</v>
      </c>
      <c r="B10115" s="3" t="str">
        <f>"00455106"</f>
        <v>00455106</v>
      </c>
    </row>
    <row r="10116" spans="1:2" x14ac:dyDescent="0.25">
      <c r="A10116" s="2">
        <v>10111</v>
      </c>
      <c r="B10116" s="3" t="str">
        <f>"00455153"</f>
        <v>00455153</v>
      </c>
    </row>
    <row r="10117" spans="1:2" x14ac:dyDescent="0.25">
      <c r="A10117" s="2">
        <v>10112</v>
      </c>
      <c r="B10117" s="3" t="str">
        <f>"00455280"</f>
        <v>00455280</v>
      </c>
    </row>
    <row r="10118" spans="1:2" x14ac:dyDescent="0.25">
      <c r="A10118" s="2">
        <v>10113</v>
      </c>
      <c r="B10118" s="3" t="str">
        <f>"00455323"</f>
        <v>00455323</v>
      </c>
    </row>
    <row r="10119" spans="1:2" x14ac:dyDescent="0.25">
      <c r="A10119" s="2">
        <v>10114</v>
      </c>
      <c r="B10119" s="3" t="str">
        <f>"00455342"</f>
        <v>00455342</v>
      </c>
    </row>
    <row r="10120" spans="1:2" x14ac:dyDescent="0.25">
      <c r="A10120" s="2">
        <v>10115</v>
      </c>
      <c r="B10120" s="3" t="str">
        <f>"00455353"</f>
        <v>00455353</v>
      </c>
    </row>
    <row r="10121" spans="1:2" x14ac:dyDescent="0.25">
      <c r="A10121" s="2">
        <v>10116</v>
      </c>
      <c r="B10121" s="3" t="str">
        <f>"00455380"</f>
        <v>00455380</v>
      </c>
    </row>
    <row r="10122" spans="1:2" x14ac:dyDescent="0.25">
      <c r="A10122" s="2">
        <v>10117</v>
      </c>
      <c r="B10122" s="3" t="str">
        <f>"00455423"</f>
        <v>00455423</v>
      </c>
    </row>
    <row r="10123" spans="1:2" x14ac:dyDescent="0.25">
      <c r="A10123" s="2">
        <v>10118</v>
      </c>
      <c r="B10123" s="3" t="str">
        <f>"00455454"</f>
        <v>00455454</v>
      </c>
    </row>
    <row r="10124" spans="1:2" x14ac:dyDescent="0.25">
      <c r="A10124" s="2">
        <v>10119</v>
      </c>
      <c r="B10124" s="3" t="str">
        <f>"00455472"</f>
        <v>00455472</v>
      </c>
    </row>
    <row r="10125" spans="1:2" x14ac:dyDescent="0.25">
      <c r="A10125" s="2">
        <v>10120</v>
      </c>
      <c r="B10125" s="3" t="str">
        <f>"00455606"</f>
        <v>00455606</v>
      </c>
    </row>
    <row r="10126" spans="1:2" x14ac:dyDescent="0.25">
      <c r="A10126" s="2">
        <v>10121</v>
      </c>
      <c r="B10126" s="3" t="str">
        <f>"00455630"</f>
        <v>00455630</v>
      </c>
    </row>
    <row r="10127" spans="1:2" x14ac:dyDescent="0.25">
      <c r="A10127" s="2">
        <v>10122</v>
      </c>
      <c r="B10127" s="3" t="str">
        <f>"00455679"</f>
        <v>00455679</v>
      </c>
    </row>
    <row r="10128" spans="1:2" x14ac:dyDescent="0.25">
      <c r="A10128" s="2">
        <v>10123</v>
      </c>
      <c r="B10128" s="3" t="str">
        <f>"00455701"</f>
        <v>00455701</v>
      </c>
    </row>
    <row r="10129" spans="1:2" x14ac:dyDescent="0.25">
      <c r="A10129" s="2">
        <v>10124</v>
      </c>
      <c r="B10129" s="3" t="str">
        <f>"00455706"</f>
        <v>00455706</v>
      </c>
    </row>
    <row r="10130" spans="1:2" x14ac:dyDescent="0.25">
      <c r="A10130" s="2">
        <v>10125</v>
      </c>
      <c r="B10130" s="3" t="str">
        <f>"00455707"</f>
        <v>00455707</v>
      </c>
    </row>
    <row r="10131" spans="1:2" x14ac:dyDescent="0.25">
      <c r="A10131" s="2">
        <v>10126</v>
      </c>
      <c r="B10131" s="3" t="str">
        <f>"00455728"</f>
        <v>00455728</v>
      </c>
    </row>
    <row r="10132" spans="1:2" x14ac:dyDescent="0.25">
      <c r="A10132" s="2">
        <v>10127</v>
      </c>
      <c r="B10132" s="3" t="str">
        <f>"00455832"</f>
        <v>00455832</v>
      </c>
    </row>
    <row r="10133" spans="1:2" x14ac:dyDescent="0.25">
      <c r="A10133" s="2">
        <v>10128</v>
      </c>
      <c r="B10133" s="3" t="str">
        <f>"00455834"</f>
        <v>00455834</v>
      </c>
    </row>
    <row r="10134" spans="1:2" x14ac:dyDescent="0.25">
      <c r="A10134" s="2">
        <v>10129</v>
      </c>
      <c r="B10134" s="3" t="str">
        <f>"00455881"</f>
        <v>00455881</v>
      </c>
    </row>
    <row r="10135" spans="1:2" x14ac:dyDescent="0.25">
      <c r="A10135" s="2">
        <v>10130</v>
      </c>
      <c r="B10135" s="3" t="str">
        <f>"00455909"</f>
        <v>00455909</v>
      </c>
    </row>
    <row r="10136" spans="1:2" x14ac:dyDescent="0.25">
      <c r="A10136" s="2">
        <v>10131</v>
      </c>
      <c r="B10136" s="3" t="str">
        <f>"00455915"</f>
        <v>00455915</v>
      </c>
    </row>
    <row r="10137" spans="1:2" x14ac:dyDescent="0.25">
      <c r="A10137" s="2">
        <v>10132</v>
      </c>
      <c r="B10137" s="3" t="str">
        <f>"00455921"</f>
        <v>00455921</v>
      </c>
    </row>
    <row r="10138" spans="1:2" x14ac:dyDescent="0.25">
      <c r="A10138" s="2">
        <v>10133</v>
      </c>
      <c r="B10138" s="3" t="str">
        <f>"00455924"</f>
        <v>00455924</v>
      </c>
    </row>
    <row r="10139" spans="1:2" x14ac:dyDescent="0.25">
      <c r="A10139" s="2">
        <v>10134</v>
      </c>
      <c r="B10139" s="3" t="str">
        <f>"00455947"</f>
        <v>00455947</v>
      </c>
    </row>
    <row r="10140" spans="1:2" x14ac:dyDescent="0.25">
      <c r="A10140" s="2">
        <v>10135</v>
      </c>
      <c r="B10140" s="3" t="str">
        <f>"00455981"</f>
        <v>00455981</v>
      </c>
    </row>
    <row r="10141" spans="1:2" x14ac:dyDescent="0.25">
      <c r="A10141" s="2">
        <v>10136</v>
      </c>
      <c r="B10141" s="3" t="str">
        <f>"00455984"</f>
        <v>00455984</v>
      </c>
    </row>
    <row r="10142" spans="1:2" x14ac:dyDescent="0.25">
      <c r="A10142" s="2">
        <v>10137</v>
      </c>
      <c r="B10142" s="3" t="str">
        <f>"00455997"</f>
        <v>00455997</v>
      </c>
    </row>
    <row r="10143" spans="1:2" x14ac:dyDescent="0.25">
      <c r="A10143" s="2">
        <v>10138</v>
      </c>
      <c r="B10143" s="3" t="str">
        <f>"00456005"</f>
        <v>00456005</v>
      </c>
    </row>
    <row r="10144" spans="1:2" x14ac:dyDescent="0.25">
      <c r="A10144" s="2">
        <v>10139</v>
      </c>
      <c r="B10144" s="3" t="str">
        <f>"00456032"</f>
        <v>00456032</v>
      </c>
    </row>
    <row r="10145" spans="1:2" x14ac:dyDescent="0.25">
      <c r="A10145" s="2">
        <v>10140</v>
      </c>
      <c r="B10145" s="3" t="str">
        <f>"00456041"</f>
        <v>00456041</v>
      </c>
    </row>
    <row r="10146" spans="1:2" x14ac:dyDescent="0.25">
      <c r="A10146" s="2">
        <v>10141</v>
      </c>
      <c r="B10146" s="3" t="str">
        <f>"00456088"</f>
        <v>00456088</v>
      </c>
    </row>
    <row r="10147" spans="1:2" x14ac:dyDescent="0.25">
      <c r="A10147" s="2">
        <v>10142</v>
      </c>
      <c r="B10147" s="3" t="str">
        <f>"00456090"</f>
        <v>00456090</v>
      </c>
    </row>
    <row r="10148" spans="1:2" x14ac:dyDescent="0.25">
      <c r="A10148" s="2">
        <v>10143</v>
      </c>
      <c r="B10148" s="3" t="str">
        <f>"00456103"</f>
        <v>00456103</v>
      </c>
    </row>
    <row r="10149" spans="1:2" x14ac:dyDescent="0.25">
      <c r="A10149" s="2">
        <v>10144</v>
      </c>
      <c r="B10149" s="3" t="str">
        <f>"00456146"</f>
        <v>00456146</v>
      </c>
    </row>
    <row r="10150" spans="1:2" x14ac:dyDescent="0.25">
      <c r="A10150" s="2">
        <v>10145</v>
      </c>
      <c r="B10150" s="3" t="str">
        <f>"00456172"</f>
        <v>00456172</v>
      </c>
    </row>
    <row r="10151" spans="1:2" x14ac:dyDescent="0.25">
      <c r="A10151" s="2">
        <v>10146</v>
      </c>
      <c r="B10151" s="3" t="str">
        <f>"00456235"</f>
        <v>00456235</v>
      </c>
    </row>
    <row r="10152" spans="1:2" x14ac:dyDescent="0.25">
      <c r="A10152" s="2">
        <v>10147</v>
      </c>
      <c r="B10152" s="3" t="str">
        <f>"00456276"</f>
        <v>00456276</v>
      </c>
    </row>
    <row r="10153" spans="1:2" x14ac:dyDescent="0.25">
      <c r="A10153" s="2">
        <v>10148</v>
      </c>
      <c r="B10153" s="3" t="str">
        <f>"00456297"</f>
        <v>00456297</v>
      </c>
    </row>
    <row r="10154" spans="1:2" x14ac:dyDescent="0.25">
      <c r="A10154" s="2">
        <v>10149</v>
      </c>
      <c r="B10154" s="3" t="str">
        <f>"00456339"</f>
        <v>00456339</v>
      </c>
    </row>
    <row r="10155" spans="1:2" x14ac:dyDescent="0.25">
      <c r="A10155" s="2">
        <v>10150</v>
      </c>
      <c r="B10155" s="3" t="str">
        <f>"00456341"</f>
        <v>00456341</v>
      </c>
    </row>
    <row r="10156" spans="1:2" x14ac:dyDescent="0.25">
      <c r="A10156" s="2">
        <v>10151</v>
      </c>
      <c r="B10156" s="3" t="str">
        <f>"00456398"</f>
        <v>00456398</v>
      </c>
    </row>
    <row r="10157" spans="1:2" x14ac:dyDescent="0.25">
      <c r="A10157" s="2">
        <v>10152</v>
      </c>
      <c r="B10157" s="3" t="str">
        <f>"00456400"</f>
        <v>00456400</v>
      </c>
    </row>
    <row r="10158" spans="1:2" x14ac:dyDescent="0.25">
      <c r="A10158" s="2">
        <v>10153</v>
      </c>
      <c r="B10158" s="3" t="str">
        <f>"00456432"</f>
        <v>00456432</v>
      </c>
    </row>
    <row r="10159" spans="1:2" x14ac:dyDescent="0.25">
      <c r="A10159" s="2">
        <v>10154</v>
      </c>
      <c r="B10159" s="3" t="str">
        <f>"00456463"</f>
        <v>00456463</v>
      </c>
    </row>
    <row r="10160" spans="1:2" x14ac:dyDescent="0.25">
      <c r="A10160" s="2">
        <v>10155</v>
      </c>
      <c r="B10160" s="3" t="str">
        <f>"00456525"</f>
        <v>00456525</v>
      </c>
    </row>
    <row r="10161" spans="1:2" x14ac:dyDescent="0.25">
      <c r="A10161" s="2">
        <v>10156</v>
      </c>
      <c r="B10161" s="3" t="str">
        <f>"00456526"</f>
        <v>00456526</v>
      </c>
    </row>
    <row r="10162" spans="1:2" x14ac:dyDescent="0.25">
      <c r="A10162" s="2">
        <v>10157</v>
      </c>
      <c r="B10162" s="3" t="str">
        <f>"00456545"</f>
        <v>00456545</v>
      </c>
    </row>
    <row r="10163" spans="1:2" x14ac:dyDescent="0.25">
      <c r="A10163" s="2">
        <v>10158</v>
      </c>
      <c r="B10163" s="3" t="str">
        <f>"00456555"</f>
        <v>00456555</v>
      </c>
    </row>
    <row r="10164" spans="1:2" x14ac:dyDescent="0.25">
      <c r="A10164" s="2">
        <v>10159</v>
      </c>
      <c r="B10164" s="3" t="str">
        <f>"00456581"</f>
        <v>00456581</v>
      </c>
    </row>
    <row r="10165" spans="1:2" x14ac:dyDescent="0.25">
      <c r="A10165" s="2">
        <v>10160</v>
      </c>
      <c r="B10165" s="3" t="str">
        <f>"00456582"</f>
        <v>00456582</v>
      </c>
    </row>
    <row r="10166" spans="1:2" x14ac:dyDescent="0.25">
      <c r="A10166" s="2">
        <v>10161</v>
      </c>
      <c r="B10166" s="3" t="str">
        <f>"00456610"</f>
        <v>00456610</v>
      </c>
    </row>
    <row r="10167" spans="1:2" x14ac:dyDescent="0.25">
      <c r="A10167" s="2">
        <v>10162</v>
      </c>
      <c r="B10167" s="3" t="str">
        <f>"00456741"</f>
        <v>00456741</v>
      </c>
    </row>
    <row r="10168" spans="1:2" x14ac:dyDescent="0.25">
      <c r="A10168" s="2">
        <v>10163</v>
      </c>
      <c r="B10168" s="3" t="str">
        <f>"00456756"</f>
        <v>00456756</v>
      </c>
    </row>
    <row r="10169" spans="1:2" x14ac:dyDescent="0.25">
      <c r="A10169" s="2">
        <v>10164</v>
      </c>
      <c r="B10169" s="3" t="str">
        <f>"00456766"</f>
        <v>00456766</v>
      </c>
    </row>
    <row r="10170" spans="1:2" x14ac:dyDescent="0.25">
      <c r="A10170" s="2">
        <v>10165</v>
      </c>
      <c r="B10170" s="3" t="str">
        <f>"00456825"</f>
        <v>00456825</v>
      </c>
    </row>
    <row r="10171" spans="1:2" x14ac:dyDescent="0.25">
      <c r="A10171" s="2">
        <v>10166</v>
      </c>
      <c r="B10171" s="3" t="str">
        <f>"00456827"</f>
        <v>00456827</v>
      </c>
    </row>
    <row r="10172" spans="1:2" x14ac:dyDescent="0.25">
      <c r="A10172" s="2">
        <v>10167</v>
      </c>
      <c r="B10172" s="3" t="str">
        <f>"00456833"</f>
        <v>00456833</v>
      </c>
    </row>
    <row r="10173" spans="1:2" x14ac:dyDescent="0.25">
      <c r="A10173" s="2">
        <v>10168</v>
      </c>
      <c r="B10173" s="3" t="str">
        <f>"00456844"</f>
        <v>00456844</v>
      </c>
    </row>
    <row r="10174" spans="1:2" x14ac:dyDescent="0.25">
      <c r="A10174" s="2">
        <v>10169</v>
      </c>
      <c r="B10174" s="3" t="str">
        <f>"00456857"</f>
        <v>00456857</v>
      </c>
    </row>
    <row r="10175" spans="1:2" x14ac:dyDescent="0.25">
      <c r="A10175" s="2">
        <v>10170</v>
      </c>
      <c r="B10175" s="3" t="str">
        <f>"00456869"</f>
        <v>00456869</v>
      </c>
    </row>
    <row r="10176" spans="1:2" x14ac:dyDescent="0.25">
      <c r="A10176" s="2">
        <v>10171</v>
      </c>
      <c r="B10176" s="3" t="str">
        <f>"00456875"</f>
        <v>00456875</v>
      </c>
    </row>
    <row r="10177" spans="1:2" x14ac:dyDescent="0.25">
      <c r="A10177" s="2">
        <v>10172</v>
      </c>
      <c r="B10177" s="3" t="str">
        <f>"00456903"</f>
        <v>00456903</v>
      </c>
    </row>
    <row r="10178" spans="1:2" x14ac:dyDescent="0.25">
      <c r="A10178" s="2">
        <v>10173</v>
      </c>
      <c r="B10178" s="3" t="str">
        <f>"00456918"</f>
        <v>00456918</v>
      </c>
    </row>
    <row r="10179" spans="1:2" x14ac:dyDescent="0.25">
      <c r="A10179" s="2">
        <v>10174</v>
      </c>
      <c r="B10179" s="3" t="str">
        <f>"00456924"</f>
        <v>00456924</v>
      </c>
    </row>
    <row r="10180" spans="1:2" x14ac:dyDescent="0.25">
      <c r="A10180" s="2">
        <v>10175</v>
      </c>
      <c r="B10180" s="3" t="str">
        <f>"00456951"</f>
        <v>00456951</v>
      </c>
    </row>
    <row r="10181" spans="1:2" x14ac:dyDescent="0.25">
      <c r="A10181" s="2">
        <v>10176</v>
      </c>
      <c r="B10181" s="3" t="str">
        <f>"00456960"</f>
        <v>00456960</v>
      </c>
    </row>
    <row r="10182" spans="1:2" x14ac:dyDescent="0.25">
      <c r="A10182" s="2">
        <v>10177</v>
      </c>
      <c r="B10182" s="3" t="str">
        <f>"00457008"</f>
        <v>00457008</v>
      </c>
    </row>
    <row r="10183" spans="1:2" x14ac:dyDescent="0.25">
      <c r="A10183" s="2">
        <v>10178</v>
      </c>
      <c r="B10183" s="3" t="str">
        <f>"00457020"</f>
        <v>00457020</v>
      </c>
    </row>
    <row r="10184" spans="1:2" x14ac:dyDescent="0.25">
      <c r="A10184" s="2">
        <v>10179</v>
      </c>
      <c r="B10184" s="3" t="str">
        <f>"00457081"</f>
        <v>00457081</v>
      </c>
    </row>
    <row r="10185" spans="1:2" x14ac:dyDescent="0.25">
      <c r="A10185" s="2">
        <v>10180</v>
      </c>
      <c r="B10185" s="3" t="str">
        <f>"00457117"</f>
        <v>00457117</v>
      </c>
    </row>
    <row r="10186" spans="1:2" x14ac:dyDescent="0.25">
      <c r="A10186" s="2">
        <v>10181</v>
      </c>
      <c r="B10186" s="3" t="str">
        <f>"00457200"</f>
        <v>00457200</v>
      </c>
    </row>
    <row r="10187" spans="1:2" x14ac:dyDescent="0.25">
      <c r="A10187" s="2">
        <v>10182</v>
      </c>
      <c r="B10187" s="3" t="str">
        <f>"00457233"</f>
        <v>00457233</v>
      </c>
    </row>
    <row r="10188" spans="1:2" x14ac:dyDescent="0.25">
      <c r="A10188" s="2">
        <v>10183</v>
      </c>
      <c r="B10188" s="3" t="str">
        <f>"00457252"</f>
        <v>00457252</v>
      </c>
    </row>
    <row r="10189" spans="1:2" x14ac:dyDescent="0.25">
      <c r="A10189" s="2">
        <v>10184</v>
      </c>
      <c r="B10189" s="3" t="str">
        <f>"00457264"</f>
        <v>00457264</v>
      </c>
    </row>
    <row r="10190" spans="1:2" x14ac:dyDescent="0.25">
      <c r="A10190" s="2">
        <v>10185</v>
      </c>
      <c r="B10190" s="3" t="str">
        <f>"00457294"</f>
        <v>00457294</v>
      </c>
    </row>
    <row r="10191" spans="1:2" x14ac:dyDescent="0.25">
      <c r="A10191" s="2">
        <v>10186</v>
      </c>
      <c r="B10191" s="3" t="str">
        <f>"00457307"</f>
        <v>00457307</v>
      </c>
    </row>
    <row r="10192" spans="1:2" x14ac:dyDescent="0.25">
      <c r="A10192" s="2">
        <v>10187</v>
      </c>
      <c r="B10192" s="3" t="str">
        <f>"00457311"</f>
        <v>00457311</v>
      </c>
    </row>
    <row r="10193" spans="1:2" x14ac:dyDescent="0.25">
      <c r="A10193" s="2">
        <v>10188</v>
      </c>
      <c r="B10193" s="3" t="str">
        <f>"00457342"</f>
        <v>00457342</v>
      </c>
    </row>
    <row r="10194" spans="1:2" x14ac:dyDescent="0.25">
      <c r="A10194" s="2">
        <v>10189</v>
      </c>
      <c r="B10194" s="3" t="str">
        <f>"00457401"</f>
        <v>00457401</v>
      </c>
    </row>
    <row r="10195" spans="1:2" x14ac:dyDescent="0.25">
      <c r="A10195" s="2">
        <v>10190</v>
      </c>
      <c r="B10195" s="3" t="str">
        <f>"00457441"</f>
        <v>00457441</v>
      </c>
    </row>
    <row r="10196" spans="1:2" x14ac:dyDescent="0.25">
      <c r="A10196" s="2">
        <v>10191</v>
      </c>
      <c r="B10196" s="3" t="str">
        <f>"00457454"</f>
        <v>00457454</v>
      </c>
    </row>
    <row r="10197" spans="1:2" x14ac:dyDescent="0.25">
      <c r="A10197" s="2">
        <v>10192</v>
      </c>
      <c r="B10197" s="3" t="str">
        <f>"00457633"</f>
        <v>00457633</v>
      </c>
    </row>
    <row r="10198" spans="1:2" x14ac:dyDescent="0.25">
      <c r="A10198" s="2">
        <v>10193</v>
      </c>
      <c r="B10198" s="3" t="str">
        <f>"00457688"</f>
        <v>00457688</v>
      </c>
    </row>
    <row r="10199" spans="1:2" x14ac:dyDescent="0.25">
      <c r="A10199" s="2">
        <v>10194</v>
      </c>
      <c r="B10199" s="3" t="str">
        <f>"00457714"</f>
        <v>00457714</v>
      </c>
    </row>
    <row r="10200" spans="1:2" x14ac:dyDescent="0.25">
      <c r="A10200" s="2">
        <v>10195</v>
      </c>
      <c r="B10200" s="3" t="str">
        <f>"00457734"</f>
        <v>00457734</v>
      </c>
    </row>
    <row r="10201" spans="1:2" x14ac:dyDescent="0.25">
      <c r="A10201" s="2">
        <v>10196</v>
      </c>
      <c r="B10201" s="3" t="str">
        <f>"00457741"</f>
        <v>00457741</v>
      </c>
    </row>
    <row r="10202" spans="1:2" x14ac:dyDescent="0.25">
      <c r="A10202" s="2">
        <v>10197</v>
      </c>
      <c r="B10202" s="3" t="str">
        <f>"00457742"</f>
        <v>00457742</v>
      </c>
    </row>
    <row r="10203" spans="1:2" x14ac:dyDescent="0.25">
      <c r="A10203" s="2">
        <v>10198</v>
      </c>
      <c r="B10203" s="3" t="str">
        <f>"00457786"</f>
        <v>00457786</v>
      </c>
    </row>
    <row r="10204" spans="1:2" x14ac:dyDescent="0.25">
      <c r="A10204" s="2">
        <v>10199</v>
      </c>
      <c r="B10204" s="3" t="str">
        <f>"00457837"</f>
        <v>00457837</v>
      </c>
    </row>
    <row r="10205" spans="1:2" x14ac:dyDescent="0.25">
      <c r="A10205" s="2">
        <v>10200</v>
      </c>
      <c r="B10205" s="3" t="str">
        <f>"00457838"</f>
        <v>00457838</v>
      </c>
    </row>
    <row r="10206" spans="1:2" x14ac:dyDescent="0.25">
      <c r="A10206" s="2">
        <v>10201</v>
      </c>
      <c r="B10206" s="3" t="str">
        <f>"00457933"</f>
        <v>00457933</v>
      </c>
    </row>
    <row r="10207" spans="1:2" x14ac:dyDescent="0.25">
      <c r="A10207" s="2">
        <v>10202</v>
      </c>
      <c r="B10207" s="3" t="str">
        <f>"00457939"</f>
        <v>00457939</v>
      </c>
    </row>
    <row r="10208" spans="1:2" x14ac:dyDescent="0.25">
      <c r="A10208" s="2">
        <v>10203</v>
      </c>
      <c r="B10208" s="3" t="str">
        <f>"00457993"</f>
        <v>00457993</v>
      </c>
    </row>
    <row r="10209" spans="1:2" x14ac:dyDescent="0.25">
      <c r="A10209" s="2">
        <v>10204</v>
      </c>
      <c r="B10209" s="3" t="str">
        <f>"00458101"</f>
        <v>00458101</v>
      </c>
    </row>
    <row r="10210" spans="1:2" x14ac:dyDescent="0.25">
      <c r="A10210" s="2">
        <v>10205</v>
      </c>
      <c r="B10210" s="3" t="str">
        <f>"00458170"</f>
        <v>00458170</v>
      </c>
    </row>
    <row r="10211" spans="1:2" x14ac:dyDescent="0.25">
      <c r="A10211" s="2">
        <v>10206</v>
      </c>
      <c r="B10211" s="3" t="str">
        <f>"00458230"</f>
        <v>00458230</v>
      </c>
    </row>
    <row r="10212" spans="1:2" x14ac:dyDescent="0.25">
      <c r="A10212" s="2">
        <v>10207</v>
      </c>
      <c r="B10212" s="3" t="str">
        <f>"00458405"</f>
        <v>00458405</v>
      </c>
    </row>
    <row r="10213" spans="1:2" x14ac:dyDescent="0.25">
      <c r="A10213" s="2">
        <v>10208</v>
      </c>
      <c r="B10213" s="3" t="str">
        <f>"00458437"</f>
        <v>00458437</v>
      </c>
    </row>
    <row r="10214" spans="1:2" x14ac:dyDescent="0.25">
      <c r="A10214" s="2">
        <v>10209</v>
      </c>
      <c r="B10214" s="3" t="str">
        <f>"00458470"</f>
        <v>00458470</v>
      </c>
    </row>
    <row r="10215" spans="1:2" x14ac:dyDescent="0.25">
      <c r="A10215" s="2">
        <v>10210</v>
      </c>
      <c r="B10215" s="3" t="str">
        <f>"00458505"</f>
        <v>00458505</v>
      </c>
    </row>
    <row r="10216" spans="1:2" x14ac:dyDescent="0.25">
      <c r="A10216" s="2">
        <v>10211</v>
      </c>
      <c r="B10216" s="3" t="str">
        <f>"00458521"</f>
        <v>00458521</v>
      </c>
    </row>
    <row r="10217" spans="1:2" x14ac:dyDescent="0.25">
      <c r="A10217" s="2">
        <v>10212</v>
      </c>
      <c r="B10217" s="3" t="str">
        <f>"00458539"</f>
        <v>00458539</v>
      </c>
    </row>
    <row r="10218" spans="1:2" x14ac:dyDescent="0.25">
      <c r="A10218" s="2">
        <v>10213</v>
      </c>
      <c r="B10218" s="3" t="str">
        <f>"00458608"</f>
        <v>00458608</v>
      </c>
    </row>
    <row r="10219" spans="1:2" x14ac:dyDescent="0.25">
      <c r="A10219" s="2">
        <v>10214</v>
      </c>
      <c r="B10219" s="3" t="str">
        <f>"00458609"</f>
        <v>00458609</v>
      </c>
    </row>
    <row r="10220" spans="1:2" x14ac:dyDescent="0.25">
      <c r="A10220" s="2">
        <v>10215</v>
      </c>
      <c r="B10220" s="3" t="str">
        <f>"00458769"</f>
        <v>00458769</v>
      </c>
    </row>
    <row r="10221" spans="1:2" x14ac:dyDescent="0.25">
      <c r="A10221" s="2">
        <v>10216</v>
      </c>
      <c r="B10221" s="3" t="str">
        <f>"00458867"</f>
        <v>00458867</v>
      </c>
    </row>
    <row r="10222" spans="1:2" x14ac:dyDescent="0.25">
      <c r="A10222" s="2">
        <v>10217</v>
      </c>
      <c r="B10222" s="3" t="str">
        <f>"00459024"</f>
        <v>00459024</v>
      </c>
    </row>
    <row r="10223" spans="1:2" x14ac:dyDescent="0.25">
      <c r="A10223" s="2">
        <v>10218</v>
      </c>
      <c r="B10223" s="3" t="str">
        <f>"00459042"</f>
        <v>00459042</v>
      </c>
    </row>
    <row r="10224" spans="1:2" x14ac:dyDescent="0.25">
      <c r="A10224" s="2">
        <v>10219</v>
      </c>
      <c r="B10224" s="3" t="str">
        <f>"00459108"</f>
        <v>00459108</v>
      </c>
    </row>
    <row r="10225" spans="1:2" x14ac:dyDescent="0.25">
      <c r="A10225" s="2">
        <v>10220</v>
      </c>
      <c r="B10225" s="3" t="str">
        <f>"00459110"</f>
        <v>00459110</v>
      </c>
    </row>
    <row r="10226" spans="1:2" x14ac:dyDescent="0.25">
      <c r="A10226" s="2">
        <v>10221</v>
      </c>
      <c r="B10226" s="3" t="str">
        <f>"00459127"</f>
        <v>00459127</v>
      </c>
    </row>
    <row r="10227" spans="1:2" x14ac:dyDescent="0.25">
      <c r="A10227" s="2">
        <v>10222</v>
      </c>
      <c r="B10227" s="3" t="str">
        <f>"00459197"</f>
        <v>00459197</v>
      </c>
    </row>
    <row r="10228" spans="1:2" x14ac:dyDescent="0.25">
      <c r="A10228" s="2">
        <v>10223</v>
      </c>
      <c r="B10228" s="3" t="str">
        <f>"00459229"</f>
        <v>00459229</v>
      </c>
    </row>
    <row r="10229" spans="1:2" x14ac:dyDescent="0.25">
      <c r="A10229" s="2">
        <v>10224</v>
      </c>
      <c r="B10229" s="3" t="str">
        <f>"00459356"</f>
        <v>00459356</v>
      </c>
    </row>
    <row r="10230" spans="1:2" x14ac:dyDescent="0.25">
      <c r="A10230" s="2">
        <v>10225</v>
      </c>
      <c r="B10230" s="3" t="str">
        <f>"00459406"</f>
        <v>00459406</v>
      </c>
    </row>
    <row r="10231" spans="1:2" x14ac:dyDescent="0.25">
      <c r="A10231" s="2">
        <v>10226</v>
      </c>
      <c r="B10231" s="3" t="str">
        <f>"00459417"</f>
        <v>00459417</v>
      </c>
    </row>
    <row r="10232" spans="1:2" x14ac:dyDescent="0.25">
      <c r="A10232" s="2">
        <v>10227</v>
      </c>
      <c r="B10232" s="3" t="str">
        <f>"00459431"</f>
        <v>00459431</v>
      </c>
    </row>
    <row r="10233" spans="1:2" x14ac:dyDescent="0.25">
      <c r="A10233" s="2">
        <v>10228</v>
      </c>
      <c r="B10233" s="3" t="str">
        <f>"00459544"</f>
        <v>00459544</v>
      </c>
    </row>
    <row r="10234" spans="1:2" x14ac:dyDescent="0.25">
      <c r="A10234" s="2">
        <v>10229</v>
      </c>
      <c r="B10234" s="3" t="str">
        <f>"00459621"</f>
        <v>00459621</v>
      </c>
    </row>
    <row r="10235" spans="1:2" x14ac:dyDescent="0.25">
      <c r="A10235" s="2">
        <v>10230</v>
      </c>
      <c r="B10235" s="3" t="str">
        <f>"00459753"</f>
        <v>00459753</v>
      </c>
    </row>
    <row r="10236" spans="1:2" x14ac:dyDescent="0.25">
      <c r="A10236" s="2">
        <v>10231</v>
      </c>
      <c r="B10236" s="3" t="str">
        <f>"00459757"</f>
        <v>00459757</v>
      </c>
    </row>
    <row r="10237" spans="1:2" x14ac:dyDescent="0.25">
      <c r="A10237" s="2">
        <v>10232</v>
      </c>
      <c r="B10237" s="3" t="str">
        <f>"00459812"</f>
        <v>00459812</v>
      </c>
    </row>
    <row r="10238" spans="1:2" x14ac:dyDescent="0.25">
      <c r="A10238" s="2">
        <v>10233</v>
      </c>
      <c r="B10238" s="3" t="str">
        <f>"00459891"</f>
        <v>00459891</v>
      </c>
    </row>
    <row r="10239" spans="1:2" x14ac:dyDescent="0.25">
      <c r="A10239" s="2">
        <v>10234</v>
      </c>
      <c r="B10239" s="3" t="str">
        <f>"00459931"</f>
        <v>00459931</v>
      </c>
    </row>
    <row r="10240" spans="1:2" x14ac:dyDescent="0.25">
      <c r="A10240" s="2">
        <v>10235</v>
      </c>
      <c r="B10240" s="3" t="str">
        <f>"00459960"</f>
        <v>00459960</v>
      </c>
    </row>
    <row r="10241" spans="1:2" x14ac:dyDescent="0.25">
      <c r="A10241" s="2">
        <v>10236</v>
      </c>
      <c r="B10241" s="3" t="str">
        <f>"00459997"</f>
        <v>00459997</v>
      </c>
    </row>
    <row r="10242" spans="1:2" x14ac:dyDescent="0.25">
      <c r="A10242" s="2">
        <v>10237</v>
      </c>
      <c r="B10242" s="3" t="str">
        <f>"00460032"</f>
        <v>00460032</v>
      </c>
    </row>
    <row r="10243" spans="1:2" x14ac:dyDescent="0.25">
      <c r="A10243" s="2">
        <v>10238</v>
      </c>
      <c r="B10243" s="3" t="str">
        <f>"00460065"</f>
        <v>00460065</v>
      </c>
    </row>
    <row r="10244" spans="1:2" x14ac:dyDescent="0.25">
      <c r="A10244" s="2">
        <v>10239</v>
      </c>
      <c r="B10244" s="3" t="str">
        <f>"00460066"</f>
        <v>00460066</v>
      </c>
    </row>
    <row r="10245" spans="1:2" x14ac:dyDescent="0.25">
      <c r="A10245" s="2">
        <v>10240</v>
      </c>
      <c r="B10245" s="3" t="str">
        <f>"00460150"</f>
        <v>00460150</v>
      </c>
    </row>
    <row r="10246" spans="1:2" x14ac:dyDescent="0.25">
      <c r="A10246" s="2">
        <v>10241</v>
      </c>
      <c r="B10246" s="3" t="str">
        <f>"00460228"</f>
        <v>00460228</v>
      </c>
    </row>
    <row r="10247" spans="1:2" x14ac:dyDescent="0.25">
      <c r="A10247" s="2">
        <v>10242</v>
      </c>
      <c r="B10247" s="3" t="str">
        <f>"00461049"</f>
        <v>00461049</v>
      </c>
    </row>
    <row r="10248" spans="1:2" x14ac:dyDescent="0.25">
      <c r="A10248" s="2">
        <v>10243</v>
      </c>
      <c r="B10248" s="3" t="str">
        <f>"00461076"</f>
        <v>00461076</v>
      </c>
    </row>
    <row r="10249" spans="1:2" x14ac:dyDescent="0.25">
      <c r="A10249" s="2">
        <v>10244</v>
      </c>
      <c r="B10249" s="3" t="str">
        <f>"00461160"</f>
        <v>00461160</v>
      </c>
    </row>
    <row r="10250" spans="1:2" x14ac:dyDescent="0.25">
      <c r="A10250" s="2">
        <v>10245</v>
      </c>
      <c r="B10250" s="3" t="str">
        <f>"00461282"</f>
        <v>00461282</v>
      </c>
    </row>
    <row r="10251" spans="1:2" x14ac:dyDescent="0.25">
      <c r="A10251" s="2">
        <v>10246</v>
      </c>
      <c r="B10251" s="3" t="str">
        <f>"00461342"</f>
        <v>00461342</v>
      </c>
    </row>
    <row r="10252" spans="1:2" x14ac:dyDescent="0.25">
      <c r="A10252" s="2">
        <v>10247</v>
      </c>
      <c r="B10252" s="3" t="str">
        <f>"00461372"</f>
        <v>00461372</v>
      </c>
    </row>
    <row r="10253" spans="1:2" x14ac:dyDescent="0.25">
      <c r="A10253" s="2">
        <v>10248</v>
      </c>
      <c r="B10253" s="3" t="str">
        <f>"00461469"</f>
        <v>00461469</v>
      </c>
    </row>
    <row r="10254" spans="1:2" x14ac:dyDescent="0.25">
      <c r="A10254" s="2">
        <v>10249</v>
      </c>
      <c r="B10254" s="3" t="str">
        <f>"00461581"</f>
        <v>00461581</v>
      </c>
    </row>
    <row r="10255" spans="1:2" x14ac:dyDescent="0.25">
      <c r="A10255" s="2">
        <v>10250</v>
      </c>
      <c r="B10255" s="3" t="str">
        <f>"00461669"</f>
        <v>00461669</v>
      </c>
    </row>
    <row r="10256" spans="1:2" x14ac:dyDescent="0.25">
      <c r="A10256" s="2">
        <v>10251</v>
      </c>
      <c r="B10256" s="3" t="str">
        <f>"00461783"</f>
        <v>00461783</v>
      </c>
    </row>
    <row r="10257" spans="1:2" x14ac:dyDescent="0.25">
      <c r="A10257" s="2">
        <v>10252</v>
      </c>
      <c r="B10257" s="3" t="str">
        <f>"00461795"</f>
        <v>00461795</v>
      </c>
    </row>
    <row r="10258" spans="1:2" x14ac:dyDescent="0.25">
      <c r="A10258" s="2">
        <v>10253</v>
      </c>
      <c r="B10258" s="3" t="str">
        <f>"00461821"</f>
        <v>00461821</v>
      </c>
    </row>
    <row r="10259" spans="1:2" x14ac:dyDescent="0.25">
      <c r="A10259" s="2">
        <v>10254</v>
      </c>
      <c r="B10259" s="3" t="str">
        <f>"00461897"</f>
        <v>00461897</v>
      </c>
    </row>
    <row r="10260" spans="1:2" x14ac:dyDescent="0.25">
      <c r="A10260" s="2">
        <v>10255</v>
      </c>
      <c r="B10260" s="3" t="str">
        <f>"00461899"</f>
        <v>00461899</v>
      </c>
    </row>
    <row r="10261" spans="1:2" x14ac:dyDescent="0.25">
      <c r="A10261" s="2">
        <v>10256</v>
      </c>
      <c r="B10261" s="3" t="str">
        <f>"00461928"</f>
        <v>00461928</v>
      </c>
    </row>
    <row r="10262" spans="1:2" x14ac:dyDescent="0.25">
      <c r="A10262" s="2">
        <v>10257</v>
      </c>
      <c r="B10262" s="3" t="str">
        <f>"00461966"</f>
        <v>00461966</v>
      </c>
    </row>
    <row r="10263" spans="1:2" x14ac:dyDescent="0.25">
      <c r="A10263" s="2">
        <v>10258</v>
      </c>
      <c r="B10263" s="3" t="str">
        <f>"00461993"</f>
        <v>00461993</v>
      </c>
    </row>
    <row r="10264" spans="1:2" x14ac:dyDescent="0.25">
      <c r="A10264" s="2">
        <v>10259</v>
      </c>
      <c r="B10264" s="3" t="str">
        <f>"00462012"</f>
        <v>00462012</v>
      </c>
    </row>
    <row r="10265" spans="1:2" x14ac:dyDescent="0.25">
      <c r="A10265" s="2">
        <v>10260</v>
      </c>
      <c r="B10265" s="3" t="str">
        <f>"00462045"</f>
        <v>00462045</v>
      </c>
    </row>
    <row r="10266" spans="1:2" x14ac:dyDescent="0.25">
      <c r="A10266" s="2">
        <v>10261</v>
      </c>
      <c r="B10266" s="3" t="str">
        <f>"00462142"</f>
        <v>00462142</v>
      </c>
    </row>
    <row r="10267" spans="1:2" x14ac:dyDescent="0.25">
      <c r="A10267" s="2">
        <v>10262</v>
      </c>
      <c r="B10267" s="3" t="str">
        <f>"00462235"</f>
        <v>00462235</v>
      </c>
    </row>
    <row r="10268" spans="1:2" x14ac:dyDescent="0.25">
      <c r="A10268" s="2">
        <v>10263</v>
      </c>
      <c r="B10268" s="3" t="str">
        <f>"00462275"</f>
        <v>00462275</v>
      </c>
    </row>
    <row r="10269" spans="1:2" x14ac:dyDescent="0.25">
      <c r="A10269" s="2">
        <v>10264</v>
      </c>
      <c r="B10269" s="3" t="str">
        <f>"00462340"</f>
        <v>00462340</v>
      </c>
    </row>
    <row r="10270" spans="1:2" x14ac:dyDescent="0.25">
      <c r="A10270" s="2">
        <v>10265</v>
      </c>
      <c r="B10270" s="3" t="str">
        <f>"00462384"</f>
        <v>00462384</v>
      </c>
    </row>
    <row r="10271" spans="1:2" x14ac:dyDescent="0.25">
      <c r="A10271" s="2">
        <v>10266</v>
      </c>
      <c r="B10271" s="3" t="str">
        <f>"00462399"</f>
        <v>00462399</v>
      </c>
    </row>
    <row r="10272" spans="1:2" x14ac:dyDescent="0.25">
      <c r="A10272" s="2">
        <v>10267</v>
      </c>
      <c r="B10272" s="3" t="str">
        <f>"00462435"</f>
        <v>00462435</v>
      </c>
    </row>
    <row r="10273" spans="1:2" x14ac:dyDescent="0.25">
      <c r="A10273" s="2">
        <v>10268</v>
      </c>
      <c r="B10273" s="3" t="str">
        <f>"00462454"</f>
        <v>00462454</v>
      </c>
    </row>
    <row r="10274" spans="1:2" x14ac:dyDescent="0.25">
      <c r="A10274" s="2">
        <v>10269</v>
      </c>
      <c r="B10274" s="3" t="str">
        <f>"00462535"</f>
        <v>00462535</v>
      </c>
    </row>
    <row r="10275" spans="1:2" x14ac:dyDescent="0.25">
      <c r="A10275" s="2">
        <v>10270</v>
      </c>
      <c r="B10275" s="3" t="str">
        <f>"00462563"</f>
        <v>00462563</v>
      </c>
    </row>
    <row r="10276" spans="1:2" x14ac:dyDescent="0.25">
      <c r="A10276" s="2">
        <v>10271</v>
      </c>
      <c r="B10276" s="3" t="str">
        <f>"00462616"</f>
        <v>00462616</v>
      </c>
    </row>
    <row r="10277" spans="1:2" x14ac:dyDescent="0.25">
      <c r="A10277" s="2">
        <v>10272</v>
      </c>
      <c r="B10277" s="3" t="str">
        <f>"00462716"</f>
        <v>00462716</v>
      </c>
    </row>
    <row r="10278" spans="1:2" x14ac:dyDescent="0.25">
      <c r="A10278" s="2">
        <v>10273</v>
      </c>
      <c r="B10278" s="3" t="str">
        <f>"00462762"</f>
        <v>00462762</v>
      </c>
    </row>
    <row r="10279" spans="1:2" x14ac:dyDescent="0.25">
      <c r="A10279" s="2">
        <v>10274</v>
      </c>
      <c r="B10279" s="3" t="str">
        <f>"00462796"</f>
        <v>00462796</v>
      </c>
    </row>
    <row r="10280" spans="1:2" x14ac:dyDescent="0.25">
      <c r="A10280" s="2">
        <v>10275</v>
      </c>
      <c r="B10280" s="3" t="str">
        <f>"00462826"</f>
        <v>00462826</v>
      </c>
    </row>
    <row r="10281" spans="1:2" x14ac:dyDescent="0.25">
      <c r="A10281" s="2">
        <v>10276</v>
      </c>
      <c r="B10281" s="3" t="str">
        <f>"00462839"</f>
        <v>00462839</v>
      </c>
    </row>
    <row r="10282" spans="1:2" x14ac:dyDescent="0.25">
      <c r="A10282" s="2">
        <v>10277</v>
      </c>
      <c r="B10282" s="3" t="str">
        <f>"00462842"</f>
        <v>00462842</v>
      </c>
    </row>
    <row r="10283" spans="1:2" x14ac:dyDescent="0.25">
      <c r="A10283" s="2">
        <v>10278</v>
      </c>
      <c r="B10283" s="3" t="str">
        <f>"00462870"</f>
        <v>00462870</v>
      </c>
    </row>
    <row r="10284" spans="1:2" x14ac:dyDescent="0.25">
      <c r="A10284" s="2">
        <v>10279</v>
      </c>
      <c r="B10284" s="3" t="str">
        <f>"00462892"</f>
        <v>00462892</v>
      </c>
    </row>
    <row r="10285" spans="1:2" x14ac:dyDescent="0.25">
      <c r="A10285" s="2">
        <v>10280</v>
      </c>
      <c r="B10285" s="3" t="str">
        <f>"00462918"</f>
        <v>00462918</v>
      </c>
    </row>
    <row r="10286" spans="1:2" x14ac:dyDescent="0.25">
      <c r="A10286" s="2">
        <v>10281</v>
      </c>
      <c r="B10286" s="3" t="str">
        <f>"00462987"</f>
        <v>00462987</v>
      </c>
    </row>
    <row r="10287" spans="1:2" x14ac:dyDescent="0.25">
      <c r="A10287" s="2">
        <v>10282</v>
      </c>
      <c r="B10287" s="3" t="str">
        <f>"00463012"</f>
        <v>00463012</v>
      </c>
    </row>
    <row r="10288" spans="1:2" x14ac:dyDescent="0.25">
      <c r="A10288" s="2">
        <v>10283</v>
      </c>
      <c r="B10288" s="3" t="str">
        <f>"00463015"</f>
        <v>00463015</v>
      </c>
    </row>
    <row r="10289" spans="1:2" x14ac:dyDescent="0.25">
      <c r="A10289" s="2">
        <v>10284</v>
      </c>
      <c r="B10289" s="3" t="str">
        <f>"00463045"</f>
        <v>00463045</v>
      </c>
    </row>
    <row r="10290" spans="1:2" x14ac:dyDescent="0.25">
      <c r="A10290" s="2">
        <v>10285</v>
      </c>
      <c r="B10290" s="3" t="str">
        <f>"00463091"</f>
        <v>00463091</v>
      </c>
    </row>
    <row r="10291" spans="1:2" x14ac:dyDescent="0.25">
      <c r="A10291" s="2">
        <v>10286</v>
      </c>
      <c r="B10291" s="3" t="str">
        <f>"00463145"</f>
        <v>00463145</v>
      </c>
    </row>
    <row r="10292" spans="1:2" x14ac:dyDescent="0.25">
      <c r="A10292" s="2">
        <v>10287</v>
      </c>
      <c r="B10292" s="3" t="str">
        <f>"00463157"</f>
        <v>00463157</v>
      </c>
    </row>
    <row r="10293" spans="1:2" x14ac:dyDescent="0.25">
      <c r="A10293" s="2">
        <v>10288</v>
      </c>
      <c r="B10293" s="3" t="str">
        <f>"00463289"</f>
        <v>00463289</v>
      </c>
    </row>
    <row r="10294" spans="1:2" x14ac:dyDescent="0.25">
      <c r="A10294" s="2">
        <v>10289</v>
      </c>
      <c r="B10294" s="3" t="str">
        <f>"00463302"</f>
        <v>00463302</v>
      </c>
    </row>
    <row r="10295" spans="1:2" x14ac:dyDescent="0.25">
      <c r="A10295" s="2">
        <v>10290</v>
      </c>
      <c r="B10295" s="3" t="str">
        <f>"00463534"</f>
        <v>00463534</v>
      </c>
    </row>
    <row r="10296" spans="1:2" x14ac:dyDescent="0.25">
      <c r="A10296" s="2">
        <v>10291</v>
      </c>
      <c r="B10296" s="3" t="str">
        <f>"00463541"</f>
        <v>00463541</v>
      </c>
    </row>
    <row r="10297" spans="1:2" x14ac:dyDescent="0.25">
      <c r="A10297" s="2">
        <v>10292</v>
      </c>
      <c r="B10297" s="3" t="str">
        <f>"00463555"</f>
        <v>00463555</v>
      </c>
    </row>
    <row r="10298" spans="1:2" x14ac:dyDescent="0.25">
      <c r="A10298" s="2">
        <v>10293</v>
      </c>
      <c r="B10298" s="3" t="str">
        <f>"00463693"</f>
        <v>00463693</v>
      </c>
    </row>
    <row r="10299" spans="1:2" x14ac:dyDescent="0.25">
      <c r="A10299" s="2">
        <v>10294</v>
      </c>
      <c r="B10299" s="3" t="str">
        <f>"00463760"</f>
        <v>00463760</v>
      </c>
    </row>
    <row r="10300" spans="1:2" x14ac:dyDescent="0.25">
      <c r="A10300" s="2">
        <v>10295</v>
      </c>
      <c r="B10300" s="3" t="str">
        <f>"00463794"</f>
        <v>00463794</v>
      </c>
    </row>
    <row r="10301" spans="1:2" x14ac:dyDescent="0.25">
      <c r="A10301" s="2">
        <v>10296</v>
      </c>
      <c r="B10301" s="3" t="str">
        <f>"00464121"</f>
        <v>00464121</v>
      </c>
    </row>
    <row r="10302" spans="1:2" x14ac:dyDescent="0.25">
      <c r="A10302" s="2">
        <v>10297</v>
      </c>
      <c r="B10302" s="3" t="str">
        <f>"00464247"</f>
        <v>00464247</v>
      </c>
    </row>
    <row r="10303" spans="1:2" x14ac:dyDescent="0.25">
      <c r="A10303" s="2">
        <v>10298</v>
      </c>
      <c r="B10303" s="3" t="str">
        <f>"00464302"</f>
        <v>00464302</v>
      </c>
    </row>
    <row r="10304" spans="1:2" x14ac:dyDescent="0.25">
      <c r="A10304" s="2">
        <v>10299</v>
      </c>
      <c r="B10304" s="3" t="str">
        <f>"00464327"</f>
        <v>00464327</v>
      </c>
    </row>
    <row r="10305" spans="1:2" x14ac:dyDescent="0.25">
      <c r="A10305" s="2">
        <v>10300</v>
      </c>
      <c r="B10305" s="3" t="str">
        <f>"00464427"</f>
        <v>00464427</v>
      </c>
    </row>
    <row r="10306" spans="1:2" x14ac:dyDescent="0.25">
      <c r="A10306" s="2">
        <v>10301</v>
      </c>
      <c r="B10306" s="3" t="str">
        <f>"00464456"</f>
        <v>00464456</v>
      </c>
    </row>
    <row r="10307" spans="1:2" x14ac:dyDescent="0.25">
      <c r="A10307" s="2">
        <v>10302</v>
      </c>
      <c r="B10307" s="3" t="str">
        <f>"00464467"</f>
        <v>00464467</v>
      </c>
    </row>
    <row r="10308" spans="1:2" x14ac:dyDescent="0.25">
      <c r="A10308" s="2">
        <v>10303</v>
      </c>
      <c r="B10308" s="3" t="str">
        <f>"00464630"</f>
        <v>00464630</v>
      </c>
    </row>
    <row r="10309" spans="1:2" x14ac:dyDescent="0.25">
      <c r="A10309" s="2">
        <v>10304</v>
      </c>
      <c r="B10309" s="3" t="str">
        <f>"00464739"</f>
        <v>00464739</v>
      </c>
    </row>
    <row r="10310" spans="1:2" x14ac:dyDescent="0.25">
      <c r="A10310" s="2">
        <v>10305</v>
      </c>
      <c r="B10310" s="3" t="str">
        <f>"00464892"</f>
        <v>00464892</v>
      </c>
    </row>
    <row r="10311" spans="1:2" x14ac:dyDescent="0.25">
      <c r="A10311" s="2">
        <v>10306</v>
      </c>
      <c r="B10311" s="3" t="str">
        <f>"00465086"</f>
        <v>00465086</v>
      </c>
    </row>
    <row r="10312" spans="1:2" x14ac:dyDescent="0.25">
      <c r="A10312" s="2">
        <v>10307</v>
      </c>
      <c r="B10312" s="3" t="str">
        <f>"00465113"</f>
        <v>00465113</v>
      </c>
    </row>
    <row r="10313" spans="1:2" x14ac:dyDescent="0.25">
      <c r="A10313" s="2">
        <v>10308</v>
      </c>
      <c r="B10313" s="3" t="str">
        <f>"00465132"</f>
        <v>00465132</v>
      </c>
    </row>
    <row r="10314" spans="1:2" x14ac:dyDescent="0.25">
      <c r="A10314" s="2">
        <v>10309</v>
      </c>
      <c r="B10314" s="3" t="str">
        <f>"00465179"</f>
        <v>00465179</v>
      </c>
    </row>
    <row r="10315" spans="1:2" x14ac:dyDescent="0.25">
      <c r="A10315" s="2">
        <v>10310</v>
      </c>
      <c r="B10315" s="3" t="str">
        <f>"00465196"</f>
        <v>00465196</v>
      </c>
    </row>
    <row r="10316" spans="1:2" x14ac:dyDescent="0.25">
      <c r="A10316" s="2">
        <v>10311</v>
      </c>
      <c r="B10316" s="3" t="str">
        <f>"00465201"</f>
        <v>00465201</v>
      </c>
    </row>
    <row r="10317" spans="1:2" x14ac:dyDescent="0.25">
      <c r="A10317" s="2">
        <v>10312</v>
      </c>
      <c r="B10317" s="3" t="str">
        <f>"00465217"</f>
        <v>00465217</v>
      </c>
    </row>
    <row r="10318" spans="1:2" x14ac:dyDescent="0.25">
      <c r="A10318" s="2">
        <v>10313</v>
      </c>
      <c r="B10318" s="3" t="str">
        <f>"00465239"</f>
        <v>00465239</v>
      </c>
    </row>
    <row r="10319" spans="1:2" x14ac:dyDescent="0.25">
      <c r="A10319" s="2">
        <v>10314</v>
      </c>
      <c r="B10319" s="3" t="str">
        <f>"00465320"</f>
        <v>00465320</v>
      </c>
    </row>
    <row r="10320" spans="1:2" x14ac:dyDescent="0.25">
      <c r="A10320" s="2">
        <v>10315</v>
      </c>
      <c r="B10320" s="3" t="str">
        <f>"00465334"</f>
        <v>00465334</v>
      </c>
    </row>
    <row r="10321" spans="1:2" x14ac:dyDescent="0.25">
      <c r="A10321" s="2">
        <v>10316</v>
      </c>
      <c r="B10321" s="3" t="str">
        <f>"00465438"</f>
        <v>00465438</v>
      </c>
    </row>
    <row r="10322" spans="1:2" x14ac:dyDescent="0.25">
      <c r="A10322" s="2">
        <v>10317</v>
      </c>
      <c r="B10322" s="3" t="str">
        <f>"00465453"</f>
        <v>00465453</v>
      </c>
    </row>
    <row r="10323" spans="1:2" x14ac:dyDescent="0.25">
      <c r="A10323" s="2">
        <v>10318</v>
      </c>
      <c r="B10323" s="3" t="str">
        <f>"00465479"</f>
        <v>00465479</v>
      </c>
    </row>
    <row r="10324" spans="1:2" x14ac:dyDescent="0.25">
      <c r="A10324" s="2">
        <v>10319</v>
      </c>
      <c r="B10324" s="3" t="str">
        <f>"00465498"</f>
        <v>00465498</v>
      </c>
    </row>
    <row r="10325" spans="1:2" x14ac:dyDescent="0.25">
      <c r="A10325" s="2">
        <v>10320</v>
      </c>
      <c r="B10325" s="3" t="str">
        <f>"00465514"</f>
        <v>00465514</v>
      </c>
    </row>
    <row r="10326" spans="1:2" x14ac:dyDescent="0.25">
      <c r="A10326" s="2">
        <v>10321</v>
      </c>
      <c r="B10326" s="3" t="str">
        <f>"00465609"</f>
        <v>00465609</v>
      </c>
    </row>
    <row r="10327" spans="1:2" x14ac:dyDescent="0.25">
      <c r="A10327" s="2">
        <v>10322</v>
      </c>
      <c r="B10327" s="3" t="str">
        <f>"00465648"</f>
        <v>00465648</v>
      </c>
    </row>
    <row r="10328" spans="1:2" x14ac:dyDescent="0.25">
      <c r="A10328" s="2">
        <v>10323</v>
      </c>
      <c r="B10328" s="3" t="str">
        <f>"00465679"</f>
        <v>00465679</v>
      </c>
    </row>
    <row r="10329" spans="1:2" x14ac:dyDescent="0.25">
      <c r="A10329" s="2">
        <v>10324</v>
      </c>
      <c r="B10329" s="3" t="str">
        <f>"00465702"</f>
        <v>00465702</v>
      </c>
    </row>
    <row r="10330" spans="1:2" x14ac:dyDescent="0.25">
      <c r="A10330" s="2">
        <v>10325</v>
      </c>
      <c r="B10330" s="3" t="str">
        <f>"00465953"</f>
        <v>00465953</v>
      </c>
    </row>
    <row r="10331" spans="1:2" x14ac:dyDescent="0.25">
      <c r="A10331" s="2">
        <v>10326</v>
      </c>
      <c r="B10331" s="3" t="str">
        <f>"00465966"</f>
        <v>00465966</v>
      </c>
    </row>
    <row r="10332" spans="1:2" x14ac:dyDescent="0.25">
      <c r="A10332" s="2">
        <v>10327</v>
      </c>
      <c r="B10332" s="3" t="str">
        <f>"00465979"</f>
        <v>00465979</v>
      </c>
    </row>
    <row r="10333" spans="1:2" x14ac:dyDescent="0.25">
      <c r="A10333" s="2">
        <v>10328</v>
      </c>
      <c r="B10333" s="3" t="str">
        <f>"00466053"</f>
        <v>00466053</v>
      </c>
    </row>
    <row r="10334" spans="1:2" x14ac:dyDescent="0.25">
      <c r="A10334" s="2">
        <v>10329</v>
      </c>
      <c r="B10334" s="3" t="str">
        <f>"00466115"</f>
        <v>00466115</v>
      </c>
    </row>
    <row r="10335" spans="1:2" x14ac:dyDescent="0.25">
      <c r="A10335" s="2">
        <v>10330</v>
      </c>
      <c r="B10335" s="3" t="str">
        <f>"00466144"</f>
        <v>00466144</v>
      </c>
    </row>
    <row r="10336" spans="1:2" x14ac:dyDescent="0.25">
      <c r="A10336" s="2">
        <v>10331</v>
      </c>
      <c r="B10336" s="3" t="str">
        <f>"00466200"</f>
        <v>00466200</v>
      </c>
    </row>
    <row r="10337" spans="1:2" x14ac:dyDescent="0.25">
      <c r="A10337" s="2">
        <v>10332</v>
      </c>
      <c r="B10337" s="3" t="str">
        <f>"00466226"</f>
        <v>00466226</v>
      </c>
    </row>
    <row r="10338" spans="1:2" x14ac:dyDescent="0.25">
      <c r="A10338" s="2">
        <v>10333</v>
      </c>
      <c r="B10338" s="3" t="str">
        <f>"00466229"</f>
        <v>00466229</v>
      </c>
    </row>
    <row r="10339" spans="1:2" x14ac:dyDescent="0.25">
      <c r="A10339" s="2">
        <v>10334</v>
      </c>
      <c r="B10339" s="3" t="str">
        <f>"00466261"</f>
        <v>00466261</v>
      </c>
    </row>
    <row r="10340" spans="1:2" x14ac:dyDescent="0.25">
      <c r="A10340" s="2">
        <v>10335</v>
      </c>
      <c r="B10340" s="3" t="str">
        <f>"00466326"</f>
        <v>00466326</v>
      </c>
    </row>
    <row r="10341" spans="1:2" x14ac:dyDescent="0.25">
      <c r="A10341" s="2">
        <v>10336</v>
      </c>
      <c r="B10341" s="3" t="str">
        <f>"00466331"</f>
        <v>00466331</v>
      </c>
    </row>
    <row r="10342" spans="1:2" x14ac:dyDescent="0.25">
      <c r="A10342" s="2">
        <v>10337</v>
      </c>
      <c r="B10342" s="3" t="str">
        <f>"00466336"</f>
        <v>00466336</v>
      </c>
    </row>
    <row r="10343" spans="1:2" x14ac:dyDescent="0.25">
      <c r="A10343" s="2">
        <v>10338</v>
      </c>
      <c r="B10343" s="3" t="str">
        <f>"00466470"</f>
        <v>00466470</v>
      </c>
    </row>
    <row r="10344" spans="1:2" x14ac:dyDescent="0.25">
      <c r="A10344" s="2">
        <v>10339</v>
      </c>
      <c r="B10344" s="3" t="str">
        <f>"00466639"</f>
        <v>00466639</v>
      </c>
    </row>
    <row r="10345" spans="1:2" x14ac:dyDescent="0.25">
      <c r="A10345" s="2">
        <v>10340</v>
      </c>
      <c r="B10345" s="3" t="str">
        <f>"00466683"</f>
        <v>00466683</v>
      </c>
    </row>
    <row r="10346" spans="1:2" x14ac:dyDescent="0.25">
      <c r="A10346" s="2">
        <v>10341</v>
      </c>
      <c r="B10346" s="3" t="str">
        <f>"00466709"</f>
        <v>00466709</v>
      </c>
    </row>
    <row r="10347" spans="1:2" x14ac:dyDescent="0.25">
      <c r="A10347" s="2">
        <v>10342</v>
      </c>
      <c r="B10347" s="3" t="str">
        <f>"00466722"</f>
        <v>00466722</v>
      </c>
    </row>
    <row r="10348" spans="1:2" x14ac:dyDescent="0.25">
      <c r="A10348" s="2">
        <v>10343</v>
      </c>
      <c r="B10348" s="3" t="str">
        <f>"00466786"</f>
        <v>00466786</v>
      </c>
    </row>
    <row r="10349" spans="1:2" x14ac:dyDescent="0.25">
      <c r="A10349" s="2">
        <v>10344</v>
      </c>
      <c r="B10349" s="3" t="str">
        <f>"00466868"</f>
        <v>00466868</v>
      </c>
    </row>
    <row r="10350" spans="1:2" x14ac:dyDescent="0.25">
      <c r="A10350" s="2">
        <v>10345</v>
      </c>
      <c r="B10350" s="3" t="str">
        <f>"00466942"</f>
        <v>00466942</v>
      </c>
    </row>
    <row r="10351" spans="1:2" x14ac:dyDescent="0.25">
      <c r="A10351" s="2">
        <v>10346</v>
      </c>
      <c r="B10351" s="3" t="str">
        <f>"00466992"</f>
        <v>00466992</v>
      </c>
    </row>
    <row r="10352" spans="1:2" x14ac:dyDescent="0.25">
      <c r="A10352" s="2">
        <v>10347</v>
      </c>
      <c r="B10352" s="3" t="str">
        <f>"00466993"</f>
        <v>00466993</v>
      </c>
    </row>
    <row r="10353" spans="1:2" x14ac:dyDescent="0.25">
      <c r="A10353" s="2">
        <v>10348</v>
      </c>
      <c r="B10353" s="3" t="str">
        <f>"00466996"</f>
        <v>00466996</v>
      </c>
    </row>
    <row r="10354" spans="1:2" x14ac:dyDescent="0.25">
      <c r="A10354" s="2">
        <v>10349</v>
      </c>
      <c r="B10354" s="3" t="str">
        <f>"00467027"</f>
        <v>00467027</v>
      </c>
    </row>
    <row r="10355" spans="1:2" x14ac:dyDescent="0.25">
      <c r="A10355" s="2">
        <v>10350</v>
      </c>
      <c r="B10355" s="3" t="str">
        <f>"00467169"</f>
        <v>00467169</v>
      </c>
    </row>
    <row r="10356" spans="1:2" x14ac:dyDescent="0.25">
      <c r="A10356" s="2">
        <v>10351</v>
      </c>
      <c r="B10356" s="3" t="str">
        <f>"00467266"</f>
        <v>00467266</v>
      </c>
    </row>
    <row r="10357" spans="1:2" x14ac:dyDescent="0.25">
      <c r="A10357" s="2">
        <v>10352</v>
      </c>
      <c r="B10357" s="3" t="str">
        <f>"00467334"</f>
        <v>00467334</v>
      </c>
    </row>
    <row r="10358" spans="1:2" x14ac:dyDescent="0.25">
      <c r="A10358" s="2">
        <v>10353</v>
      </c>
      <c r="B10358" s="3" t="str">
        <f>"00467442"</f>
        <v>00467442</v>
      </c>
    </row>
    <row r="10359" spans="1:2" x14ac:dyDescent="0.25">
      <c r="A10359" s="2">
        <v>10354</v>
      </c>
      <c r="B10359" s="3" t="str">
        <f>"00467453"</f>
        <v>00467453</v>
      </c>
    </row>
    <row r="10360" spans="1:2" x14ac:dyDescent="0.25">
      <c r="A10360" s="2">
        <v>10355</v>
      </c>
      <c r="B10360" s="3" t="str">
        <f>"00467572"</f>
        <v>00467572</v>
      </c>
    </row>
    <row r="10361" spans="1:2" x14ac:dyDescent="0.25">
      <c r="A10361" s="2">
        <v>10356</v>
      </c>
      <c r="B10361" s="3" t="str">
        <f>"00467610"</f>
        <v>00467610</v>
      </c>
    </row>
    <row r="10362" spans="1:2" x14ac:dyDescent="0.25">
      <c r="A10362" s="2">
        <v>10357</v>
      </c>
      <c r="B10362" s="3" t="str">
        <f>"00467630"</f>
        <v>00467630</v>
      </c>
    </row>
    <row r="10363" spans="1:2" x14ac:dyDescent="0.25">
      <c r="A10363" s="2">
        <v>10358</v>
      </c>
      <c r="B10363" s="3" t="str">
        <f>"00467702"</f>
        <v>00467702</v>
      </c>
    </row>
    <row r="10364" spans="1:2" x14ac:dyDescent="0.25">
      <c r="A10364" s="2">
        <v>10359</v>
      </c>
      <c r="B10364" s="3" t="str">
        <f>"00467741"</f>
        <v>00467741</v>
      </c>
    </row>
    <row r="10365" spans="1:2" x14ac:dyDescent="0.25">
      <c r="A10365" s="2">
        <v>10360</v>
      </c>
      <c r="B10365" s="3" t="str">
        <f>"00467742"</f>
        <v>00467742</v>
      </c>
    </row>
    <row r="10366" spans="1:2" x14ac:dyDescent="0.25">
      <c r="A10366" s="2">
        <v>10361</v>
      </c>
      <c r="B10366" s="3" t="str">
        <f>"00467783"</f>
        <v>00467783</v>
      </c>
    </row>
    <row r="10367" spans="1:2" x14ac:dyDescent="0.25">
      <c r="A10367" s="2">
        <v>10362</v>
      </c>
      <c r="B10367" s="3" t="str">
        <f>"00467786"</f>
        <v>00467786</v>
      </c>
    </row>
    <row r="10368" spans="1:2" x14ac:dyDescent="0.25">
      <c r="A10368" s="2">
        <v>10363</v>
      </c>
      <c r="B10368" s="3" t="str">
        <f>"00467841"</f>
        <v>00467841</v>
      </c>
    </row>
    <row r="10369" spans="1:2" x14ac:dyDescent="0.25">
      <c r="A10369" s="2">
        <v>10364</v>
      </c>
      <c r="B10369" s="3" t="str">
        <f>"00467907"</f>
        <v>00467907</v>
      </c>
    </row>
    <row r="10370" spans="1:2" x14ac:dyDescent="0.25">
      <c r="A10370" s="2">
        <v>10365</v>
      </c>
      <c r="B10370" s="3" t="str">
        <f>"00467933"</f>
        <v>00467933</v>
      </c>
    </row>
    <row r="10371" spans="1:2" x14ac:dyDescent="0.25">
      <c r="A10371" s="2">
        <v>10366</v>
      </c>
      <c r="B10371" s="3" t="str">
        <f>"00467949"</f>
        <v>00467949</v>
      </c>
    </row>
    <row r="10372" spans="1:2" x14ac:dyDescent="0.25">
      <c r="A10372" s="2">
        <v>10367</v>
      </c>
      <c r="B10372" s="3" t="str">
        <f>"00467959"</f>
        <v>00467959</v>
      </c>
    </row>
    <row r="10373" spans="1:2" x14ac:dyDescent="0.25">
      <c r="A10373" s="2">
        <v>10368</v>
      </c>
      <c r="B10373" s="3" t="str">
        <f>"00467974"</f>
        <v>00467974</v>
      </c>
    </row>
    <row r="10374" spans="1:2" x14ac:dyDescent="0.25">
      <c r="A10374" s="2">
        <v>10369</v>
      </c>
      <c r="B10374" s="3" t="str">
        <f>"00467994"</f>
        <v>00467994</v>
      </c>
    </row>
    <row r="10375" spans="1:2" x14ac:dyDescent="0.25">
      <c r="A10375" s="2">
        <v>10370</v>
      </c>
      <c r="B10375" s="3" t="str">
        <f>"00468038"</f>
        <v>00468038</v>
      </c>
    </row>
    <row r="10376" spans="1:2" x14ac:dyDescent="0.25">
      <c r="A10376" s="2">
        <v>10371</v>
      </c>
      <c r="B10376" s="3" t="str">
        <f>"00468058"</f>
        <v>00468058</v>
      </c>
    </row>
    <row r="10377" spans="1:2" x14ac:dyDescent="0.25">
      <c r="A10377" s="2">
        <v>10372</v>
      </c>
      <c r="B10377" s="3" t="str">
        <f>"00468407"</f>
        <v>00468407</v>
      </c>
    </row>
    <row r="10378" spans="1:2" x14ac:dyDescent="0.25">
      <c r="A10378" s="2">
        <v>10373</v>
      </c>
      <c r="B10378" s="3" t="str">
        <f>"00468439"</f>
        <v>00468439</v>
      </c>
    </row>
    <row r="10379" spans="1:2" x14ac:dyDescent="0.25">
      <c r="A10379" s="2">
        <v>10374</v>
      </c>
      <c r="B10379" s="3" t="str">
        <f>"00468553"</f>
        <v>00468553</v>
      </c>
    </row>
    <row r="10380" spans="1:2" x14ac:dyDescent="0.25">
      <c r="A10380" s="2">
        <v>10375</v>
      </c>
      <c r="B10380" s="3" t="str">
        <f>"00468584"</f>
        <v>00468584</v>
      </c>
    </row>
    <row r="10381" spans="1:2" x14ac:dyDescent="0.25">
      <c r="A10381" s="2">
        <v>10376</v>
      </c>
      <c r="B10381" s="3" t="str">
        <f>"00468602"</f>
        <v>00468602</v>
      </c>
    </row>
    <row r="10382" spans="1:2" x14ac:dyDescent="0.25">
      <c r="A10382" s="2">
        <v>10377</v>
      </c>
      <c r="B10382" s="3" t="str">
        <f>"00468701"</f>
        <v>00468701</v>
      </c>
    </row>
    <row r="10383" spans="1:2" x14ac:dyDescent="0.25">
      <c r="A10383" s="2">
        <v>10378</v>
      </c>
      <c r="B10383" s="3" t="str">
        <f>"00468753"</f>
        <v>00468753</v>
      </c>
    </row>
    <row r="10384" spans="1:2" x14ac:dyDescent="0.25">
      <c r="A10384" s="2">
        <v>10379</v>
      </c>
      <c r="B10384" s="3" t="str">
        <f>"00468756"</f>
        <v>00468756</v>
      </c>
    </row>
    <row r="10385" spans="1:2" x14ac:dyDescent="0.25">
      <c r="A10385" s="2">
        <v>10380</v>
      </c>
      <c r="B10385" s="3" t="str">
        <f>"00468772"</f>
        <v>00468772</v>
      </c>
    </row>
    <row r="10386" spans="1:2" x14ac:dyDescent="0.25">
      <c r="A10386" s="2">
        <v>10381</v>
      </c>
      <c r="B10386" s="3" t="str">
        <f>"00468815"</f>
        <v>00468815</v>
      </c>
    </row>
    <row r="10387" spans="1:2" x14ac:dyDescent="0.25">
      <c r="A10387" s="2">
        <v>10382</v>
      </c>
      <c r="B10387" s="3" t="str">
        <f>"00468873"</f>
        <v>00468873</v>
      </c>
    </row>
    <row r="10388" spans="1:2" x14ac:dyDescent="0.25">
      <c r="A10388" s="2">
        <v>10383</v>
      </c>
      <c r="B10388" s="3" t="str">
        <f>"00468884"</f>
        <v>00468884</v>
      </c>
    </row>
    <row r="10389" spans="1:2" x14ac:dyDescent="0.25">
      <c r="A10389" s="2">
        <v>10384</v>
      </c>
      <c r="B10389" s="3" t="str">
        <f>"00468902"</f>
        <v>00468902</v>
      </c>
    </row>
    <row r="10390" spans="1:2" x14ac:dyDescent="0.25">
      <c r="A10390" s="2">
        <v>10385</v>
      </c>
      <c r="B10390" s="3" t="str">
        <f>"00468968"</f>
        <v>00468968</v>
      </c>
    </row>
    <row r="10391" spans="1:2" x14ac:dyDescent="0.25">
      <c r="A10391" s="2">
        <v>10386</v>
      </c>
      <c r="B10391" s="3" t="str">
        <f>"00469281"</f>
        <v>00469281</v>
      </c>
    </row>
    <row r="10392" spans="1:2" x14ac:dyDescent="0.25">
      <c r="A10392" s="2">
        <v>10387</v>
      </c>
      <c r="B10392" s="3" t="str">
        <f>"00469300"</f>
        <v>00469300</v>
      </c>
    </row>
    <row r="10393" spans="1:2" x14ac:dyDescent="0.25">
      <c r="A10393" s="2">
        <v>10388</v>
      </c>
      <c r="B10393" s="3" t="str">
        <f>"00469374"</f>
        <v>00469374</v>
      </c>
    </row>
    <row r="10394" spans="1:2" x14ac:dyDescent="0.25">
      <c r="A10394" s="2">
        <v>10389</v>
      </c>
      <c r="B10394" s="3" t="str">
        <f>"00469395"</f>
        <v>00469395</v>
      </c>
    </row>
    <row r="10395" spans="1:2" x14ac:dyDescent="0.25">
      <c r="A10395" s="2">
        <v>10390</v>
      </c>
      <c r="B10395" s="3" t="str">
        <f>"00469396"</f>
        <v>00469396</v>
      </c>
    </row>
    <row r="10396" spans="1:2" x14ac:dyDescent="0.25">
      <c r="A10396" s="2">
        <v>10391</v>
      </c>
      <c r="B10396" s="3" t="str">
        <f>"00469444"</f>
        <v>00469444</v>
      </c>
    </row>
    <row r="10397" spans="1:2" x14ac:dyDescent="0.25">
      <c r="A10397" s="2">
        <v>10392</v>
      </c>
      <c r="B10397" s="3" t="str">
        <f>"00469464"</f>
        <v>00469464</v>
      </c>
    </row>
    <row r="10398" spans="1:2" x14ac:dyDescent="0.25">
      <c r="A10398" s="2">
        <v>10393</v>
      </c>
      <c r="B10398" s="3" t="str">
        <f>"00469551"</f>
        <v>00469551</v>
      </c>
    </row>
    <row r="10399" spans="1:2" x14ac:dyDescent="0.25">
      <c r="A10399" s="2">
        <v>10394</v>
      </c>
      <c r="B10399" s="3" t="str">
        <f>"00469592"</f>
        <v>00469592</v>
      </c>
    </row>
    <row r="10400" spans="1:2" x14ac:dyDescent="0.25">
      <c r="A10400" s="2">
        <v>10395</v>
      </c>
      <c r="B10400" s="3" t="str">
        <f>"00469860"</f>
        <v>00469860</v>
      </c>
    </row>
    <row r="10401" spans="1:2" x14ac:dyDescent="0.25">
      <c r="A10401" s="2">
        <v>10396</v>
      </c>
      <c r="B10401" s="3" t="str">
        <f>"00469941"</f>
        <v>00469941</v>
      </c>
    </row>
    <row r="10402" spans="1:2" x14ac:dyDescent="0.25">
      <c r="A10402" s="2">
        <v>10397</v>
      </c>
      <c r="B10402" s="3" t="str">
        <f>"00469945"</f>
        <v>00469945</v>
      </c>
    </row>
    <row r="10403" spans="1:2" x14ac:dyDescent="0.25">
      <c r="A10403" s="2">
        <v>10398</v>
      </c>
      <c r="B10403" s="3" t="str">
        <f>"00470346"</f>
        <v>00470346</v>
      </c>
    </row>
    <row r="10404" spans="1:2" x14ac:dyDescent="0.25">
      <c r="A10404" s="2">
        <v>10399</v>
      </c>
      <c r="B10404" s="3" t="str">
        <f>"00470362"</f>
        <v>00470362</v>
      </c>
    </row>
    <row r="10405" spans="1:2" x14ac:dyDescent="0.25">
      <c r="A10405" s="2">
        <v>10400</v>
      </c>
      <c r="B10405" s="3" t="str">
        <f>"00470381"</f>
        <v>00470381</v>
      </c>
    </row>
    <row r="10406" spans="1:2" x14ac:dyDescent="0.25">
      <c r="A10406" s="2">
        <v>10401</v>
      </c>
      <c r="B10406" s="3" t="str">
        <f>"00470583"</f>
        <v>00470583</v>
      </c>
    </row>
    <row r="10407" spans="1:2" x14ac:dyDescent="0.25">
      <c r="A10407" s="2">
        <v>10402</v>
      </c>
      <c r="B10407" s="3" t="str">
        <f>"00470658"</f>
        <v>00470658</v>
      </c>
    </row>
    <row r="10408" spans="1:2" x14ac:dyDescent="0.25">
      <c r="A10408" s="2">
        <v>10403</v>
      </c>
      <c r="B10408" s="3" t="str">
        <f>"00470755"</f>
        <v>00470755</v>
      </c>
    </row>
    <row r="10409" spans="1:2" x14ac:dyDescent="0.25">
      <c r="A10409" s="2">
        <v>10404</v>
      </c>
      <c r="B10409" s="3" t="str">
        <f>"00470780"</f>
        <v>00470780</v>
      </c>
    </row>
    <row r="10410" spans="1:2" x14ac:dyDescent="0.25">
      <c r="A10410" s="2">
        <v>10405</v>
      </c>
      <c r="B10410" s="3" t="str">
        <f>"00470785"</f>
        <v>00470785</v>
      </c>
    </row>
    <row r="10411" spans="1:2" x14ac:dyDescent="0.25">
      <c r="A10411" s="2">
        <v>10406</v>
      </c>
      <c r="B10411" s="3" t="str">
        <f>"00470823"</f>
        <v>00470823</v>
      </c>
    </row>
    <row r="10412" spans="1:2" x14ac:dyDescent="0.25">
      <c r="A10412" s="2">
        <v>10407</v>
      </c>
      <c r="B10412" s="3" t="str">
        <f>"00470867"</f>
        <v>00470867</v>
      </c>
    </row>
    <row r="10413" spans="1:2" x14ac:dyDescent="0.25">
      <c r="A10413" s="2">
        <v>10408</v>
      </c>
      <c r="B10413" s="3" t="str">
        <f>"00470901"</f>
        <v>00470901</v>
      </c>
    </row>
    <row r="10414" spans="1:2" x14ac:dyDescent="0.25">
      <c r="A10414" s="2">
        <v>10409</v>
      </c>
      <c r="B10414" s="3" t="str">
        <f>"00470948"</f>
        <v>00470948</v>
      </c>
    </row>
    <row r="10415" spans="1:2" x14ac:dyDescent="0.25">
      <c r="A10415" s="2">
        <v>10410</v>
      </c>
      <c r="B10415" s="3" t="str">
        <f>"00470986"</f>
        <v>00470986</v>
      </c>
    </row>
    <row r="10416" spans="1:2" x14ac:dyDescent="0.25">
      <c r="A10416" s="2">
        <v>10411</v>
      </c>
      <c r="B10416" s="3" t="str">
        <f>"00471031"</f>
        <v>00471031</v>
      </c>
    </row>
    <row r="10417" spans="1:2" x14ac:dyDescent="0.25">
      <c r="A10417" s="2">
        <v>10412</v>
      </c>
      <c r="B10417" s="3" t="str">
        <f>"00471143"</f>
        <v>00471143</v>
      </c>
    </row>
    <row r="10418" spans="1:2" x14ac:dyDescent="0.25">
      <c r="A10418" s="2">
        <v>10413</v>
      </c>
      <c r="B10418" s="3" t="str">
        <f>"00471193"</f>
        <v>00471193</v>
      </c>
    </row>
    <row r="10419" spans="1:2" x14ac:dyDescent="0.25">
      <c r="A10419" s="2">
        <v>10414</v>
      </c>
      <c r="B10419" s="3" t="str">
        <f>"00471265"</f>
        <v>00471265</v>
      </c>
    </row>
    <row r="10420" spans="1:2" x14ac:dyDescent="0.25">
      <c r="A10420" s="2">
        <v>10415</v>
      </c>
      <c r="B10420" s="3" t="str">
        <f>"00471308"</f>
        <v>00471308</v>
      </c>
    </row>
    <row r="10421" spans="1:2" x14ac:dyDescent="0.25">
      <c r="A10421" s="2">
        <v>10416</v>
      </c>
      <c r="B10421" s="3" t="str">
        <f>"00471328"</f>
        <v>00471328</v>
      </c>
    </row>
    <row r="10422" spans="1:2" x14ac:dyDescent="0.25">
      <c r="A10422" s="2">
        <v>10417</v>
      </c>
      <c r="B10422" s="3" t="str">
        <f>"00471396"</f>
        <v>00471396</v>
      </c>
    </row>
    <row r="10423" spans="1:2" x14ac:dyDescent="0.25">
      <c r="A10423" s="2">
        <v>10418</v>
      </c>
      <c r="B10423" s="3" t="str">
        <f>"00471504"</f>
        <v>00471504</v>
      </c>
    </row>
    <row r="10424" spans="1:2" x14ac:dyDescent="0.25">
      <c r="A10424" s="2">
        <v>10419</v>
      </c>
      <c r="B10424" s="3" t="str">
        <f>"00471594"</f>
        <v>00471594</v>
      </c>
    </row>
    <row r="10425" spans="1:2" x14ac:dyDescent="0.25">
      <c r="A10425" s="2">
        <v>10420</v>
      </c>
      <c r="B10425" s="3" t="str">
        <f>"00471648"</f>
        <v>00471648</v>
      </c>
    </row>
    <row r="10426" spans="1:2" x14ac:dyDescent="0.25">
      <c r="A10426" s="2">
        <v>10421</v>
      </c>
      <c r="B10426" s="3" t="str">
        <f>"00471651"</f>
        <v>00471651</v>
      </c>
    </row>
    <row r="10427" spans="1:2" x14ac:dyDescent="0.25">
      <c r="A10427" s="2">
        <v>10422</v>
      </c>
      <c r="B10427" s="3" t="str">
        <f>"00471669"</f>
        <v>00471669</v>
      </c>
    </row>
    <row r="10428" spans="1:2" x14ac:dyDescent="0.25">
      <c r="A10428" s="2">
        <v>10423</v>
      </c>
      <c r="B10428" s="3" t="str">
        <f>"00471775"</f>
        <v>00471775</v>
      </c>
    </row>
    <row r="10429" spans="1:2" x14ac:dyDescent="0.25">
      <c r="A10429" s="2">
        <v>10424</v>
      </c>
      <c r="B10429" s="3" t="str">
        <f>"00471782"</f>
        <v>00471782</v>
      </c>
    </row>
    <row r="10430" spans="1:2" x14ac:dyDescent="0.25">
      <c r="A10430" s="2">
        <v>10425</v>
      </c>
      <c r="B10430" s="3" t="str">
        <f>"00471796"</f>
        <v>00471796</v>
      </c>
    </row>
    <row r="10431" spans="1:2" x14ac:dyDescent="0.25">
      <c r="A10431" s="2">
        <v>10426</v>
      </c>
      <c r="B10431" s="3" t="str">
        <f>"00471824"</f>
        <v>00471824</v>
      </c>
    </row>
    <row r="10432" spans="1:2" x14ac:dyDescent="0.25">
      <c r="A10432" s="2">
        <v>10427</v>
      </c>
      <c r="B10432" s="3" t="str">
        <f>"00471835"</f>
        <v>00471835</v>
      </c>
    </row>
    <row r="10433" spans="1:2" x14ac:dyDescent="0.25">
      <c r="A10433" s="2">
        <v>10428</v>
      </c>
      <c r="B10433" s="3" t="str">
        <f>"00471873"</f>
        <v>00471873</v>
      </c>
    </row>
    <row r="10434" spans="1:2" x14ac:dyDescent="0.25">
      <c r="A10434" s="2">
        <v>10429</v>
      </c>
      <c r="B10434" s="3" t="str">
        <f>"00471891"</f>
        <v>00471891</v>
      </c>
    </row>
    <row r="10435" spans="1:2" x14ac:dyDescent="0.25">
      <c r="A10435" s="2">
        <v>10430</v>
      </c>
      <c r="B10435" s="3" t="str">
        <f>"00471923"</f>
        <v>00471923</v>
      </c>
    </row>
    <row r="10436" spans="1:2" x14ac:dyDescent="0.25">
      <c r="A10436" s="2">
        <v>10431</v>
      </c>
      <c r="B10436" s="3" t="str">
        <f>"00471937"</f>
        <v>00471937</v>
      </c>
    </row>
    <row r="10437" spans="1:2" x14ac:dyDescent="0.25">
      <c r="A10437" s="2">
        <v>10432</v>
      </c>
      <c r="B10437" s="3" t="str">
        <f>"00471945"</f>
        <v>00471945</v>
      </c>
    </row>
    <row r="10438" spans="1:2" x14ac:dyDescent="0.25">
      <c r="A10438" s="2">
        <v>10433</v>
      </c>
      <c r="B10438" s="3" t="str">
        <f>"00472062"</f>
        <v>00472062</v>
      </c>
    </row>
    <row r="10439" spans="1:2" x14ac:dyDescent="0.25">
      <c r="A10439" s="2">
        <v>10434</v>
      </c>
      <c r="B10439" s="3" t="str">
        <f>"00472075"</f>
        <v>00472075</v>
      </c>
    </row>
    <row r="10440" spans="1:2" x14ac:dyDescent="0.25">
      <c r="A10440" s="2">
        <v>10435</v>
      </c>
      <c r="B10440" s="3" t="str">
        <f>"00472231"</f>
        <v>00472231</v>
      </c>
    </row>
    <row r="10441" spans="1:2" x14ac:dyDescent="0.25">
      <c r="A10441" s="2">
        <v>10436</v>
      </c>
      <c r="B10441" s="3" t="str">
        <f>"00472259"</f>
        <v>00472259</v>
      </c>
    </row>
    <row r="10442" spans="1:2" x14ac:dyDescent="0.25">
      <c r="A10442" s="2">
        <v>10437</v>
      </c>
      <c r="B10442" s="3" t="str">
        <f>"00472261"</f>
        <v>00472261</v>
      </c>
    </row>
    <row r="10443" spans="1:2" x14ac:dyDescent="0.25">
      <c r="A10443" s="2">
        <v>10438</v>
      </c>
      <c r="B10443" s="3" t="str">
        <f>"00472375"</f>
        <v>00472375</v>
      </c>
    </row>
    <row r="10444" spans="1:2" x14ac:dyDescent="0.25">
      <c r="A10444" s="2">
        <v>10439</v>
      </c>
      <c r="B10444" s="3" t="str">
        <f>"00472393"</f>
        <v>00472393</v>
      </c>
    </row>
    <row r="10445" spans="1:2" x14ac:dyDescent="0.25">
      <c r="A10445" s="2">
        <v>10440</v>
      </c>
      <c r="B10445" s="3" t="str">
        <f>"00472528"</f>
        <v>00472528</v>
      </c>
    </row>
    <row r="10446" spans="1:2" x14ac:dyDescent="0.25">
      <c r="A10446" s="2">
        <v>10441</v>
      </c>
      <c r="B10446" s="3" t="str">
        <f>"00472609"</f>
        <v>00472609</v>
      </c>
    </row>
    <row r="10447" spans="1:2" x14ac:dyDescent="0.25">
      <c r="A10447" s="2">
        <v>10442</v>
      </c>
      <c r="B10447" s="3" t="str">
        <f>"00472622"</f>
        <v>00472622</v>
      </c>
    </row>
    <row r="10448" spans="1:2" x14ac:dyDescent="0.25">
      <c r="A10448" s="2">
        <v>10443</v>
      </c>
      <c r="B10448" s="3" t="str">
        <f>"00472636"</f>
        <v>00472636</v>
      </c>
    </row>
    <row r="10449" spans="1:2" x14ac:dyDescent="0.25">
      <c r="A10449" s="2">
        <v>10444</v>
      </c>
      <c r="B10449" s="3" t="str">
        <f>"00472670"</f>
        <v>00472670</v>
      </c>
    </row>
    <row r="10450" spans="1:2" x14ac:dyDescent="0.25">
      <c r="A10450" s="2">
        <v>10445</v>
      </c>
      <c r="B10450" s="3" t="str">
        <f>"00472704"</f>
        <v>00472704</v>
      </c>
    </row>
    <row r="10451" spans="1:2" x14ac:dyDescent="0.25">
      <c r="A10451" s="2">
        <v>10446</v>
      </c>
      <c r="B10451" s="3" t="str">
        <f>"00472718"</f>
        <v>00472718</v>
      </c>
    </row>
    <row r="10452" spans="1:2" x14ac:dyDescent="0.25">
      <c r="A10452" s="2">
        <v>10447</v>
      </c>
      <c r="B10452" s="3" t="str">
        <f>"00472719"</f>
        <v>00472719</v>
      </c>
    </row>
    <row r="10453" spans="1:2" x14ac:dyDescent="0.25">
      <c r="A10453" s="2">
        <v>10448</v>
      </c>
      <c r="B10453" s="3" t="str">
        <f>"00472760"</f>
        <v>00472760</v>
      </c>
    </row>
    <row r="10454" spans="1:2" x14ac:dyDescent="0.25">
      <c r="A10454" s="2">
        <v>10449</v>
      </c>
      <c r="B10454" s="3" t="str">
        <f>"00472811"</f>
        <v>00472811</v>
      </c>
    </row>
    <row r="10455" spans="1:2" x14ac:dyDescent="0.25">
      <c r="A10455" s="2">
        <v>10450</v>
      </c>
      <c r="B10455" s="3" t="str">
        <f>"00472893"</f>
        <v>00472893</v>
      </c>
    </row>
    <row r="10456" spans="1:2" x14ac:dyDescent="0.25">
      <c r="A10456" s="2">
        <v>10451</v>
      </c>
      <c r="B10456" s="3" t="str">
        <f>"00472911"</f>
        <v>00472911</v>
      </c>
    </row>
    <row r="10457" spans="1:2" x14ac:dyDescent="0.25">
      <c r="A10457" s="2">
        <v>10452</v>
      </c>
      <c r="B10457" s="3" t="str">
        <f>"00472961"</f>
        <v>00472961</v>
      </c>
    </row>
    <row r="10458" spans="1:2" x14ac:dyDescent="0.25">
      <c r="A10458" s="2">
        <v>10453</v>
      </c>
      <c r="B10458" s="3" t="str">
        <f>"00473032"</f>
        <v>00473032</v>
      </c>
    </row>
    <row r="10459" spans="1:2" x14ac:dyDescent="0.25">
      <c r="A10459" s="2">
        <v>10454</v>
      </c>
      <c r="B10459" s="3" t="str">
        <f>"00473133"</f>
        <v>00473133</v>
      </c>
    </row>
    <row r="10460" spans="1:2" x14ac:dyDescent="0.25">
      <c r="A10460" s="2">
        <v>10455</v>
      </c>
      <c r="B10460" s="3" t="str">
        <f>"00473178"</f>
        <v>00473178</v>
      </c>
    </row>
    <row r="10461" spans="1:2" x14ac:dyDescent="0.25">
      <c r="A10461" s="2">
        <v>10456</v>
      </c>
      <c r="B10461" s="3" t="str">
        <f>"00473204"</f>
        <v>00473204</v>
      </c>
    </row>
    <row r="10462" spans="1:2" x14ac:dyDescent="0.25">
      <c r="A10462" s="2">
        <v>10457</v>
      </c>
      <c r="B10462" s="3" t="str">
        <f>"00473326"</f>
        <v>00473326</v>
      </c>
    </row>
    <row r="10463" spans="1:2" x14ac:dyDescent="0.25">
      <c r="A10463" s="2">
        <v>10458</v>
      </c>
      <c r="B10463" s="3" t="str">
        <f>"00473340"</f>
        <v>00473340</v>
      </c>
    </row>
    <row r="10464" spans="1:2" x14ac:dyDescent="0.25">
      <c r="A10464" s="2">
        <v>10459</v>
      </c>
      <c r="B10464" s="3" t="str">
        <f>"00473348"</f>
        <v>00473348</v>
      </c>
    </row>
    <row r="10465" spans="1:2" x14ac:dyDescent="0.25">
      <c r="A10465" s="2">
        <v>10460</v>
      </c>
      <c r="B10465" s="3" t="str">
        <f>"00473367"</f>
        <v>00473367</v>
      </c>
    </row>
    <row r="10466" spans="1:2" x14ac:dyDescent="0.25">
      <c r="A10466" s="2">
        <v>10461</v>
      </c>
      <c r="B10466" s="3" t="str">
        <f>"00473415"</f>
        <v>00473415</v>
      </c>
    </row>
    <row r="10467" spans="1:2" x14ac:dyDescent="0.25">
      <c r="A10467" s="2">
        <v>10462</v>
      </c>
      <c r="B10467" s="3" t="str">
        <f>"00473437"</f>
        <v>00473437</v>
      </c>
    </row>
    <row r="10468" spans="1:2" x14ac:dyDescent="0.25">
      <c r="A10468" s="2">
        <v>10463</v>
      </c>
      <c r="B10468" s="3" t="str">
        <f>"00473445"</f>
        <v>00473445</v>
      </c>
    </row>
    <row r="10469" spans="1:2" x14ac:dyDescent="0.25">
      <c r="A10469" s="2">
        <v>10464</v>
      </c>
      <c r="B10469" s="3" t="str">
        <f>"00473469"</f>
        <v>00473469</v>
      </c>
    </row>
    <row r="10470" spans="1:2" x14ac:dyDescent="0.25">
      <c r="A10470" s="2">
        <v>10465</v>
      </c>
      <c r="B10470" s="3" t="str">
        <f>"00473479"</f>
        <v>00473479</v>
      </c>
    </row>
    <row r="10471" spans="1:2" x14ac:dyDescent="0.25">
      <c r="A10471" s="2">
        <v>10466</v>
      </c>
      <c r="B10471" s="3" t="str">
        <f>"00473489"</f>
        <v>00473489</v>
      </c>
    </row>
    <row r="10472" spans="1:2" x14ac:dyDescent="0.25">
      <c r="A10472" s="2">
        <v>10467</v>
      </c>
      <c r="B10472" s="3" t="str">
        <f>"00473506"</f>
        <v>00473506</v>
      </c>
    </row>
    <row r="10473" spans="1:2" x14ac:dyDescent="0.25">
      <c r="A10473" s="2">
        <v>10468</v>
      </c>
      <c r="B10473" s="3" t="str">
        <f>"00473515"</f>
        <v>00473515</v>
      </c>
    </row>
    <row r="10474" spans="1:2" x14ac:dyDescent="0.25">
      <c r="A10474" s="2">
        <v>10469</v>
      </c>
      <c r="B10474" s="3" t="str">
        <f>"00473532"</f>
        <v>00473532</v>
      </c>
    </row>
    <row r="10475" spans="1:2" x14ac:dyDescent="0.25">
      <c r="A10475" s="2">
        <v>10470</v>
      </c>
      <c r="B10475" s="3" t="str">
        <f>"00473540"</f>
        <v>00473540</v>
      </c>
    </row>
    <row r="10476" spans="1:2" x14ac:dyDescent="0.25">
      <c r="A10476" s="2">
        <v>10471</v>
      </c>
      <c r="B10476" s="3" t="str">
        <f>"00473601"</f>
        <v>00473601</v>
      </c>
    </row>
    <row r="10477" spans="1:2" x14ac:dyDescent="0.25">
      <c r="A10477" s="2">
        <v>10472</v>
      </c>
      <c r="B10477" s="3" t="str">
        <f>"00473618"</f>
        <v>00473618</v>
      </c>
    </row>
    <row r="10478" spans="1:2" x14ac:dyDescent="0.25">
      <c r="A10478" s="2">
        <v>10473</v>
      </c>
      <c r="B10478" s="3" t="str">
        <f>"00473620"</f>
        <v>00473620</v>
      </c>
    </row>
    <row r="10479" spans="1:2" x14ac:dyDescent="0.25">
      <c r="A10479" s="2">
        <v>10474</v>
      </c>
      <c r="B10479" s="3" t="str">
        <f>"00473629"</f>
        <v>00473629</v>
      </c>
    </row>
    <row r="10480" spans="1:2" x14ac:dyDescent="0.25">
      <c r="A10480" s="2">
        <v>10475</v>
      </c>
      <c r="B10480" s="3" t="str">
        <f>"00473663"</f>
        <v>00473663</v>
      </c>
    </row>
    <row r="10481" spans="1:2" x14ac:dyDescent="0.25">
      <c r="A10481" s="2">
        <v>10476</v>
      </c>
      <c r="B10481" s="3" t="str">
        <f>"00473709"</f>
        <v>00473709</v>
      </c>
    </row>
    <row r="10482" spans="1:2" x14ac:dyDescent="0.25">
      <c r="A10482" s="2">
        <v>10477</v>
      </c>
      <c r="B10482" s="3" t="str">
        <f>"00473768"</f>
        <v>00473768</v>
      </c>
    </row>
    <row r="10483" spans="1:2" x14ac:dyDescent="0.25">
      <c r="A10483" s="2">
        <v>10478</v>
      </c>
      <c r="B10483" s="3" t="str">
        <f>"00473831"</f>
        <v>00473831</v>
      </c>
    </row>
    <row r="10484" spans="1:2" x14ac:dyDescent="0.25">
      <c r="A10484" s="2">
        <v>10479</v>
      </c>
      <c r="B10484" s="3" t="str">
        <f>"00474050"</f>
        <v>00474050</v>
      </c>
    </row>
    <row r="10485" spans="1:2" x14ac:dyDescent="0.25">
      <c r="A10485" s="2">
        <v>10480</v>
      </c>
      <c r="B10485" s="3" t="str">
        <f>"00474052"</f>
        <v>00474052</v>
      </c>
    </row>
    <row r="10486" spans="1:2" x14ac:dyDescent="0.25">
      <c r="A10486" s="2">
        <v>10481</v>
      </c>
      <c r="B10486" s="3" t="str">
        <f>"00474134"</f>
        <v>00474134</v>
      </c>
    </row>
    <row r="10487" spans="1:2" x14ac:dyDescent="0.25">
      <c r="A10487" s="2">
        <v>10482</v>
      </c>
      <c r="B10487" s="3" t="str">
        <f>"00474159"</f>
        <v>00474159</v>
      </c>
    </row>
    <row r="10488" spans="1:2" x14ac:dyDescent="0.25">
      <c r="A10488" s="2">
        <v>10483</v>
      </c>
      <c r="B10488" s="3" t="str">
        <f>"00474166"</f>
        <v>00474166</v>
      </c>
    </row>
    <row r="10489" spans="1:2" x14ac:dyDescent="0.25">
      <c r="A10489" s="2">
        <v>10484</v>
      </c>
      <c r="B10489" s="3" t="str">
        <f>"00474192"</f>
        <v>00474192</v>
      </c>
    </row>
    <row r="10490" spans="1:2" x14ac:dyDescent="0.25">
      <c r="A10490" s="2">
        <v>10485</v>
      </c>
      <c r="B10490" s="3" t="str">
        <f>"00474222"</f>
        <v>00474222</v>
      </c>
    </row>
    <row r="10491" spans="1:2" x14ac:dyDescent="0.25">
      <c r="A10491" s="2">
        <v>10486</v>
      </c>
      <c r="B10491" s="3" t="str">
        <f>"00474249"</f>
        <v>00474249</v>
      </c>
    </row>
    <row r="10492" spans="1:2" x14ac:dyDescent="0.25">
      <c r="A10492" s="2">
        <v>10487</v>
      </c>
      <c r="B10492" s="3" t="str">
        <f>"00474342"</f>
        <v>00474342</v>
      </c>
    </row>
    <row r="10493" spans="1:2" x14ac:dyDescent="0.25">
      <c r="A10493" s="2">
        <v>10488</v>
      </c>
      <c r="B10493" s="3" t="str">
        <f>"00474386"</f>
        <v>00474386</v>
      </c>
    </row>
    <row r="10494" spans="1:2" x14ac:dyDescent="0.25">
      <c r="A10494" s="2">
        <v>10489</v>
      </c>
      <c r="B10494" s="3" t="str">
        <f>"00474421"</f>
        <v>00474421</v>
      </c>
    </row>
    <row r="10495" spans="1:2" x14ac:dyDescent="0.25">
      <c r="A10495" s="2">
        <v>10490</v>
      </c>
      <c r="B10495" s="3" t="str">
        <f>"00474454"</f>
        <v>00474454</v>
      </c>
    </row>
    <row r="10496" spans="1:2" x14ac:dyDescent="0.25">
      <c r="A10496" s="2">
        <v>10491</v>
      </c>
      <c r="B10496" s="3" t="str">
        <f>"00474661"</f>
        <v>00474661</v>
      </c>
    </row>
    <row r="10497" spans="1:2" x14ac:dyDescent="0.25">
      <c r="A10497" s="2">
        <v>10492</v>
      </c>
      <c r="B10497" s="3" t="str">
        <f>"00474845"</f>
        <v>00474845</v>
      </c>
    </row>
    <row r="10498" spans="1:2" x14ac:dyDescent="0.25">
      <c r="A10498" s="2">
        <v>10493</v>
      </c>
      <c r="B10498" s="3" t="str">
        <f>"00474927"</f>
        <v>00474927</v>
      </c>
    </row>
    <row r="10499" spans="1:2" x14ac:dyDescent="0.25">
      <c r="A10499" s="2">
        <v>10494</v>
      </c>
      <c r="B10499" s="3" t="str">
        <f>"00475032"</f>
        <v>00475032</v>
      </c>
    </row>
    <row r="10500" spans="1:2" x14ac:dyDescent="0.25">
      <c r="A10500" s="2">
        <v>10495</v>
      </c>
      <c r="B10500" s="3" t="str">
        <f>"00475050"</f>
        <v>00475050</v>
      </c>
    </row>
    <row r="10501" spans="1:2" x14ac:dyDescent="0.25">
      <c r="A10501" s="2">
        <v>10496</v>
      </c>
      <c r="B10501" s="3" t="str">
        <f>"00475313"</f>
        <v>00475313</v>
      </c>
    </row>
    <row r="10502" spans="1:2" x14ac:dyDescent="0.25">
      <c r="A10502" s="2">
        <v>10497</v>
      </c>
      <c r="B10502" s="3" t="str">
        <f>"00475367"</f>
        <v>00475367</v>
      </c>
    </row>
    <row r="10503" spans="1:2" x14ac:dyDescent="0.25">
      <c r="A10503" s="2">
        <v>10498</v>
      </c>
      <c r="B10503" s="3" t="str">
        <f>"00475424"</f>
        <v>00475424</v>
      </c>
    </row>
    <row r="10504" spans="1:2" x14ac:dyDescent="0.25">
      <c r="A10504" s="2">
        <v>10499</v>
      </c>
      <c r="B10504" s="3" t="str">
        <f>"00475463"</f>
        <v>00475463</v>
      </c>
    </row>
    <row r="10505" spans="1:2" x14ac:dyDescent="0.25">
      <c r="A10505" s="2">
        <v>10500</v>
      </c>
      <c r="B10505" s="3" t="str">
        <f>"00475519"</f>
        <v>00475519</v>
      </c>
    </row>
    <row r="10506" spans="1:2" x14ac:dyDescent="0.25">
      <c r="A10506" s="2">
        <v>10501</v>
      </c>
      <c r="B10506" s="3" t="str">
        <f>"00475523"</f>
        <v>00475523</v>
      </c>
    </row>
    <row r="10507" spans="1:2" x14ac:dyDescent="0.25">
      <c r="A10507" s="2">
        <v>10502</v>
      </c>
      <c r="B10507" s="3" t="str">
        <f>"00475557"</f>
        <v>00475557</v>
      </c>
    </row>
    <row r="10508" spans="1:2" x14ac:dyDescent="0.25">
      <c r="A10508" s="2">
        <v>10503</v>
      </c>
      <c r="B10508" s="3" t="str">
        <f>"00475663"</f>
        <v>00475663</v>
      </c>
    </row>
    <row r="10509" spans="1:2" x14ac:dyDescent="0.25">
      <c r="A10509" s="2">
        <v>10504</v>
      </c>
      <c r="B10509" s="3" t="str">
        <f>"00475772"</f>
        <v>00475772</v>
      </c>
    </row>
    <row r="10510" spans="1:2" x14ac:dyDescent="0.25">
      <c r="A10510" s="2">
        <v>10505</v>
      </c>
      <c r="B10510" s="3" t="str">
        <f>"00475775"</f>
        <v>00475775</v>
      </c>
    </row>
    <row r="10511" spans="1:2" x14ac:dyDescent="0.25">
      <c r="A10511" s="2">
        <v>10506</v>
      </c>
      <c r="B10511" s="3" t="str">
        <f>"00475815"</f>
        <v>00475815</v>
      </c>
    </row>
    <row r="10512" spans="1:2" x14ac:dyDescent="0.25">
      <c r="A10512" s="2">
        <v>10507</v>
      </c>
      <c r="B10512" s="3" t="str">
        <f>"00475955"</f>
        <v>00475955</v>
      </c>
    </row>
    <row r="10513" spans="1:2" x14ac:dyDescent="0.25">
      <c r="A10513" s="2">
        <v>10508</v>
      </c>
      <c r="B10513" s="3" t="str">
        <f>"00475980"</f>
        <v>00475980</v>
      </c>
    </row>
    <row r="10514" spans="1:2" x14ac:dyDescent="0.25">
      <c r="A10514" s="2">
        <v>10509</v>
      </c>
      <c r="B10514" s="3" t="str">
        <f>"00475982"</f>
        <v>00475982</v>
      </c>
    </row>
    <row r="10515" spans="1:2" x14ac:dyDescent="0.25">
      <c r="A10515" s="2">
        <v>10510</v>
      </c>
      <c r="B10515" s="3" t="str">
        <f>"00476072"</f>
        <v>00476072</v>
      </c>
    </row>
    <row r="10516" spans="1:2" x14ac:dyDescent="0.25">
      <c r="A10516" s="2">
        <v>10511</v>
      </c>
      <c r="B10516" s="3" t="str">
        <f>"00476092"</f>
        <v>00476092</v>
      </c>
    </row>
    <row r="10517" spans="1:2" x14ac:dyDescent="0.25">
      <c r="A10517" s="2">
        <v>10512</v>
      </c>
      <c r="B10517" s="3" t="str">
        <f>"00476106"</f>
        <v>00476106</v>
      </c>
    </row>
    <row r="10518" spans="1:2" x14ac:dyDescent="0.25">
      <c r="A10518" s="2">
        <v>10513</v>
      </c>
      <c r="B10518" s="3" t="str">
        <f>"00476122"</f>
        <v>00476122</v>
      </c>
    </row>
    <row r="10519" spans="1:2" x14ac:dyDescent="0.25">
      <c r="A10519" s="2">
        <v>10514</v>
      </c>
      <c r="B10519" s="3" t="str">
        <f>"00476154"</f>
        <v>00476154</v>
      </c>
    </row>
    <row r="10520" spans="1:2" x14ac:dyDescent="0.25">
      <c r="A10520" s="2">
        <v>10515</v>
      </c>
      <c r="B10520" s="3" t="str">
        <f>"00476262"</f>
        <v>00476262</v>
      </c>
    </row>
    <row r="10521" spans="1:2" x14ac:dyDescent="0.25">
      <c r="A10521" s="2">
        <v>10516</v>
      </c>
      <c r="B10521" s="3" t="str">
        <f>"00476374"</f>
        <v>00476374</v>
      </c>
    </row>
    <row r="10522" spans="1:2" x14ac:dyDescent="0.25">
      <c r="A10522" s="2">
        <v>10517</v>
      </c>
      <c r="B10522" s="3" t="str">
        <f>"00476408"</f>
        <v>00476408</v>
      </c>
    </row>
    <row r="10523" spans="1:2" x14ac:dyDescent="0.25">
      <c r="A10523" s="2">
        <v>10518</v>
      </c>
      <c r="B10523" s="3" t="str">
        <f>"00476562"</f>
        <v>00476562</v>
      </c>
    </row>
    <row r="10524" spans="1:2" x14ac:dyDescent="0.25">
      <c r="A10524" s="2">
        <v>10519</v>
      </c>
      <c r="B10524" s="3" t="str">
        <f>"00476565"</f>
        <v>00476565</v>
      </c>
    </row>
    <row r="10525" spans="1:2" x14ac:dyDescent="0.25">
      <c r="A10525" s="2">
        <v>10520</v>
      </c>
      <c r="B10525" s="3" t="str">
        <f>"00476566"</f>
        <v>00476566</v>
      </c>
    </row>
    <row r="10526" spans="1:2" x14ac:dyDescent="0.25">
      <c r="A10526" s="2">
        <v>10521</v>
      </c>
      <c r="B10526" s="3" t="str">
        <f>"00476610"</f>
        <v>00476610</v>
      </c>
    </row>
    <row r="10527" spans="1:2" x14ac:dyDescent="0.25">
      <c r="A10527" s="2">
        <v>10522</v>
      </c>
      <c r="B10527" s="3" t="str">
        <f>"00476629"</f>
        <v>00476629</v>
      </c>
    </row>
    <row r="10528" spans="1:2" x14ac:dyDescent="0.25">
      <c r="A10528" s="2">
        <v>10523</v>
      </c>
      <c r="B10528" s="3" t="str">
        <f>"00476680"</f>
        <v>00476680</v>
      </c>
    </row>
    <row r="10529" spans="1:2" x14ac:dyDescent="0.25">
      <c r="A10529" s="2">
        <v>10524</v>
      </c>
      <c r="B10529" s="3" t="str">
        <f>"00476716"</f>
        <v>00476716</v>
      </c>
    </row>
    <row r="10530" spans="1:2" x14ac:dyDescent="0.25">
      <c r="A10530" s="2">
        <v>10525</v>
      </c>
      <c r="B10530" s="3" t="str">
        <f>"00476790"</f>
        <v>00476790</v>
      </c>
    </row>
    <row r="10531" spans="1:2" x14ac:dyDescent="0.25">
      <c r="A10531" s="2">
        <v>10526</v>
      </c>
      <c r="B10531" s="3" t="str">
        <f>"00476837"</f>
        <v>00476837</v>
      </c>
    </row>
    <row r="10532" spans="1:2" x14ac:dyDescent="0.25">
      <c r="A10532" s="2">
        <v>10527</v>
      </c>
      <c r="B10532" s="3" t="str">
        <f>"00476840"</f>
        <v>00476840</v>
      </c>
    </row>
    <row r="10533" spans="1:2" x14ac:dyDescent="0.25">
      <c r="A10533" s="2">
        <v>10528</v>
      </c>
      <c r="B10533" s="3" t="str">
        <f>"00476842"</f>
        <v>00476842</v>
      </c>
    </row>
    <row r="10534" spans="1:2" x14ac:dyDescent="0.25">
      <c r="A10534" s="2">
        <v>10529</v>
      </c>
      <c r="B10534" s="3" t="str">
        <f>"00476869"</f>
        <v>00476869</v>
      </c>
    </row>
    <row r="10535" spans="1:2" x14ac:dyDescent="0.25">
      <c r="A10535" s="2">
        <v>10530</v>
      </c>
      <c r="B10535" s="3" t="str">
        <f>"00476920"</f>
        <v>00476920</v>
      </c>
    </row>
    <row r="10536" spans="1:2" x14ac:dyDescent="0.25">
      <c r="A10536" s="2">
        <v>10531</v>
      </c>
      <c r="B10536" s="3" t="str">
        <f>"00476960"</f>
        <v>00476960</v>
      </c>
    </row>
    <row r="10537" spans="1:2" x14ac:dyDescent="0.25">
      <c r="A10537" s="2">
        <v>10532</v>
      </c>
      <c r="B10537" s="3" t="str">
        <f>"00476964"</f>
        <v>00476964</v>
      </c>
    </row>
    <row r="10538" spans="1:2" x14ac:dyDescent="0.25">
      <c r="A10538" s="2">
        <v>10533</v>
      </c>
      <c r="B10538" s="3" t="str">
        <f>"00476997"</f>
        <v>00476997</v>
      </c>
    </row>
    <row r="10539" spans="1:2" x14ac:dyDescent="0.25">
      <c r="A10539" s="2">
        <v>10534</v>
      </c>
      <c r="B10539" s="3" t="str">
        <f>"00477093"</f>
        <v>00477093</v>
      </c>
    </row>
    <row r="10540" spans="1:2" x14ac:dyDescent="0.25">
      <c r="A10540" s="2">
        <v>10535</v>
      </c>
      <c r="B10540" s="3" t="str">
        <f>"00477133"</f>
        <v>00477133</v>
      </c>
    </row>
    <row r="10541" spans="1:2" x14ac:dyDescent="0.25">
      <c r="A10541" s="2">
        <v>10536</v>
      </c>
      <c r="B10541" s="3" t="str">
        <f>"00477388"</f>
        <v>00477388</v>
      </c>
    </row>
    <row r="10542" spans="1:2" x14ac:dyDescent="0.25">
      <c r="A10542" s="2">
        <v>10537</v>
      </c>
      <c r="B10542" s="3" t="str">
        <f>"00477447"</f>
        <v>00477447</v>
      </c>
    </row>
    <row r="10543" spans="1:2" x14ac:dyDescent="0.25">
      <c r="A10543" s="2">
        <v>10538</v>
      </c>
      <c r="B10543" s="3" t="str">
        <f>"00477499"</f>
        <v>00477499</v>
      </c>
    </row>
    <row r="10544" spans="1:2" x14ac:dyDescent="0.25">
      <c r="A10544" s="2">
        <v>10539</v>
      </c>
      <c r="B10544" s="3" t="str">
        <f>"00477519"</f>
        <v>00477519</v>
      </c>
    </row>
    <row r="10545" spans="1:2" x14ac:dyDescent="0.25">
      <c r="A10545" s="2">
        <v>10540</v>
      </c>
      <c r="B10545" s="3" t="str">
        <f>"00477537"</f>
        <v>00477537</v>
      </c>
    </row>
    <row r="10546" spans="1:2" x14ac:dyDescent="0.25">
      <c r="A10546" s="2">
        <v>10541</v>
      </c>
      <c r="B10546" s="3" t="str">
        <f>"00477551"</f>
        <v>00477551</v>
      </c>
    </row>
    <row r="10547" spans="1:2" x14ac:dyDescent="0.25">
      <c r="A10547" s="2">
        <v>10542</v>
      </c>
      <c r="B10547" s="3" t="str">
        <f>"00477586"</f>
        <v>00477586</v>
      </c>
    </row>
    <row r="10548" spans="1:2" x14ac:dyDescent="0.25">
      <c r="A10548" s="2">
        <v>10543</v>
      </c>
      <c r="B10548" s="3" t="str">
        <f>"00477711"</f>
        <v>00477711</v>
      </c>
    </row>
    <row r="10549" spans="1:2" x14ac:dyDescent="0.25">
      <c r="A10549" s="2">
        <v>10544</v>
      </c>
      <c r="B10549" s="3" t="str">
        <f>"00477725"</f>
        <v>00477725</v>
      </c>
    </row>
    <row r="10550" spans="1:2" x14ac:dyDescent="0.25">
      <c r="A10550" s="2">
        <v>10545</v>
      </c>
      <c r="B10550" s="3" t="str">
        <f>"00477769"</f>
        <v>00477769</v>
      </c>
    </row>
    <row r="10551" spans="1:2" x14ac:dyDescent="0.25">
      <c r="A10551" s="2">
        <v>10546</v>
      </c>
      <c r="B10551" s="3" t="str">
        <f>"00477868"</f>
        <v>00477868</v>
      </c>
    </row>
    <row r="10552" spans="1:2" x14ac:dyDescent="0.25">
      <c r="A10552" s="2">
        <v>10547</v>
      </c>
      <c r="B10552" s="3" t="str">
        <f>"00477901"</f>
        <v>00477901</v>
      </c>
    </row>
    <row r="10553" spans="1:2" x14ac:dyDescent="0.25">
      <c r="A10553" s="2">
        <v>10548</v>
      </c>
      <c r="B10553" s="3" t="str">
        <f>"00477944"</f>
        <v>00477944</v>
      </c>
    </row>
    <row r="10554" spans="1:2" x14ac:dyDescent="0.25">
      <c r="A10554" s="2">
        <v>10549</v>
      </c>
      <c r="B10554" s="3" t="str">
        <f>"00477969"</f>
        <v>00477969</v>
      </c>
    </row>
    <row r="10555" spans="1:2" x14ac:dyDescent="0.25">
      <c r="A10555" s="2">
        <v>10550</v>
      </c>
      <c r="B10555" s="3" t="str">
        <f>"00477977"</f>
        <v>00477977</v>
      </c>
    </row>
    <row r="10556" spans="1:2" x14ac:dyDescent="0.25">
      <c r="A10556" s="2">
        <v>10551</v>
      </c>
      <c r="B10556" s="3" t="str">
        <f>"00478001"</f>
        <v>00478001</v>
      </c>
    </row>
    <row r="10557" spans="1:2" x14ac:dyDescent="0.25">
      <c r="A10557" s="2">
        <v>10552</v>
      </c>
      <c r="B10557" s="3" t="str">
        <f>"00478029"</f>
        <v>00478029</v>
      </c>
    </row>
    <row r="10558" spans="1:2" x14ac:dyDescent="0.25">
      <c r="A10558" s="2">
        <v>10553</v>
      </c>
      <c r="B10558" s="3" t="str">
        <f>"00478041"</f>
        <v>00478041</v>
      </c>
    </row>
    <row r="10559" spans="1:2" x14ac:dyDescent="0.25">
      <c r="A10559" s="2">
        <v>10554</v>
      </c>
      <c r="B10559" s="3" t="str">
        <f>"00478063"</f>
        <v>00478063</v>
      </c>
    </row>
    <row r="10560" spans="1:2" x14ac:dyDescent="0.25">
      <c r="A10560" s="2">
        <v>10555</v>
      </c>
      <c r="B10560" s="3" t="str">
        <f>"00478071"</f>
        <v>00478071</v>
      </c>
    </row>
    <row r="10561" spans="1:2" x14ac:dyDescent="0.25">
      <c r="A10561" s="2">
        <v>10556</v>
      </c>
      <c r="B10561" s="3" t="str">
        <f>"00478156"</f>
        <v>00478156</v>
      </c>
    </row>
    <row r="10562" spans="1:2" x14ac:dyDescent="0.25">
      <c r="A10562" s="2">
        <v>10557</v>
      </c>
      <c r="B10562" s="3" t="str">
        <f>"00478166"</f>
        <v>00478166</v>
      </c>
    </row>
    <row r="10563" spans="1:2" x14ac:dyDescent="0.25">
      <c r="A10563" s="2">
        <v>10558</v>
      </c>
      <c r="B10563" s="3" t="str">
        <f>"00478186"</f>
        <v>00478186</v>
      </c>
    </row>
    <row r="10564" spans="1:2" x14ac:dyDescent="0.25">
      <c r="A10564" s="2">
        <v>10559</v>
      </c>
      <c r="B10564" s="3" t="str">
        <f>"00478204"</f>
        <v>00478204</v>
      </c>
    </row>
    <row r="10565" spans="1:2" x14ac:dyDescent="0.25">
      <c r="A10565" s="2">
        <v>10560</v>
      </c>
      <c r="B10565" s="3" t="str">
        <f>"00478215"</f>
        <v>00478215</v>
      </c>
    </row>
    <row r="10566" spans="1:2" x14ac:dyDescent="0.25">
      <c r="A10566" s="2">
        <v>10561</v>
      </c>
      <c r="B10566" s="3" t="str">
        <f>"00478230"</f>
        <v>00478230</v>
      </c>
    </row>
    <row r="10567" spans="1:2" x14ac:dyDescent="0.25">
      <c r="A10567" s="2">
        <v>10562</v>
      </c>
      <c r="B10567" s="3" t="str">
        <f>"00478245"</f>
        <v>00478245</v>
      </c>
    </row>
    <row r="10568" spans="1:2" x14ac:dyDescent="0.25">
      <c r="A10568" s="2">
        <v>10563</v>
      </c>
      <c r="B10568" s="3" t="str">
        <f>"00478314"</f>
        <v>00478314</v>
      </c>
    </row>
    <row r="10569" spans="1:2" x14ac:dyDescent="0.25">
      <c r="A10569" s="2">
        <v>10564</v>
      </c>
      <c r="B10569" s="3" t="str">
        <f>"00478363"</f>
        <v>00478363</v>
      </c>
    </row>
    <row r="10570" spans="1:2" x14ac:dyDescent="0.25">
      <c r="A10570" s="2">
        <v>10565</v>
      </c>
      <c r="B10570" s="3" t="str">
        <f>"00478378"</f>
        <v>00478378</v>
      </c>
    </row>
    <row r="10571" spans="1:2" x14ac:dyDescent="0.25">
      <c r="A10571" s="2">
        <v>10566</v>
      </c>
      <c r="B10571" s="3" t="str">
        <f>"00478407"</f>
        <v>00478407</v>
      </c>
    </row>
    <row r="10572" spans="1:2" x14ac:dyDescent="0.25">
      <c r="A10572" s="2">
        <v>10567</v>
      </c>
      <c r="B10572" s="3" t="str">
        <f>"00478411"</f>
        <v>00478411</v>
      </c>
    </row>
    <row r="10573" spans="1:2" x14ac:dyDescent="0.25">
      <c r="A10573" s="2">
        <v>10568</v>
      </c>
      <c r="B10573" s="3" t="str">
        <f>"00478470"</f>
        <v>00478470</v>
      </c>
    </row>
    <row r="10574" spans="1:2" x14ac:dyDescent="0.25">
      <c r="A10574" s="2">
        <v>10569</v>
      </c>
      <c r="B10574" s="3" t="str">
        <f>"00478474"</f>
        <v>00478474</v>
      </c>
    </row>
    <row r="10575" spans="1:2" x14ac:dyDescent="0.25">
      <c r="A10575" s="2">
        <v>10570</v>
      </c>
      <c r="B10575" s="3" t="str">
        <f>"00478477"</f>
        <v>00478477</v>
      </c>
    </row>
    <row r="10576" spans="1:2" x14ac:dyDescent="0.25">
      <c r="A10576" s="2">
        <v>10571</v>
      </c>
      <c r="B10576" s="3" t="str">
        <f>"00478483"</f>
        <v>00478483</v>
      </c>
    </row>
    <row r="10577" spans="1:2" x14ac:dyDescent="0.25">
      <c r="A10577" s="2">
        <v>10572</v>
      </c>
      <c r="B10577" s="3" t="str">
        <f>"00478509"</f>
        <v>00478509</v>
      </c>
    </row>
    <row r="10578" spans="1:2" x14ac:dyDescent="0.25">
      <c r="A10578" s="2">
        <v>10573</v>
      </c>
      <c r="B10578" s="3" t="str">
        <f>"00478516"</f>
        <v>00478516</v>
      </c>
    </row>
    <row r="10579" spans="1:2" x14ac:dyDescent="0.25">
      <c r="A10579" s="2">
        <v>10574</v>
      </c>
      <c r="B10579" s="3" t="str">
        <f>"00478707"</f>
        <v>00478707</v>
      </c>
    </row>
    <row r="10580" spans="1:2" x14ac:dyDescent="0.25">
      <c r="A10580" s="2">
        <v>10575</v>
      </c>
      <c r="B10580" s="3" t="str">
        <f>"00478728"</f>
        <v>00478728</v>
      </c>
    </row>
    <row r="10581" spans="1:2" x14ac:dyDescent="0.25">
      <c r="A10581" s="2">
        <v>10576</v>
      </c>
      <c r="B10581" s="3" t="str">
        <f>"00478729"</f>
        <v>00478729</v>
      </c>
    </row>
    <row r="10582" spans="1:2" x14ac:dyDescent="0.25">
      <c r="A10582" s="2">
        <v>10577</v>
      </c>
      <c r="B10582" s="3" t="str">
        <f>"00478730"</f>
        <v>00478730</v>
      </c>
    </row>
    <row r="10583" spans="1:2" x14ac:dyDescent="0.25">
      <c r="A10583" s="2">
        <v>10578</v>
      </c>
      <c r="B10583" s="3" t="str">
        <f>"00478780"</f>
        <v>00478780</v>
      </c>
    </row>
    <row r="10584" spans="1:2" x14ac:dyDescent="0.25">
      <c r="A10584" s="2">
        <v>10579</v>
      </c>
      <c r="B10584" s="3" t="str">
        <f>"00478947"</f>
        <v>00478947</v>
      </c>
    </row>
    <row r="10585" spans="1:2" x14ac:dyDescent="0.25">
      <c r="A10585" s="2">
        <v>10580</v>
      </c>
      <c r="B10585" s="3" t="str">
        <f>"00478954"</f>
        <v>00478954</v>
      </c>
    </row>
    <row r="10586" spans="1:2" x14ac:dyDescent="0.25">
      <c r="A10586" s="2">
        <v>10581</v>
      </c>
      <c r="B10586" s="3" t="str">
        <f>"00478956"</f>
        <v>00478956</v>
      </c>
    </row>
    <row r="10587" spans="1:2" x14ac:dyDescent="0.25">
      <c r="A10587" s="2">
        <v>10582</v>
      </c>
      <c r="B10587" s="3" t="str">
        <f>"00479002"</f>
        <v>00479002</v>
      </c>
    </row>
    <row r="10588" spans="1:2" x14ac:dyDescent="0.25">
      <c r="A10588" s="2">
        <v>10583</v>
      </c>
      <c r="B10588" s="3" t="str">
        <f>"00479033"</f>
        <v>00479033</v>
      </c>
    </row>
    <row r="10589" spans="1:2" x14ac:dyDescent="0.25">
      <c r="A10589" s="2">
        <v>10584</v>
      </c>
      <c r="B10589" s="3" t="str">
        <f>"00479043"</f>
        <v>00479043</v>
      </c>
    </row>
    <row r="10590" spans="1:2" x14ac:dyDescent="0.25">
      <c r="A10590" s="2">
        <v>10585</v>
      </c>
      <c r="B10590" s="3" t="str">
        <f>"00479062"</f>
        <v>00479062</v>
      </c>
    </row>
    <row r="10591" spans="1:2" x14ac:dyDescent="0.25">
      <c r="A10591" s="2">
        <v>10586</v>
      </c>
      <c r="B10591" s="3" t="str">
        <f>"00479076"</f>
        <v>00479076</v>
      </c>
    </row>
    <row r="10592" spans="1:2" x14ac:dyDescent="0.25">
      <c r="A10592" s="2">
        <v>10587</v>
      </c>
      <c r="B10592" s="3" t="str">
        <f>"00479124"</f>
        <v>00479124</v>
      </c>
    </row>
    <row r="10593" spans="1:2" x14ac:dyDescent="0.25">
      <c r="A10593" s="2">
        <v>10588</v>
      </c>
      <c r="B10593" s="3" t="str">
        <f>"00479168"</f>
        <v>00479168</v>
      </c>
    </row>
    <row r="10594" spans="1:2" x14ac:dyDescent="0.25">
      <c r="A10594" s="2">
        <v>10589</v>
      </c>
      <c r="B10594" s="3" t="str">
        <f>"00479235"</f>
        <v>00479235</v>
      </c>
    </row>
    <row r="10595" spans="1:2" x14ac:dyDescent="0.25">
      <c r="A10595" s="2">
        <v>10590</v>
      </c>
      <c r="B10595" s="3" t="str">
        <f>"00479243"</f>
        <v>00479243</v>
      </c>
    </row>
    <row r="10596" spans="1:2" x14ac:dyDescent="0.25">
      <c r="A10596" s="2">
        <v>10591</v>
      </c>
      <c r="B10596" s="3" t="str">
        <f>"00479308"</f>
        <v>00479308</v>
      </c>
    </row>
    <row r="10597" spans="1:2" x14ac:dyDescent="0.25">
      <c r="A10597" s="2">
        <v>10592</v>
      </c>
      <c r="B10597" s="3" t="str">
        <f>"00479327"</f>
        <v>00479327</v>
      </c>
    </row>
    <row r="10598" spans="1:2" x14ac:dyDescent="0.25">
      <c r="A10598" s="2">
        <v>10593</v>
      </c>
      <c r="B10598" s="3" t="str">
        <f>"00479339"</f>
        <v>00479339</v>
      </c>
    </row>
    <row r="10599" spans="1:2" x14ac:dyDescent="0.25">
      <c r="A10599" s="2">
        <v>10594</v>
      </c>
      <c r="B10599" s="3" t="str">
        <f>"00479365"</f>
        <v>00479365</v>
      </c>
    </row>
    <row r="10600" spans="1:2" x14ac:dyDescent="0.25">
      <c r="A10600" s="2">
        <v>10595</v>
      </c>
      <c r="B10600" s="3" t="str">
        <f>"00479374"</f>
        <v>00479374</v>
      </c>
    </row>
    <row r="10601" spans="1:2" x14ac:dyDescent="0.25">
      <c r="A10601" s="2">
        <v>10596</v>
      </c>
      <c r="B10601" s="3" t="str">
        <f>"00479406"</f>
        <v>00479406</v>
      </c>
    </row>
    <row r="10602" spans="1:2" x14ac:dyDescent="0.25">
      <c r="A10602" s="2">
        <v>10597</v>
      </c>
      <c r="B10602" s="3" t="str">
        <f>"00479507"</f>
        <v>00479507</v>
      </c>
    </row>
    <row r="10603" spans="1:2" x14ac:dyDescent="0.25">
      <c r="A10603" s="2">
        <v>10598</v>
      </c>
      <c r="B10603" s="3" t="str">
        <f>"00479540"</f>
        <v>00479540</v>
      </c>
    </row>
    <row r="10604" spans="1:2" x14ac:dyDescent="0.25">
      <c r="A10604" s="2">
        <v>10599</v>
      </c>
      <c r="B10604" s="3" t="str">
        <f>"00479557"</f>
        <v>00479557</v>
      </c>
    </row>
    <row r="10605" spans="1:2" x14ac:dyDescent="0.25">
      <c r="A10605" s="2">
        <v>10600</v>
      </c>
      <c r="B10605" s="3" t="str">
        <f>"00479558"</f>
        <v>00479558</v>
      </c>
    </row>
    <row r="10606" spans="1:2" x14ac:dyDescent="0.25">
      <c r="A10606" s="2">
        <v>10601</v>
      </c>
      <c r="B10606" s="3" t="str">
        <f>"00479559"</f>
        <v>00479559</v>
      </c>
    </row>
    <row r="10607" spans="1:2" x14ac:dyDescent="0.25">
      <c r="A10607" s="2">
        <v>10602</v>
      </c>
      <c r="B10607" s="3" t="str">
        <f>"00479566"</f>
        <v>00479566</v>
      </c>
    </row>
    <row r="10608" spans="1:2" x14ac:dyDescent="0.25">
      <c r="A10608" s="2">
        <v>10603</v>
      </c>
      <c r="B10608" s="3" t="str">
        <f>"00479578"</f>
        <v>00479578</v>
      </c>
    </row>
    <row r="10609" spans="1:2" x14ac:dyDescent="0.25">
      <c r="A10609" s="2">
        <v>10604</v>
      </c>
      <c r="B10609" s="3" t="str">
        <f>"00479625"</f>
        <v>00479625</v>
      </c>
    </row>
    <row r="10610" spans="1:2" x14ac:dyDescent="0.25">
      <c r="A10610" s="2">
        <v>10605</v>
      </c>
      <c r="B10610" s="3" t="str">
        <f>"00479806"</f>
        <v>00479806</v>
      </c>
    </row>
    <row r="10611" spans="1:2" x14ac:dyDescent="0.25">
      <c r="A10611" s="2">
        <v>10606</v>
      </c>
      <c r="B10611" s="3" t="str">
        <f>"00479809"</f>
        <v>00479809</v>
      </c>
    </row>
    <row r="10612" spans="1:2" x14ac:dyDescent="0.25">
      <c r="A10612" s="2">
        <v>10607</v>
      </c>
      <c r="B10612" s="3" t="str">
        <f>"00479879"</f>
        <v>00479879</v>
      </c>
    </row>
    <row r="10613" spans="1:2" x14ac:dyDescent="0.25">
      <c r="A10613" s="2">
        <v>10608</v>
      </c>
      <c r="B10613" s="3" t="str">
        <f>"00480082"</f>
        <v>00480082</v>
      </c>
    </row>
    <row r="10614" spans="1:2" x14ac:dyDescent="0.25">
      <c r="A10614" s="2">
        <v>10609</v>
      </c>
      <c r="B10614" s="3" t="str">
        <f>"00480101"</f>
        <v>00480101</v>
      </c>
    </row>
    <row r="10615" spans="1:2" x14ac:dyDescent="0.25">
      <c r="A10615" s="2">
        <v>10610</v>
      </c>
      <c r="B10615" s="3" t="str">
        <f>"00480144"</f>
        <v>00480144</v>
      </c>
    </row>
    <row r="10616" spans="1:2" x14ac:dyDescent="0.25">
      <c r="A10616" s="2">
        <v>10611</v>
      </c>
      <c r="B10616" s="3" t="str">
        <f>"00480236"</f>
        <v>00480236</v>
      </c>
    </row>
    <row r="10617" spans="1:2" x14ac:dyDescent="0.25">
      <c r="A10617" s="2">
        <v>10612</v>
      </c>
      <c r="B10617" s="3" t="str">
        <f>"00480268"</f>
        <v>00480268</v>
      </c>
    </row>
    <row r="10618" spans="1:2" x14ac:dyDescent="0.25">
      <c r="A10618" s="2">
        <v>10613</v>
      </c>
      <c r="B10618" s="3" t="str">
        <f>"00480281"</f>
        <v>00480281</v>
      </c>
    </row>
    <row r="10619" spans="1:2" x14ac:dyDescent="0.25">
      <c r="A10619" s="2">
        <v>10614</v>
      </c>
      <c r="B10619" s="3" t="str">
        <f>"00480282"</f>
        <v>00480282</v>
      </c>
    </row>
    <row r="10620" spans="1:2" x14ac:dyDescent="0.25">
      <c r="A10620" s="2">
        <v>10615</v>
      </c>
      <c r="B10620" s="3" t="str">
        <f>"00480516"</f>
        <v>00480516</v>
      </c>
    </row>
    <row r="10621" spans="1:2" x14ac:dyDescent="0.25">
      <c r="A10621" s="2">
        <v>10616</v>
      </c>
      <c r="B10621" s="3" t="str">
        <f>"00480529"</f>
        <v>00480529</v>
      </c>
    </row>
    <row r="10622" spans="1:2" x14ac:dyDescent="0.25">
      <c r="A10622" s="2">
        <v>10617</v>
      </c>
      <c r="B10622" s="3" t="str">
        <f>"00480590"</f>
        <v>00480590</v>
      </c>
    </row>
    <row r="10623" spans="1:2" x14ac:dyDescent="0.25">
      <c r="A10623" s="2">
        <v>10618</v>
      </c>
      <c r="B10623" s="3" t="str">
        <f>"00480708"</f>
        <v>00480708</v>
      </c>
    </row>
    <row r="10624" spans="1:2" x14ac:dyDescent="0.25">
      <c r="A10624" s="2">
        <v>10619</v>
      </c>
      <c r="B10624" s="3" t="str">
        <f>"00480734"</f>
        <v>00480734</v>
      </c>
    </row>
    <row r="10625" spans="1:2" x14ac:dyDescent="0.25">
      <c r="A10625" s="2">
        <v>10620</v>
      </c>
      <c r="B10625" s="3" t="str">
        <f>"00480754"</f>
        <v>00480754</v>
      </c>
    </row>
    <row r="10626" spans="1:2" x14ac:dyDescent="0.25">
      <c r="A10626" s="2">
        <v>10621</v>
      </c>
      <c r="B10626" s="3" t="str">
        <f>"00480846"</f>
        <v>00480846</v>
      </c>
    </row>
    <row r="10627" spans="1:2" x14ac:dyDescent="0.25">
      <c r="A10627" s="2">
        <v>10622</v>
      </c>
      <c r="B10627" s="3" t="str">
        <f>"00480895"</f>
        <v>00480895</v>
      </c>
    </row>
    <row r="10628" spans="1:2" x14ac:dyDescent="0.25">
      <c r="A10628" s="2">
        <v>10623</v>
      </c>
      <c r="B10628" s="3" t="str">
        <f>"00480975"</f>
        <v>00480975</v>
      </c>
    </row>
    <row r="10629" spans="1:2" x14ac:dyDescent="0.25">
      <c r="A10629" s="2">
        <v>10624</v>
      </c>
      <c r="B10629" s="3" t="str">
        <f>"00481034"</f>
        <v>00481034</v>
      </c>
    </row>
    <row r="10630" spans="1:2" x14ac:dyDescent="0.25">
      <c r="A10630" s="2">
        <v>10625</v>
      </c>
      <c r="B10630" s="3" t="str">
        <f>"00481067"</f>
        <v>00481067</v>
      </c>
    </row>
    <row r="10631" spans="1:2" x14ac:dyDescent="0.25">
      <c r="A10631" s="2">
        <v>10626</v>
      </c>
      <c r="B10631" s="3" t="str">
        <f>"00481103"</f>
        <v>00481103</v>
      </c>
    </row>
    <row r="10632" spans="1:2" x14ac:dyDescent="0.25">
      <c r="A10632" s="2">
        <v>10627</v>
      </c>
      <c r="B10632" s="3" t="str">
        <f>"00481114"</f>
        <v>00481114</v>
      </c>
    </row>
    <row r="10633" spans="1:2" x14ac:dyDescent="0.25">
      <c r="A10633" s="2">
        <v>10628</v>
      </c>
      <c r="B10633" s="3" t="str">
        <f>"00481126"</f>
        <v>00481126</v>
      </c>
    </row>
    <row r="10634" spans="1:2" x14ac:dyDescent="0.25">
      <c r="A10634" s="2">
        <v>10629</v>
      </c>
      <c r="B10634" s="3" t="str">
        <f>"00481133"</f>
        <v>00481133</v>
      </c>
    </row>
    <row r="10635" spans="1:2" x14ac:dyDescent="0.25">
      <c r="A10635" s="2">
        <v>10630</v>
      </c>
      <c r="B10635" s="3" t="str">
        <f>"00481224"</f>
        <v>00481224</v>
      </c>
    </row>
    <row r="10636" spans="1:2" x14ac:dyDescent="0.25">
      <c r="A10636" s="2">
        <v>10631</v>
      </c>
      <c r="B10636" s="3" t="str">
        <f>"00481233"</f>
        <v>00481233</v>
      </c>
    </row>
    <row r="10637" spans="1:2" x14ac:dyDescent="0.25">
      <c r="A10637" s="2">
        <v>10632</v>
      </c>
      <c r="B10637" s="3" t="str">
        <f>"00481276"</f>
        <v>00481276</v>
      </c>
    </row>
    <row r="10638" spans="1:2" x14ac:dyDescent="0.25">
      <c r="A10638" s="2">
        <v>10633</v>
      </c>
      <c r="B10638" s="3" t="str">
        <f>"00481279"</f>
        <v>00481279</v>
      </c>
    </row>
    <row r="10639" spans="1:2" x14ac:dyDescent="0.25">
      <c r="A10639" s="2">
        <v>10634</v>
      </c>
      <c r="B10639" s="3" t="str">
        <f>"00481361"</f>
        <v>00481361</v>
      </c>
    </row>
    <row r="10640" spans="1:2" x14ac:dyDescent="0.25">
      <c r="A10640" s="2">
        <v>10635</v>
      </c>
      <c r="B10640" s="3" t="str">
        <f>"00481368"</f>
        <v>00481368</v>
      </c>
    </row>
    <row r="10641" spans="1:2" x14ac:dyDescent="0.25">
      <c r="A10641" s="2">
        <v>10636</v>
      </c>
      <c r="B10641" s="3" t="str">
        <f>"00481384"</f>
        <v>00481384</v>
      </c>
    </row>
    <row r="10642" spans="1:2" x14ac:dyDescent="0.25">
      <c r="A10642" s="2">
        <v>10637</v>
      </c>
      <c r="B10642" s="3" t="str">
        <f>"00481420"</f>
        <v>00481420</v>
      </c>
    </row>
    <row r="10643" spans="1:2" x14ac:dyDescent="0.25">
      <c r="A10643" s="2">
        <v>10638</v>
      </c>
      <c r="B10643" s="3" t="str">
        <f>"00481464"</f>
        <v>00481464</v>
      </c>
    </row>
    <row r="10644" spans="1:2" x14ac:dyDescent="0.25">
      <c r="A10644" s="2">
        <v>10639</v>
      </c>
      <c r="B10644" s="3" t="str">
        <f>"00481486"</f>
        <v>00481486</v>
      </c>
    </row>
    <row r="10645" spans="1:2" x14ac:dyDescent="0.25">
      <c r="A10645" s="2">
        <v>10640</v>
      </c>
      <c r="B10645" s="3" t="str">
        <f>"00481550"</f>
        <v>00481550</v>
      </c>
    </row>
    <row r="10646" spans="1:2" x14ac:dyDescent="0.25">
      <c r="A10646" s="2">
        <v>10641</v>
      </c>
      <c r="B10646" s="3" t="str">
        <f>"00481602"</f>
        <v>00481602</v>
      </c>
    </row>
    <row r="10647" spans="1:2" x14ac:dyDescent="0.25">
      <c r="A10647" s="2">
        <v>10642</v>
      </c>
      <c r="B10647" s="3" t="str">
        <f>"00481656"</f>
        <v>00481656</v>
      </c>
    </row>
    <row r="10648" spans="1:2" x14ac:dyDescent="0.25">
      <c r="A10648" s="2">
        <v>10643</v>
      </c>
      <c r="B10648" s="3" t="str">
        <f>"00481724"</f>
        <v>00481724</v>
      </c>
    </row>
    <row r="10649" spans="1:2" x14ac:dyDescent="0.25">
      <c r="A10649" s="2">
        <v>10644</v>
      </c>
      <c r="B10649" s="3" t="str">
        <f>"00481844"</f>
        <v>00481844</v>
      </c>
    </row>
    <row r="10650" spans="1:2" x14ac:dyDescent="0.25">
      <c r="A10650" s="2">
        <v>10645</v>
      </c>
      <c r="B10650" s="3" t="str">
        <f>"00481861"</f>
        <v>00481861</v>
      </c>
    </row>
    <row r="10651" spans="1:2" x14ac:dyDescent="0.25">
      <c r="A10651" s="2">
        <v>10646</v>
      </c>
      <c r="B10651" s="3" t="str">
        <f>"00481963"</f>
        <v>00481963</v>
      </c>
    </row>
    <row r="10652" spans="1:2" x14ac:dyDescent="0.25">
      <c r="A10652" s="2">
        <v>10647</v>
      </c>
      <c r="B10652" s="3" t="str">
        <f>"00481972"</f>
        <v>00481972</v>
      </c>
    </row>
    <row r="10653" spans="1:2" x14ac:dyDescent="0.25">
      <c r="A10653" s="2">
        <v>10648</v>
      </c>
      <c r="B10653" s="3" t="str">
        <f>"00481994"</f>
        <v>00481994</v>
      </c>
    </row>
    <row r="10654" spans="1:2" x14ac:dyDescent="0.25">
      <c r="A10654" s="2">
        <v>10649</v>
      </c>
      <c r="B10654" s="3" t="str">
        <f>"00482094"</f>
        <v>00482094</v>
      </c>
    </row>
    <row r="10655" spans="1:2" x14ac:dyDescent="0.25">
      <c r="A10655" s="2">
        <v>10650</v>
      </c>
      <c r="B10655" s="3" t="str">
        <f>"00482130"</f>
        <v>00482130</v>
      </c>
    </row>
    <row r="10656" spans="1:2" x14ac:dyDescent="0.25">
      <c r="A10656" s="2">
        <v>10651</v>
      </c>
      <c r="B10656" s="3" t="str">
        <f>"00482189"</f>
        <v>00482189</v>
      </c>
    </row>
    <row r="10657" spans="1:2" x14ac:dyDescent="0.25">
      <c r="A10657" s="2">
        <v>10652</v>
      </c>
      <c r="B10657" s="3" t="str">
        <f>"00482231"</f>
        <v>00482231</v>
      </c>
    </row>
    <row r="10658" spans="1:2" x14ac:dyDescent="0.25">
      <c r="A10658" s="2">
        <v>10653</v>
      </c>
      <c r="B10658" s="3" t="str">
        <f>"00482245"</f>
        <v>00482245</v>
      </c>
    </row>
    <row r="10659" spans="1:2" x14ac:dyDescent="0.25">
      <c r="A10659" s="2">
        <v>10654</v>
      </c>
      <c r="B10659" s="3" t="str">
        <f>"00482283"</f>
        <v>00482283</v>
      </c>
    </row>
    <row r="10660" spans="1:2" x14ac:dyDescent="0.25">
      <c r="A10660" s="2">
        <v>10655</v>
      </c>
      <c r="B10660" s="3" t="str">
        <f>"00482297"</f>
        <v>00482297</v>
      </c>
    </row>
    <row r="10661" spans="1:2" x14ac:dyDescent="0.25">
      <c r="A10661" s="2">
        <v>10656</v>
      </c>
      <c r="B10661" s="3" t="str">
        <f>"00482532"</f>
        <v>00482532</v>
      </c>
    </row>
    <row r="10662" spans="1:2" x14ac:dyDescent="0.25">
      <c r="A10662" s="2">
        <v>10657</v>
      </c>
      <c r="B10662" s="3" t="str">
        <f>"00482580"</f>
        <v>00482580</v>
      </c>
    </row>
    <row r="10663" spans="1:2" x14ac:dyDescent="0.25">
      <c r="A10663" s="2">
        <v>10658</v>
      </c>
      <c r="B10663" s="3" t="str">
        <f>"00482585"</f>
        <v>00482585</v>
      </c>
    </row>
    <row r="10664" spans="1:2" x14ac:dyDescent="0.25">
      <c r="A10664" s="2">
        <v>10659</v>
      </c>
      <c r="B10664" s="3" t="str">
        <f>"00482606"</f>
        <v>00482606</v>
      </c>
    </row>
    <row r="10665" spans="1:2" x14ac:dyDescent="0.25">
      <c r="A10665" s="2">
        <v>10660</v>
      </c>
      <c r="B10665" s="3" t="str">
        <f>"00482736"</f>
        <v>00482736</v>
      </c>
    </row>
    <row r="10666" spans="1:2" x14ac:dyDescent="0.25">
      <c r="A10666" s="2">
        <v>10661</v>
      </c>
      <c r="B10666" s="3" t="str">
        <f>"00482763"</f>
        <v>00482763</v>
      </c>
    </row>
    <row r="10667" spans="1:2" x14ac:dyDescent="0.25">
      <c r="A10667" s="2">
        <v>10662</v>
      </c>
      <c r="B10667" s="3" t="str">
        <f>"00482795"</f>
        <v>00482795</v>
      </c>
    </row>
    <row r="10668" spans="1:2" x14ac:dyDescent="0.25">
      <c r="A10668" s="2">
        <v>10663</v>
      </c>
      <c r="B10668" s="3" t="str">
        <f>"00482896"</f>
        <v>00482896</v>
      </c>
    </row>
    <row r="10669" spans="1:2" x14ac:dyDescent="0.25">
      <c r="A10669" s="2">
        <v>10664</v>
      </c>
      <c r="B10669" s="3" t="str">
        <f>"00482914"</f>
        <v>00482914</v>
      </c>
    </row>
    <row r="10670" spans="1:2" x14ac:dyDescent="0.25">
      <c r="A10670" s="2">
        <v>10665</v>
      </c>
      <c r="B10670" s="3" t="str">
        <f>"00482948"</f>
        <v>00482948</v>
      </c>
    </row>
    <row r="10671" spans="1:2" x14ac:dyDescent="0.25">
      <c r="A10671" s="2">
        <v>10666</v>
      </c>
      <c r="B10671" s="3" t="str">
        <f>"00482987"</f>
        <v>00482987</v>
      </c>
    </row>
    <row r="10672" spans="1:2" x14ac:dyDescent="0.25">
      <c r="A10672" s="2">
        <v>10667</v>
      </c>
      <c r="B10672" s="3" t="str">
        <f>"00483007"</f>
        <v>00483007</v>
      </c>
    </row>
    <row r="10673" spans="1:2" x14ac:dyDescent="0.25">
      <c r="A10673" s="2">
        <v>10668</v>
      </c>
      <c r="B10673" s="3" t="str">
        <f>"00483089"</f>
        <v>00483089</v>
      </c>
    </row>
    <row r="10674" spans="1:2" x14ac:dyDescent="0.25">
      <c r="A10674" s="2">
        <v>10669</v>
      </c>
      <c r="B10674" s="3" t="str">
        <f>"00483140"</f>
        <v>00483140</v>
      </c>
    </row>
    <row r="10675" spans="1:2" x14ac:dyDescent="0.25">
      <c r="A10675" s="2">
        <v>10670</v>
      </c>
      <c r="B10675" s="3" t="str">
        <f>"00483149"</f>
        <v>00483149</v>
      </c>
    </row>
    <row r="10676" spans="1:2" x14ac:dyDescent="0.25">
      <c r="A10676" s="2">
        <v>10671</v>
      </c>
      <c r="B10676" s="3" t="str">
        <f>"00483162"</f>
        <v>00483162</v>
      </c>
    </row>
    <row r="10677" spans="1:2" x14ac:dyDescent="0.25">
      <c r="A10677" s="2">
        <v>10672</v>
      </c>
      <c r="B10677" s="3" t="str">
        <f>"00483182"</f>
        <v>00483182</v>
      </c>
    </row>
    <row r="10678" spans="1:2" x14ac:dyDescent="0.25">
      <c r="A10678" s="2">
        <v>10673</v>
      </c>
      <c r="B10678" s="3" t="str">
        <f>"00483270"</f>
        <v>00483270</v>
      </c>
    </row>
    <row r="10679" spans="1:2" x14ac:dyDescent="0.25">
      <c r="A10679" s="2">
        <v>10674</v>
      </c>
      <c r="B10679" s="3" t="str">
        <f>"00483283"</f>
        <v>00483283</v>
      </c>
    </row>
    <row r="10680" spans="1:2" x14ac:dyDescent="0.25">
      <c r="A10680" s="2">
        <v>10675</v>
      </c>
      <c r="B10680" s="3" t="str">
        <f>"00483325"</f>
        <v>00483325</v>
      </c>
    </row>
    <row r="10681" spans="1:2" x14ac:dyDescent="0.25">
      <c r="A10681" s="2">
        <v>10676</v>
      </c>
      <c r="B10681" s="3" t="str">
        <f>"00483399"</f>
        <v>00483399</v>
      </c>
    </row>
    <row r="10682" spans="1:2" x14ac:dyDescent="0.25">
      <c r="A10682" s="2">
        <v>10677</v>
      </c>
      <c r="B10682" s="3" t="str">
        <f>"00483426"</f>
        <v>00483426</v>
      </c>
    </row>
    <row r="10683" spans="1:2" x14ac:dyDescent="0.25">
      <c r="A10683" s="2">
        <v>10678</v>
      </c>
      <c r="B10683" s="3" t="str">
        <f>"00483531"</f>
        <v>00483531</v>
      </c>
    </row>
    <row r="10684" spans="1:2" x14ac:dyDescent="0.25">
      <c r="A10684" s="2">
        <v>10679</v>
      </c>
      <c r="B10684" s="3" t="str">
        <f>"00483533"</f>
        <v>00483533</v>
      </c>
    </row>
    <row r="10685" spans="1:2" x14ac:dyDescent="0.25">
      <c r="A10685" s="2">
        <v>10680</v>
      </c>
      <c r="B10685" s="3" t="str">
        <f>"00483564"</f>
        <v>00483564</v>
      </c>
    </row>
    <row r="10686" spans="1:2" x14ac:dyDescent="0.25">
      <c r="A10686" s="2">
        <v>10681</v>
      </c>
      <c r="B10686" s="3" t="str">
        <f>"00483574"</f>
        <v>00483574</v>
      </c>
    </row>
    <row r="10687" spans="1:2" x14ac:dyDescent="0.25">
      <c r="A10687" s="2">
        <v>10682</v>
      </c>
      <c r="B10687" s="3" t="str">
        <f>"00483596"</f>
        <v>00483596</v>
      </c>
    </row>
    <row r="10688" spans="1:2" x14ac:dyDescent="0.25">
      <c r="A10688" s="2">
        <v>10683</v>
      </c>
      <c r="B10688" s="3" t="str">
        <f>"00483598"</f>
        <v>00483598</v>
      </c>
    </row>
    <row r="10689" spans="1:2" x14ac:dyDescent="0.25">
      <c r="A10689" s="2">
        <v>10684</v>
      </c>
      <c r="B10689" s="3" t="str">
        <f>"00483669"</f>
        <v>00483669</v>
      </c>
    </row>
    <row r="10690" spans="1:2" x14ac:dyDescent="0.25">
      <c r="A10690" s="2">
        <v>10685</v>
      </c>
      <c r="B10690" s="3" t="str">
        <f>"00483756"</f>
        <v>00483756</v>
      </c>
    </row>
    <row r="10691" spans="1:2" x14ac:dyDescent="0.25">
      <c r="A10691" s="2">
        <v>10686</v>
      </c>
      <c r="B10691" s="3" t="str">
        <f>"00483793"</f>
        <v>00483793</v>
      </c>
    </row>
    <row r="10692" spans="1:2" x14ac:dyDescent="0.25">
      <c r="A10692" s="2">
        <v>10687</v>
      </c>
      <c r="B10692" s="3" t="str">
        <f>"00483810"</f>
        <v>00483810</v>
      </c>
    </row>
    <row r="10693" spans="1:2" x14ac:dyDescent="0.25">
      <c r="A10693" s="2">
        <v>10688</v>
      </c>
      <c r="B10693" s="3" t="str">
        <f>"00483869"</f>
        <v>00483869</v>
      </c>
    </row>
    <row r="10694" spans="1:2" x14ac:dyDescent="0.25">
      <c r="A10694" s="2">
        <v>10689</v>
      </c>
      <c r="B10694" s="3" t="str">
        <f>"00483918"</f>
        <v>00483918</v>
      </c>
    </row>
    <row r="10695" spans="1:2" x14ac:dyDescent="0.25">
      <c r="A10695" s="2">
        <v>10690</v>
      </c>
      <c r="B10695" s="3" t="str">
        <f>"00483932"</f>
        <v>00483932</v>
      </c>
    </row>
    <row r="10696" spans="1:2" x14ac:dyDescent="0.25">
      <c r="A10696" s="2">
        <v>10691</v>
      </c>
      <c r="B10696" s="3" t="str">
        <f>"00483972"</f>
        <v>00483972</v>
      </c>
    </row>
    <row r="10697" spans="1:2" x14ac:dyDescent="0.25">
      <c r="A10697" s="2">
        <v>10692</v>
      </c>
      <c r="B10697" s="3" t="str">
        <f>"00483988"</f>
        <v>00483988</v>
      </c>
    </row>
    <row r="10698" spans="1:2" x14ac:dyDescent="0.25">
      <c r="A10698" s="2">
        <v>10693</v>
      </c>
      <c r="B10698" s="3" t="str">
        <f>"00484063"</f>
        <v>00484063</v>
      </c>
    </row>
    <row r="10699" spans="1:2" x14ac:dyDescent="0.25">
      <c r="A10699" s="2">
        <v>10694</v>
      </c>
      <c r="B10699" s="3" t="str">
        <f>"00484072"</f>
        <v>00484072</v>
      </c>
    </row>
    <row r="10700" spans="1:2" x14ac:dyDescent="0.25">
      <c r="A10700" s="2">
        <v>10695</v>
      </c>
      <c r="B10700" s="3" t="str">
        <f>"00484081"</f>
        <v>00484081</v>
      </c>
    </row>
    <row r="10701" spans="1:2" x14ac:dyDescent="0.25">
      <c r="A10701" s="2">
        <v>10696</v>
      </c>
      <c r="B10701" s="3" t="str">
        <f>"00484083"</f>
        <v>00484083</v>
      </c>
    </row>
    <row r="10702" spans="1:2" x14ac:dyDescent="0.25">
      <c r="A10702" s="2">
        <v>10697</v>
      </c>
      <c r="B10702" s="3" t="str">
        <f>"00484142"</f>
        <v>00484142</v>
      </c>
    </row>
    <row r="10703" spans="1:2" x14ac:dyDescent="0.25">
      <c r="A10703" s="2">
        <v>10698</v>
      </c>
      <c r="B10703" s="3" t="str">
        <f>"00484171"</f>
        <v>00484171</v>
      </c>
    </row>
    <row r="10704" spans="1:2" x14ac:dyDescent="0.25">
      <c r="A10704" s="2">
        <v>10699</v>
      </c>
      <c r="B10704" s="3" t="str">
        <f>"00484208"</f>
        <v>00484208</v>
      </c>
    </row>
    <row r="10705" spans="1:2" x14ac:dyDescent="0.25">
      <c r="A10705" s="2">
        <v>10700</v>
      </c>
      <c r="B10705" s="3" t="str">
        <f>"00484249"</f>
        <v>00484249</v>
      </c>
    </row>
    <row r="10706" spans="1:2" x14ac:dyDescent="0.25">
      <c r="A10706" s="2">
        <v>10701</v>
      </c>
      <c r="B10706" s="3" t="str">
        <f>"00484322"</f>
        <v>00484322</v>
      </c>
    </row>
    <row r="10707" spans="1:2" x14ac:dyDescent="0.25">
      <c r="A10707" s="2">
        <v>10702</v>
      </c>
      <c r="B10707" s="3" t="str">
        <f>"00484364"</f>
        <v>00484364</v>
      </c>
    </row>
    <row r="10708" spans="1:2" x14ac:dyDescent="0.25">
      <c r="A10708" s="2">
        <v>10703</v>
      </c>
      <c r="B10708" s="3" t="str">
        <f>"00484371"</f>
        <v>00484371</v>
      </c>
    </row>
    <row r="10709" spans="1:2" x14ac:dyDescent="0.25">
      <c r="A10709" s="2">
        <v>10704</v>
      </c>
      <c r="B10709" s="3" t="str">
        <f>"00484386"</f>
        <v>00484386</v>
      </c>
    </row>
    <row r="10710" spans="1:2" x14ac:dyDescent="0.25">
      <c r="A10710" s="2">
        <v>10705</v>
      </c>
      <c r="B10710" s="3" t="str">
        <f>"00484436"</f>
        <v>00484436</v>
      </c>
    </row>
    <row r="10711" spans="1:2" x14ac:dyDescent="0.25">
      <c r="A10711" s="2">
        <v>10706</v>
      </c>
      <c r="B10711" s="3" t="str">
        <f>"00484443"</f>
        <v>00484443</v>
      </c>
    </row>
    <row r="10712" spans="1:2" x14ac:dyDescent="0.25">
      <c r="A10712" s="2">
        <v>10707</v>
      </c>
      <c r="B10712" s="3" t="str">
        <f>"00484449"</f>
        <v>00484449</v>
      </c>
    </row>
    <row r="10713" spans="1:2" x14ac:dyDescent="0.25">
      <c r="A10713" s="2">
        <v>10708</v>
      </c>
      <c r="B10713" s="3" t="str">
        <f>"00484513"</f>
        <v>00484513</v>
      </c>
    </row>
    <row r="10714" spans="1:2" x14ac:dyDescent="0.25">
      <c r="A10714" s="2">
        <v>10709</v>
      </c>
      <c r="B10714" s="3" t="str">
        <f>"00484540"</f>
        <v>00484540</v>
      </c>
    </row>
    <row r="10715" spans="1:2" x14ac:dyDescent="0.25">
      <c r="A10715" s="2">
        <v>10710</v>
      </c>
      <c r="B10715" s="3" t="str">
        <f>"00484651"</f>
        <v>00484651</v>
      </c>
    </row>
    <row r="10716" spans="1:2" x14ac:dyDescent="0.25">
      <c r="A10716" s="2">
        <v>10711</v>
      </c>
      <c r="B10716" s="3" t="str">
        <f>"00484714"</f>
        <v>00484714</v>
      </c>
    </row>
    <row r="10717" spans="1:2" x14ac:dyDescent="0.25">
      <c r="A10717" s="2">
        <v>10712</v>
      </c>
      <c r="B10717" s="3" t="str">
        <f>"00484738"</f>
        <v>00484738</v>
      </c>
    </row>
    <row r="10718" spans="1:2" x14ac:dyDescent="0.25">
      <c r="A10718" s="2">
        <v>10713</v>
      </c>
      <c r="B10718" s="3" t="str">
        <f>"00484920"</f>
        <v>00484920</v>
      </c>
    </row>
    <row r="10719" spans="1:2" x14ac:dyDescent="0.25">
      <c r="A10719" s="2">
        <v>10714</v>
      </c>
      <c r="B10719" s="3" t="str">
        <f>"00484960"</f>
        <v>00484960</v>
      </c>
    </row>
    <row r="10720" spans="1:2" x14ac:dyDescent="0.25">
      <c r="A10720" s="2">
        <v>10715</v>
      </c>
      <c r="B10720" s="3" t="str">
        <f>"00485105"</f>
        <v>00485105</v>
      </c>
    </row>
    <row r="10721" spans="1:2" x14ac:dyDescent="0.25">
      <c r="A10721" s="2">
        <v>10716</v>
      </c>
      <c r="B10721" s="3" t="str">
        <f>"00485130"</f>
        <v>00485130</v>
      </c>
    </row>
    <row r="10722" spans="1:2" x14ac:dyDescent="0.25">
      <c r="A10722" s="2">
        <v>10717</v>
      </c>
      <c r="B10722" s="3" t="str">
        <f>"00485204"</f>
        <v>00485204</v>
      </c>
    </row>
    <row r="10723" spans="1:2" x14ac:dyDescent="0.25">
      <c r="A10723" s="2">
        <v>10718</v>
      </c>
      <c r="B10723" s="3" t="str">
        <f>"00485308"</f>
        <v>00485308</v>
      </c>
    </row>
    <row r="10724" spans="1:2" x14ac:dyDescent="0.25">
      <c r="A10724" s="2">
        <v>10719</v>
      </c>
      <c r="B10724" s="3" t="str">
        <f>"00485324"</f>
        <v>00485324</v>
      </c>
    </row>
    <row r="10725" spans="1:2" x14ac:dyDescent="0.25">
      <c r="A10725" s="2">
        <v>10720</v>
      </c>
      <c r="B10725" s="3" t="str">
        <f>"00485390"</f>
        <v>00485390</v>
      </c>
    </row>
    <row r="10726" spans="1:2" x14ac:dyDescent="0.25">
      <c r="A10726" s="2">
        <v>10721</v>
      </c>
      <c r="B10726" s="3" t="str">
        <f>"00485546"</f>
        <v>00485546</v>
      </c>
    </row>
    <row r="10727" spans="1:2" x14ac:dyDescent="0.25">
      <c r="A10727" s="2">
        <v>10722</v>
      </c>
      <c r="B10727" s="3" t="str">
        <f>"00485600"</f>
        <v>00485600</v>
      </c>
    </row>
    <row r="10728" spans="1:2" x14ac:dyDescent="0.25">
      <c r="A10728" s="2">
        <v>10723</v>
      </c>
      <c r="B10728" s="3" t="str">
        <f>"00485609"</f>
        <v>00485609</v>
      </c>
    </row>
    <row r="10729" spans="1:2" x14ac:dyDescent="0.25">
      <c r="A10729" s="2">
        <v>10724</v>
      </c>
      <c r="B10729" s="3" t="str">
        <f>"00485611"</f>
        <v>00485611</v>
      </c>
    </row>
    <row r="10730" spans="1:2" x14ac:dyDescent="0.25">
      <c r="A10730" s="2">
        <v>10725</v>
      </c>
      <c r="B10730" s="3" t="str">
        <f>"00485699"</f>
        <v>00485699</v>
      </c>
    </row>
    <row r="10731" spans="1:2" x14ac:dyDescent="0.25">
      <c r="A10731" s="2">
        <v>10726</v>
      </c>
      <c r="B10731" s="3" t="str">
        <f>"00485729"</f>
        <v>00485729</v>
      </c>
    </row>
    <row r="10732" spans="1:2" x14ac:dyDescent="0.25">
      <c r="A10732" s="2">
        <v>10727</v>
      </c>
      <c r="B10732" s="3" t="str">
        <f>"00485806"</f>
        <v>00485806</v>
      </c>
    </row>
    <row r="10733" spans="1:2" x14ac:dyDescent="0.25">
      <c r="A10733" s="2">
        <v>10728</v>
      </c>
      <c r="B10733" s="3" t="str">
        <f>"00485834"</f>
        <v>00485834</v>
      </c>
    </row>
    <row r="10734" spans="1:2" x14ac:dyDescent="0.25">
      <c r="A10734" s="2">
        <v>10729</v>
      </c>
      <c r="B10734" s="3" t="str">
        <f>"00485854"</f>
        <v>00485854</v>
      </c>
    </row>
    <row r="10735" spans="1:2" x14ac:dyDescent="0.25">
      <c r="A10735" s="2">
        <v>10730</v>
      </c>
      <c r="B10735" s="3" t="str">
        <f>"00485865"</f>
        <v>00485865</v>
      </c>
    </row>
    <row r="10736" spans="1:2" x14ac:dyDescent="0.25">
      <c r="A10736" s="2">
        <v>10731</v>
      </c>
      <c r="B10736" s="3" t="str">
        <f>"00485951"</f>
        <v>00485951</v>
      </c>
    </row>
    <row r="10737" spans="1:2" x14ac:dyDescent="0.25">
      <c r="A10737" s="2">
        <v>10732</v>
      </c>
      <c r="B10737" s="3" t="str">
        <f>"00485967"</f>
        <v>00485967</v>
      </c>
    </row>
    <row r="10738" spans="1:2" x14ac:dyDescent="0.25">
      <c r="A10738" s="2">
        <v>10733</v>
      </c>
      <c r="B10738" s="3" t="str">
        <f>"00486026"</f>
        <v>00486026</v>
      </c>
    </row>
    <row r="10739" spans="1:2" x14ac:dyDescent="0.25">
      <c r="A10739" s="2">
        <v>10734</v>
      </c>
      <c r="B10739" s="3" t="str">
        <f>"00486052"</f>
        <v>00486052</v>
      </c>
    </row>
    <row r="10740" spans="1:2" x14ac:dyDescent="0.25">
      <c r="A10740" s="2">
        <v>10735</v>
      </c>
      <c r="B10740" s="3" t="str">
        <f>"00486114"</f>
        <v>00486114</v>
      </c>
    </row>
    <row r="10741" spans="1:2" x14ac:dyDescent="0.25">
      <c r="A10741" s="2">
        <v>10736</v>
      </c>
      <c r="B10741" s="3" t="str">
        <f>"00486115"</f>
        <v>00486115</v>
      </c>
    </row>
    <row r="10742" spans="1:2" x14ac:dyDescent="0.25">
      <c r="A10742" s="2">
        <v>10737</v>
      </c>
      <c r="B10742" s="3" t="str">
        <f>"00486144"</f>
        <v>00486144</v>
      </c>
    </row>
    <row r="10743" spans="1:2" x14ac:dyDescent="0.25">
      <c r="A10743" s="2">
        <v>10738</v>
      </c>
      <c r="B10743" s="3" t="str">
        <f>"00486200"</f>
        <v>00486200</v>
      </c>
    </row>
    <row r="10744" spans="1:2" x14ac:dyDescent="0.25">
      <c r="A10744" s="2">
        <v>10739</v>
      </c>
      <c r="B10744" s="3" t="str">
        <f>"00486211"</f>
        <v>00486211</v>
      </c>
    </row>
    <row r="10745" spans="1:2" x14ac:dyDescent="0.25">
      <c r="A10745" s="2">
        <v>10740</v>
      </c>
      <c r="B10745" s="3" t="str">
        <f>"00486222"</f>
        <v>00486222</v>
      </c>
    </row>
    <row r="10746" spans="1:2" x14ac:dyDescent="0.25">
      <c r="A10746" s="2">
        <v>10741</v>
      </c>
      <c r="B10746" s="3" t="str">
        <f>"00486268"</f>
        <v>00486268</v>
      </c>
    </row>
    <row r="10747" spans="1:2" x14ac:dyDescent="0.25">
      <c r="A10747" s="2">
        <v>10742</v>
      </c>
      <c r="B10747" s="3" t="str">
        <f>"00486290"</f>
        <v>00486290</v>
      </c>
    </row>
    <row r="10748" spans="1:2" x14ac:dyDescent="0.25">
      <c r="A10748" s="2">
        <v>10743</v>
      </c>
      <c r="B10748" s="3" t="str">
        <f>"00486305"</f>
        <v>00486305</v>
      </c>
    </row>
    <row r="10749" spans="1:2" x14ac:dyDescent="0.25">
      <c r="A10749" s="2">
        <v>10744</v>
      </c>
      <c r="B10749" s="3" t="str">
        <f>"00486365"</f>
        <v>00486365</v>
      </c>
    </row>
    <row r="10750" spans="1:2" x14ac:dyDescent="0.25">
      <c r="A10750" s="2">
        <v>10745</v>
      </c>
      <c r="B10750" s="3" t="str">
        <f>"00486408"</f>
        <v>00486408</v>
      </c>
    </row>
    <row r="10751" spans="1:2" x14ac:dyDescent="0.25">
      <c r="A10751" s="2">
        <v>10746</v>
      </c>
      <c r="B10751" s="3" t="str">
        <f>"00486417"</f>
        <v>00486417</v>
      </c>
    </row>
    <row r="10752" spans="1:2" x14ac:dyDescent="0.25">
      <c r="A10752" s="2">
        <v>10747</v>
      </c>
      <c r="B10752" s="3" t="str">
        <f>"00486442"</f>
        <v>00486442</v>
      </c>
    </row>
    <row r="10753" spans="1:2" x14ac:dyDescent="0.25">
      <c r="A10753" s="2">
        <v>10748</v>
      </c>
      <c r="B10753" s="3" t="str">
        <f>"00486517"</f>
        <v>00486517</v>
      </c>
    </row>
    <row r="10754" spans="1:2" x14ac:dyDescent="0.25">
      <c r="A10754" s="2">
        <v>10749</v>
      </c>
      <c r="B10754" s="3" t="str">
        <f>"00486571"</f>
        <v>00486571</v>
      </c>
    </row>
    <row r="10755" spans="1:2" x14ac:dyDescent="0.25">
      <c r="A10755" s="2">
        <v>10750</v>
      </c>
      <c r="B10755" s="3" t="str">
        <f>"00486579"</f>
        <v>00486579</v>
      </c>
    </row>
    <row r="10756" spans="1:2" x14ac:dyDescent="0.25">
      <c r="A10756" s="2">
        <v>10751</v>
      </c>
      <c r="B10756" s="3" t="str">
        <f>"00486620"</f>
        <v>00486620</v>
      </c>
    </row>
    <row r="10757" spans="1:2" x14ac:dyDescent="0.25">
      <c r="A10757" s="2">
        <v>10752</v>
      </c>
      <c r="B10757" s="3" t="str">
        <f>"00486621"</f>
        <v>00486621</v>
      </c>
    </row>
    <row r="10758" spans="1:2" x14ac:dyDescent="0.25">
      <c r="A10758" s="2">
        <v>10753</v>
      </c>
      <c r="B10758" s="3" t="str">
        <f>"00486664"</f>
        <v>00486664</v>
      </c>
    </row>
    <row r="10759" spans="1:2" x14ac:dyDescent="0.25">
      <c r="A10759" s="2">
        <v>10754</v>
      </c>
      <c r="B10759" s="3" t="str">
        <f>"00486689"</f>
        <v>00486689</v>
      </c>
    </row>
    <row r="10760" spans="1:2" x14ac:dyDescent="0.25">
      <c r="A10760" s="2">
        <v>10755</v>
      </c>
      <c r="B10760" s="3" t="str">
        <f>"00486707"</f>
        <v>00486707</v>
      </c>
    </row>
    <row r="10761" spans="1:2" x14ac:dyDescent="0.25">
      <c r="A10761" s="2">
        <v>10756</v>
      </c>
      <c r="B10761" s="3" t="str">
        <f>"00486779"</f>
        <v>00486779</v>
      </c>
    </row>
    <row r="10762" spans="1:2" x14ac:dyDescent="0.25">
      <c r="A10762" s="2">
        <v>10757</v>
      </c>
      <c r="B10762" s="3" t="str">
        <f>"00486785"</f>
        <v>00486785</v>
      </c>
    </row>
    <row r="10763" spans="1:2" x14ac:dyDescent="0.25">
      <c r="A10763" s="2">
        <v>10758</v>
      </c>
      <c r="B10763" s="3" t="str">
        <f>"00486862"</f>
        <v>00486862</v>
      </c>
    </row>
    <row r="10764" spans="1:2" x14ac:dyDescent="0.25">
      <c r="A10764" s="2">
        <v>10759</v>
      </c>
      <c r="B10764" s="3" t="str">
        <f>"00486868"</f>
        <v>00486868</v>
      </c>
    </row>
    <row r="10765" spans="1:2" x14ac:dyDescent="0.25">
      <c r="A10765" s="2">
        <v>10760</v>
      </c>
      <c r="B10765" s="3" t="str">
        <f>"00486887"</f>
        <v>00486887</v>
      </c>
    </row>
    <row r="10766" spans="1:2" x14ac:dyDescent="0.25">
      <c r="A10766" s="2">
        <v>10761</v>
      </c>
      <c r="B10766" s="3" t="str">
        <f>"00486946"</f>
        <v>00486946</v>
      </c>
    </row>
    <row r="10767" spans="1:2" x14ac:dyDescent="0.25">
      <c r="A10767" s="2">
        <v>10762</v>
      </c>
      <c r="B10767" s="3" t="str">
        <f>"00486978"</f>
        <v>00486978</v>
      </c>
    </row>
    <row r="10768" spans="1:2" x14ac:dyDescent="0.25">
      <c r="A10768" s="2">
        <v>10763</v>
      </c>
      <c r="B10768" s="3" t="str">
        <f>"00486990"</f>
        <v>00486990</v>
      </c>
    </row>
    <row r="10769" spans="1:2" x14ac:dyDescent="0.25">
      <c r="A10769" s="2">
        <v>10764</v>
      </c>
      <c r="B10769" s="3" t="str">
        <f>"00486992"</f>
        <v>00486992</v>
      </c>
    </row>
    <row r="10770" spans="1:2" x14ac:dyDescent="0.25">
      <c r="A10770" s="2">
        <v>10765</v>
      </c>
      <c r="B10770" s="3" t="str">
        <f>"00487038"</f>
        <v>00487038</v>
      </c>
    </row>
    <row r="10771" spans="1:2" x14ac:dyDescent="0.25">
      <c r="A10771" s="2">
        <v>10766</v>
      </c>
      <c r="B10771" s="3" t="str">
        <f>"00487044"</f>
        <v>00487044</v>
      </c>
    </row>
    <row r="10772" spans="1:2" x14ac:dyDescent="0.25">
      <c r="A10772" s="2">
        <v>10767</v>
      </c>
      <c r="B10772" s="3" t="str">
        <f>"00487058"</f>
        <v>00487058</v>
      </c>
    </row>
    <row r="10773" spans="1:2" x14ac:dyDescent="0.25">
      <c r="A10773" s="2">
        <v>10768</v>
      </c>
      <c r="B10773" s="3" t="str">
        <f>"00487087"</f>
        <v>00487087</v>
      </c>
    </row>
    <row r="10774" spans="1:2" x14ac:dyDescent="0.25">
      <c r="A10774" s="2">
        <v>10769</v>
      </c>
      <c r="B10774" s="3" t="str">
        <f>"00487110"</f>
        <v>00487110</v>
      </c>
    </row>
    <row r="10775" spans="1:2" x14ac:dyDescent="0.25">
      <c r="A10775" s="2">
        <v>10770</v>
      </c>
      <c r="B10775" s="3" t="str">
        <f>"00487129"</f>
        <v>00487129</v>
      </c>
    </row>
    <row r="10776" spans="1:2" x14ac:dyDescent="0.25">
      <c r="A10776" s="2">
        <v>10771</v>
      </c>
      <c r="B10776" s="3" t="str">
        <f>"00487283"</f>
        <v>00487283</v>
      </c>
    </row>
    <row r="10777" spans="1:2" x14ac:dyDescent="0.25">
      <c r="A10777" s="2">
        <v>10772</v>
      </c>
      <c r="B10777" s="3" t="str">
        <f>"00487301"</f>
        <v>00487301</v>
      </c>
    </row>
    <row r="10778" spans="1:2" x14ac:dyDescent="0.25">
      <c r="A10778" s="2">
        <v>10773</v>
      </c>
      <c r="B10778" s="3" t="str">
        <f>"00487306"</f>
        <v>00487306</v>
      </c>
    </row>
    <row r="10779" spans="1:2" x14ac:dyDescent="0.25">
      <c r="A10779" s="2">
        <v>10774</v>
      </c>
      <c r="B10779" s="3" t="str">
        <f>"00487323"</f>
        <v>00487323</v>
      </c>
    </row>
    <row r="10780" spans="1:2" x14ac:dyDescent="0.25">
      <c r="A10780" s="2">
        <v>10775</v>
      </c>
      <c r="B10780" s="3" t="str">
        <f>"00487327"</f>
        <v>00487327</v>
      </c>
    </row>
    <row r="10781" spans="1:2" x14ac:dyDescent="0.25">
      <c r="A10781" s="2">
        <v>10776</v>
      </c>
      <c r="B10781" s="3" t="str">
        <f>"00487341"</f>
        <v>00487341</v>
      </c>
    </row>
    <row r="10782" spans="1:2" x14ac:dyDescent="0.25">
      <c r="A10782" s="2">
        <v>10777</v>
      </c>
      <c r="B10782" s="3" t="str">
        <f>"00487369"</f>
        <v>00487369</v>
      </c>
    </row>
    <row r="10783" spans="1:2" x14ac:dyDescent="0.25">
      <c r="A10783" s="2">
        <v>10778</v>
      </c>
      <c r="B10783" s="3" t="str">
        <f>"00487405"</f>
        <v>00487405</v>
      </c>
    </row>
    <row r="10784" spans="1:2" x14ac:dyDescent="0.25">
      <c r="A10784" s="2">
        <v>10779</v>
      </c>
      <c r="B10784" s="3" t="str">
        <f>"00487442"</f>
        <v>00487442</v>
      </c>
    </row>
    <row r="10785" spans="1:2" x14ac:dyDescent="0.25">
      <c r="A10785" s="2">
        <v>10780</v>
      </c>
      <c r="B10785" s="3" t="str">
        <f>"00487495"</f>
        <v>00487495</v>
      </c>
    </row>
    <row r="10786" spans="1:2" x14ac:dyDescent="0.25">
      <c r="A10786" s="2">
        <v>10781</v>
      </c>
      <c r="B10786" s="3" t="str">
        <f>"00487561"</f>
        <v>00487561</v>
      </c>
    </row>
    <row r="10787" spans="1:2" x14ac:dyDescent="0.25">
      <c r="A10787" s="2">
        <v>10782</v>
      </c>
      <c r="B10787" s="3" t="str">
        <f>"00487580"</f>
        <v>00487580</v>
      </c>
    </row>
    <row r="10788" spans="1:2" x14ac:dyDescent="0.25">
      <c r="A10788" s="2">
        <v>10783</v>
      </c>
      <c r="B10788" s="3" t="str">
        <f>"00487583"</f>
        <v>00487583</v>
      </c>
    </row>
    <row r="10789" spans="1:2" x14ac:dyDescent="0.25">
      <c r="A10789" s="2">
        <v>10784</v>
      </c>
      <c r="B10789" s="3" t="str">
        <f>"00487606"</f>
        <v>00487606</v>
      </c>
    </row>
    <row r="10790" spans="1:2" x14ac:dyDescent="0.25">
      <c r="A10790" s="2">
        <v>10785</v>
      </c>
      <c r="B10790" s="3" t="str">
        <f>"00487636"</f>
        <v>00487636</v>
      </c>
    </row>
    <row r="10791" spans="1:2" x14ac:dyDescent="0.25">
      <c r="A10791" s="2">
        <v>10786</v>
      </c>
      <c r="B10791" s="3" t="str">
        <f>"00487637"</f>
        <v>00487637</v>
      </c>
    </row>
    <row r="10792" spans="1:2" x14ac:dyDescent="0.25">
      <c r="A10792" s="2">
        <v>10787</v>
      </c>
      <c r="B10792" s="3" t="str">
        <f>"00487678"</f>
        <v>00487678</v>
      </c>
    </row>
    <row r="10793" spans="1:2" x14ac:dyDescent="0.25">
      <c r="A10793" s="2">
        <v>10788</v>
      </c>
      <c r="B10793" s="3" t="str">
        <f>"00487708"</f>
        <v>00487708</v>
      </c>
    </row>
    <row r="10794" spans="1:2" x14ac:dyDescent="0.25">
      <c r="A10794" s="2">
        <v>10789</v>
      </c>
      <c r="B10794" s="3" t="str">
        <f>"00487820"</f>
        <v>00487820</v>
      </c>
    </row>
    <row r="10795" spans="1:2" x14ac:dyDescent="0.25">
      <c r="A10795" s="2">
        <v>10790</v>
      </c>
      <c r="B10795" s="3" t="str">
        <f>"00487828"</f>
        <v>00487828</v>
      </c>
    </row>
    <row r="10796" spans="1:2" x14ac:dyDescent="0.25">
      <c r="A10796" s="2">
        <v>10791</v>
      </c>
      <c r="B10796" s="3" t="str">
        <f>"00487855"</f>
        <v>00487855</v>
      </c>
    </row>
    <row r="10797" spans="1:2" x14ac:dyDescent="0.25">
      <c r="A10797" s="2">
        <v>10792</v>
      </c>
      <c r="B10797" s="3" t="str">
        <f>"00487880"</f>
        <v>00487880</v>
      </c>
    </row>
    <row r="10798" spans="1:2" x14ac:dyDescent="0.25">
      <c r="A10798" s="2">
        <v>10793</v>
      </c>
      <c r="B10798" s="3" t="str">
        <f>"00487888"</f>
        <v>00487888</v>
      </c>
    </row>
    <row r="10799" spans="1:2" x14ac:dyDescent="0.25">
      <c r="A10799" s="2">
        <v>10794</v>
      </c>
      <c r="B10799" s="3" t="str">
        <f>"00488074"</f>
        <v>00488074</v>
      </c>
    </row>
    <row r="10800" spans="1:2" x14ac:dyDescent="0.25">
      <c r="A10800" s="2">
        <v>10795</v>
      </c>
      <c r="B10800" s="3" t="str">
        <f>"00488136"</f>
        <v>00488136</v>
      </c>
    </row>
    <row r="10801" spans="1:2" x14ac:dyDescent="0.25">
      <c r="A10801" s="2">
        <v>10796</v>
      </c>
      <c r="B10801" s="3" t="str">
        <f>"00488149"</f>
        <v>00488149</v>
      </c>
    </row>
    <row r="10802" spans="1:2" x14ac:dyDescent="0.25">
      <c r="A10802" s="2">
        <v>10797</v>
      </c>
      <c r="B10802" s="3" t="str">
        <f>"00488184"</f>
        <v>00488184</v>
      </c>
    </row>
    <row r="10803" spans="1:2" x14ac:dyDescent="0.25">
      <c r="A10803" s="2">
        <v>10798</v>
      </c>
      <c r="B10803" s="3" t="str">
        <f>"00488233"</f>
        <v>00488233</v>
      </c>
    </row>
    <row r="10804" spans="1:2" x14ac:dyDescent="0.25">
      <c r="A10804" s="2">
        <v>10799</v>
      </c>
      <c r="B10804" s="3" t="str">
        <f>"00488306"</f>
        <v>00488306</v>
      </c>
    </row>
    <row r="10805" spans="1:2" x14ac:dyDescent="0.25">
      <c r="A10805" s="2">
        <v>10800</v>
      </c>
      <c r="B10805" s="3" t="str">
        <f>"00488314"</f>
        <v>00488314</v>
      </c>
    </row>
    <row r="10806" spans="1:2" x14ac:dyDescent="0.25">
      <c r="A10806" s="2">
        <v>10801</v>
      </c>
      <c r="B10806" s="3" t="str">
        <f>"00488355"</f>
        <v>00488355</v>
      </c>
    </row>
    <row r="10807" spans="1:2" x14ac:dyDescent="0.25">
      <c r="A10807" s="2">
        <v>10802</v>
      </c>
      <c r="B10807" s="3" t="str">
        <f>"00488358"</f>
        <v>00488358</v>
      </c>
    </row>
    <row r="10808" spans="1:2" x14ac:dyDescent="0.25">
      <c r="A10808" s="2">
        <v>10803</v>
      </c>
      <c r="B10808" s="3" t="str">
        <f>"00488383"</f>
        <v>00488383</v>
      </c>
    </row>
    <row r="10809" spans="1:2" x14ac:dyDescent="0.25">
      <c r="A10809" s="2">
        <v>10804</v>
      </c>
      <c r="B10809" s="3" t="str">
        <f>"00488414"</f>
        <v>00488414</v>
      </c>
    </row>
    <row r="10810" spans="1:2" x14ac:dyDescent="0.25">
      <c r="A10810" s="2">
        <v>10805</v>
      </c>
      <c r="B10810" s="3" t="str">
        <f>"00488417"</f>
        <v>00488417</v>
      </c>
    </row>
    <row r="10811" spans="1:2" x14ac:dyDescent="0.25">
      <c r="A10811" s="2">
        <v>10806</v>
      </c>
      <c r="B10811" s="3" t="str">
        <f>"00488488"</f>
        <v>00488488</v>
      </c>
    </row>
    <row r="10812" spans="1:2" x14ac:dyDescent="0.25">
      <c r="A10812" s="2">
        <v>10807</v>
      </c>
      <c r="B10812" s="3" t="str">
        <f>"00488550"</f>
        <v>00488550</v>
      </c>
    </row>
    <row r="10813" spans="1:2" x14ac:dyDescent="0.25">
      <c r="A10813" s="2">
        <v>10808</v>
      </c>
      <c r="B10813" s="3" t="str">
        <f>"00488585"</f>
        <v>00488585</v>
      </c>
    </row>
    <row r="10814" spans="1:2" x14ac:dyDescent="0.25">
      <c r="A10814" s="2">
        <v>10809</v>
      </c>
      <c r="B10814" s="3" t="str">
        <f>"00488603"</f>
        <v>00488603</v>
      </c>
    </row>
    <row r="10815" spans="1:2" x14ac:dyDescent="0.25">
      <c r="A10815" s="2">
        <v>10810</v>
      </c>
      <c r="B10815" s="3" t="str">
        <f>"00488636"</f>
        <v>00488636</v>
      </c>
    </row>
    <row r="10816" spans="1:2" x14ac:dyDescent="0.25">
      <c r="A10816" s="2">
        <v>10811</v>
      </c>
      <c r="B10816" s="3" t="str">
        <f>"00488639"</f>
        <v>00488639</v>
      </c>
    </row>
    <row r="10817" spans="1:2" x14ac:dyDescent="0.25">
      <c r="A10817" s="2">
        <v>10812</v>
      </c>
      <c r="B10817" s="3" t="str">
        <f>"00488664"</f>
        <v>00488664</v>
      </c>
    </row>
    <row r="10818" spans="1:2" x14ac:dyDescent="0.25">
      <c r="A10818" s="2">
        <v>10813</v>
      </c>
      <c r="B10818" s="3" t="str">
        <f>"00488776"</f>
        <v>00488776</v>
      </c>
    </row>
    <row r="10819" spans="1:2" x14ac:dyDescent="0.25">
      <c r="A10819" s="2">
        <v>10814</v>
      </c>
      <c r="B10819" s="3" t="str">
        <f>"00488816"</f>
        <v>00488816</v>
      </c>
    </row>
    <row r="10820" spans="1:2" x14ac:dyDescent="0.25">
      <c r="A10820" s="2">
        <v>10815</v>
      </c>
      <c r="B10820" s="3" t="str">
        <f>"00488875"</f>
        <v>00488875</v>
      </c>
    </row>
    <row r="10821" spans="1:2" x14ac:dyDescent="0.25">
      <c r="A10821" s="2">
        <v>10816</v>
      </c>
      <c r="B10821" s="3" t="str">
        <f>"00488909"</f>
        <v>00488909</v>
      </c>
    </row>
    <row r="10822" spans="1:2" x14ac:dyDescent="0.25">
      <c r="A10822" s="2">
        <v>10817</v>
      </c>
      <c r="B10822" s="3" t="str">
        <f>"00488911"</f>
        <v>00488911</v>
      </c>
    </row>
    <row r="10823" spans="1:2" x14ac:dyDescent="0.25">
      <c r="A10823" s="2">
        <v>10818</v>
      </c>
      <c r="B10823" s="3" t="str">
        <f>"00488912"</f>
        <v>00488912</v>
      </c>
    </row>
    <row r="10824" spans="1:2" x14ac:dyDescent="0.25">
      <c r="A10824" s="2">
        <v>10819</v>
      </c>
      <c r="B10824" s="3" t="str">
        <f>"00488933"</f>
        <v>00488933</v>
      </c>
    </row>
    <row r="10825" spans="1:2" x14ac:dyDescent="0.25">
      <c r="A10825" s="2">
        <v>10820</v>
      </c>
      <c r="B10825" s="3" t="str">
        <f>"00488976"</f>
        <v>00488976</v>
      </c>
    </row>
    <row r="10826" spans="1:2" x14ac:dyDescent="0.25">
      <c r="A10826" s="2">
        <v>10821</v>
      </c>
      <c r="B10826" s="3" t="str">
        <f>"00489006"</f>
        <v>00489006</v>
      </c>
    </row>
    <row r="10827" spans="1:2" x14ac:dyDescent="0.25">
      <c r="A10827" s="2">
        <v>10822</v>
      </c>
      <c r="B10827" s="3" t="str">
        <f>"00489044"</f>
        <v>00489044</v>
      </c>
    </row>
    <row r="10828" spans="1:2" x14ac:dyDescent="0.25">
      <c r="A10828" s="2">
        <v>10823</v>
      </c>
      <c r="B10828" s="3" t="str">
        <f>"00489117"</f>
        <v>00489117</v>
      </c>
    </row>
    <row r="10829" spans="1:2" x14ac:dyDescent="0.25">
      <c r="A10829" s="2">
        <v>10824</v>
      </c>
      <c r="B10829" s="3" t="str">
        <f>"00489150"</f>
        <v>00489150</v>
      </c>
    </row>
    <row r="10830" spans="1:2" x14ac:dyDescent="0.25">
      <c r="A10830" s="2">
        <v>10825</v>
      </c>
      <c r="B10830" s="3" t="str">
        <f>"00489161"</f>
        <v>00489161</v>
      </c>
    </row>
    <row r="10831" spans="1:2" x14ac:dyDescent="0.25">
      <c r="A10831" s="2">
        <v>10826</v>
      </c>
      <c r="B10831" s="3" t="str">
        <f>"00489181"</f>
        <v>00489181</v>
      </c>
    </row>
    <row r="10832" spans="1:2" x14ac:dyDescent="0.25">
      <c r="A10832" s="2">
        <v>10827</v>
      </c>
      <c r="B10832" s="3" t="str">
        <f>"00489183"</f>
        <v>00489183</v>
      </c>
    </row>
    <row r="10833" spans="1:2" x14ac:dyDescent="0.25">
      <c r="A10833" s="2">
        <v>10828</v>
      </c>
      <c r="B10833" s="3" t="str">
        <f>"00489215"</f>
        <v>00489215</v>
      </c>
    </row>
    <row r="10834" spans="1:2" x14ac:dyDescent="0.25">
      <c r="A10834" s="2">
        <v>10829</v>
      </c>
      <c r="B10834" s="3" t="str">
        <f>"00489223"</f>
        <v>00489223</v>
      </c>
    </row>
    <row r="10835" spans="1:2" x14ac:dyDescent="0.25">
      <c r="A10835" s="2">
        <v>10830</v>
      </c>
      <c r="B10835" s="3" t="str">
        <f>"00489232"</f>
        <v>00489232</v>
      </c>
    </row>
    <row r="10836" spans="1:2" x14ac:dyDescent="0.25">
      <c r="A10836" s="2">
        <v>10831</v>
      </c>
      <c r="B10836" s="3" t="str">
        <f>"00489240"</f>
        <v>00489240</v>
      </c>
    </row>
    <row r="10837" spans="1:2" x14ac:dyDescent="0.25">
      <c r="A10837" s="2">
        <v>10832</v>
      </c>
      <c r="B10837" s="3" t="str">
        <f>"00489255"</f>
        <v>00489255</v>
      </c>
    </row>
    <row r="10838" spans="1:2" x14ac:dyDescent="0.25">
      <c r="A10838" s="2">
        <v>10833</v>
      </c>
      <c r="B10838" s="3" t="str">
        <f>"00489275"</f>
        <v>00489275</v>
      </c>
    </row>
    <row r="10839" spans="1:2" x14ac:dyDescent="0.25">
      <c r="A10839" s="2">
        <v>10834</v>
      </c>
      <c r="B10839" s="3" t="str">
        <f>"00489329"</f>
        <v>00489329</v>
      </c>
    </row>
    <row r="10840" spans="1:2" x14ac:dyDescent="0.25">
      <c r="A10840" s="2">
        <v>10835</v>
      </c>
      <c r="B10840" s="3" t="str">
        <f>"00489358"</f>
        <v>00489358</v>
      </c>
    </row>
    <row r="10841" spans="1:2" x14ac:dyDescent="0.25">
      <c r="A10841" s="2">
        <v>10836</v>
      </c>
      <c r="B10841" s="3" t="str">
        <f>"00489361"</f>
        <v>00489361</v>
      </c>
    </row>
    <row r="10842" spans="1:2" x14ac:dyDescent="0.25">
      <c r="A10842" s="2">
        <v>10837</v>
      </c>
      <c r="B10842" s="3" t="str">
        <f>"00489378"</f>
        <v>00489378</v>
      </c>
    </row>
    <row r="10843" spans="1:2" x14ac:dyDescent="0.25">
      <c r="A10843" s="2">
        <v>10838</v>
      </c>
      <c r="B10843" s="3" t="str">
        <f>"00489384"</f>
        <v>00489384</v>
      </c>
    </row>
    <row r="10844" spans="1:2" x14ac:dyDescent="0.25">
      <c r="A10844" s="2">
        <v>10839</v>
      </c>
      <c r="B10844" s="3" t="str">
        <f>"00489396"</f>
        <v>00489396</v>
      </c>
    </row>
    <row r="10845" spans="1:2" x14ac:dyDescent="0.25">
      <c r="A10845" s="2">
        <v>10840</v>
      </c>
      <c r="B10845" s="3" t="str">
        <f>"00489422"</f>
        <v>00489422</v>
      </c>
    </row>
    <row r="10846" spans="1:2" x14ac:dyDescent="0.25">
      <c r="A10846" s="2">
        <v>10841</v>
      </c>
      <c r="B10846" s="3" t="str">
        <f>"00489483"</f>
        <v>00489483</v>
      </c>
    </row>
    <row r="10847" spans="1:2" x14ac:dyDescent="0.25">
      <c r="A10847" s="2">
        <v>10842</v>
      </c>
      <c r="B10847" s="3" t="str">
        <f>"00489500"</f>
        <v>00489500</v>
      </c>
    </row>
    <row r="10848" spans="1:2" x14ac:dyDescent="0.25">
      <c r="A10848" s="2">
        <v>10843</v>
      </c>
      <c r="B10848" s="3" t="str">
        <f>"00489523"</f>
        <v>00489523</v>
      </c>
    </row>
    <row r="10849" spans="1:2" x14ac:dyDescent="0.25">
      <c r="A10849" s="2">
        <v>10844</v>
      </c>
      <c r="B10849" s="3" t="str">
        <f>"00489528"</f>
        <v>00489528</v>
      </c>
    </row>
    <row r="10850" spans="1:2" x14ac:dyDescent="0.25">
      <c r="A10850" s="2">
        <v>10845</v>
      </c>
      <c r="B10850" s="3" t="str">
        <f>"00489552"</f>
        <v>00489552</v>
      </c>
    </row>
    <row r="10851" spans="1:2" x14ac:dyDescent="0.25">
      <c r="A10851" s="2">
        <v>10846</v>
      </c>
      <c r="B10851" s="3" t="str">
        <f>"00489586"</f>
        <v>00489586</v>
      </c>
    </row>
    <row r="10852" spans="1:2" x14ac:dyDescent="0.25">
      <c r="A10852" s="2">
        <v>10847</v>
      </c>
      <c r="B10852" s="3" t="str">
        <f>"00489601"</f>
        <v>00489601</v>
      </c>
    </row>
    <row r="10853" spans="1:2" x14ac:dyDescent="0.25">
      <c r="A10853" s="2">
        <v>10848</v>
      </c>
      <c r="B10853" s="3" t="str">
        <f>"00489621"</f>
        <v>00489621</v>
      </c>
    </row>
    <row r="10854" spans="1:2" x14ac:dyDescent="0.25">
      <c r="A10854" s="2">
        <v>10849</v>
      </c>
      <c r="B10854" s="3" t="str">
        <f>"00489690"</f>
        <v>00489690</v>
      </c>
    </row>
    <row r="10855" spans="1:2" x14ac:dyDescent="0.25">
      <c r="A10855" s="2">
        <v>10850</v>
      </c>
      <c r="B10855" s="3" t="str">
        <f>"00489725"</f>
        <v>00489725</v>
      </c>
    </row>
    <row r="10856" spans="1:2" x14ac:dyDescent="0.25">
      <c r="A10856" s="2">
        <v>10851</v>
      </c>
      <c r="B10856" s="3" t="str">
        <f>"00489794"</f>
        <v>00489794</v>
      </c>
    </row>
    <row r="10857" spans="1:2" x14ac:dyDescent="0.25">
      <c r="A10857" s="2">
        <v>10852</v>
      </c>
      <c r="B10857" s="3" t="str">
        <f>"00489846"</f>
        <v>00489846</v>
      </c>
    </row>
    <row r="10858" spans="1:2" x14ac:dyDescent="0.25">
      <c r="A10858" s="2">
        <v>10853</v>
      </c>
      <c r="B10858" s="3" t="str">
        <f>"00489903"</f>
        <v>00489903</v>
      </c>
    </row>
    <row r="10859" spans="1:2" x14ac:dyDescent="0.25">
      <c r="A10859" s="2">
        <v>10854</v>
      </c>
      <c r="B10859" s="3" t="str">
        <f>"00489925"</f>
        <v>00489925</v>
      </c>
    </row>
    <row r="10860" spans="1:2" x14ac:dyDescent="0.25">
      <c r="A10860" s="2">
        <v>10855</v>
      </c>
      <c r="B10860" s="3" t="str">
        <f>"00489934"</f>
        <v>00489934</v>
      </c>
    </row>
    <row r="10861" spans="1:2" x14ac:dyDescent="0.25">
      <c r="A10861" s="2">
        <v>10856</v>
      </c>
      <c r="B10861" s="3" t="str">
        <f>"00490004"</f>
        <v>00490004</v>
      </c>
    </row>
    <row r="10862" spans="1:2" x14ac:dyDescent="0.25">
      <c r="A10862" s="2">
        <v>10857</v>
      </c>
      <c r="B10862" s="3" t="str">
        <f>"00490026"</f>
        <v>00490026</v>
      </c>
    </row>
    <row r="10863" spans="1:2" x14ac:dyDescent="0.25">
      <c r="A10863" s="2">
        <v>10858</v>
      </c>
      <c r="B10863" s="3" t="str">
        <f>"00490041"</f>
        <v>00490041</v>
      </c>
    </row>
    <row r="10864" spans="1:2" x14ac:dyDescent="0.25">
      <c r="A10864" s="2">
        <v>10859</v>
      </c>
      <c r="B10864" s="3" t="str">
        <f>"00490055"</f>
        <v>00490055</v>
      </c>
    </row>
    <row r="10865" spans="1:2" x14ac:dyDescent="0.25">
      <c r="A10865" s="2">
        <v>10860</v>
      </c>
      <c r="B10865" s="3" t="str">
        <f>"00490059"</f>
        <v>00490059</v>
      </c>
    </row>
    <row r="10866" spans="1:2" x14ac:dyDescent="0.25">
      <c r="A10866" s="2">
        <v>10861</v>
      </c>
      <c r="B10866" s="3" t="str">
        <f>"00490098"</f>
        <v>00490098</v>
      </c>
    </row>
    <row r="10867" spans="1:2" x14ac:dyDescent="0.25">
      <c r="A10867" s="2">
        <v>10862</v>
      </c>
      <c r="B10867" s="3" t="str">
        <f>"00490176"</f>
        <v>00490176</v>
      </c>
    </row>
    <row r="10868" spans="1:2" x14ac:dyDescent="0.25">
      <c r="A10868" s="2">
        <v>10863</v>
      </c>
      <c r="B10868" s="3" t="str">
        <f>"00490240"</f>
        <v>00490240</v>
      </c>
    </row>
    <row r="10869" spans="1:2" x14ac:dyDescent="0.25">
      <c r="A10869" s="2">
        <v>10864</v>
      </c>
      <c r="B10869" s="3" t="str">
        <f>"00490246"</f>
        <v>00490246</v>
      </c>
    </row>
    <row r="10870" spans="1:2" x14ac:dyDescent="0.25">
      <c r="A10870" s="2">
        <v>10865</v>
      </c>
      <c r="B10870" s="3" t="str">
        <f>"00490259"</f>
        <v>00490259</v>
      </c>
    </row>
    <row r="10871" spans="1:2" x14ac:dyDescent="0.25">
      <c r="A10871" s="2">
        <v>10866</v>
      </c>
      <c r="B10871" s="3" t="str">
        <f>"00490292"</f>
        <v>00490292</v>
      </c>
    </row>
    <row r="10872" spans="1:2" x14ac:dyDescent="0.25">
      <c r="A10872" s="2">
        <v>10867</v>
      </c>
      <c r="B10872" s="3" t="str">
        <f>"00490305"</f>
        <v>00490305</v>
      </c>
    </row>
    <row r="10873" spans="1:2" x14ac:dyDescent="0.25">
      <c r="A10873" s="2">
        <v>10868</v>
      </c>
      <c r="B10873" s="3" t="str">
        <f>"00490375"</f>
        <v>00490375</v>
      </c>
    </row>
    <row r="10874" spans="1:2" x14ac:dyDescent="0.25">
      <c r="A10874" s="2">
        <v>10869</v>
      </c>
      <c r="B10874" s="3" t="str">
        <f>"00490397"</f>
        <v>00490397</v>
      </c>
    </row>
    <row r="10875" spans="1:2" x14ac:dyDescent="0.25">
      <c r="A10875" s="2">
        <v>10870</v>
      </c>
      <c r="B10875" s="3" t="str">
        <f>"00490407"</f>
        <v>00490407</v>
      </c>
    </row>
    <row r="10876" spans="1:2" x14ac:dyDescent="0.25">
      <c r="A10876" s="2">
        <v>10871</v>
      </c>
      <c r="B10876" s="3" t="str">
        <f>"00490408"</f>
        <v>00490408</v>
      </c>
    </row>
    <row r="10877" spans="1:2" x14ac:dyDescent="0.25">
      <c r="A10877" s="2">
        <v>10872</v>
      </c>
      <c r="B10877" s="3" t="str">
        <f>"00490503"</f>
        <v>00490503</v>
      </c>
    </row>
    <row r="10878" spans="1:2" x14ac:dyDescent="0.25">
      <c r="A10878" s="2">
        <v>10873</v>
      </c>
      <c r="B10878" s="3" t="str">
        <f>"00490553"</f>
        <v>00490553</v>
      </c>
    </row>
    <row r="10879" spans="1:2" x14ac:dyDescent="0.25">
      <c r="A10879" s="2">
        <v>10874</v>
      </c>
      <c r="B10879" s="3" t="str">
        <f>"00490575"</f>
        <v>00490575</v>
      </c>
    </row>
    <row r="10880" spans="1:2" x14ac:dyDescent="0.25">
      <c r="A10880" s="2">
        <v>10875</v>
      </c>
      <c r="B10880" s="3" t="str">
        <f>"00490587"</f>
        <v>00490587</v>
      </c>
    </row>
    <row r="10881" spans="1:2" x14ac:dyDescent="0.25">
      <c r="A10881" s="2">
        <v>10876</v>
      </c>
      <c r="B10881" s="3" t="str">
        <f>"00490593"</f>
        <v>00490593</v>
      </c>
    </row>
    <row r="10882" spans="1:2" x14ac:dyDescent="0.25">
      <c r="A10882" s="2">
        <v>10877</v>
      </c>
      <c r="B10882" s="3" t="str">
        <f>"00490597"</f>
        <v>00490597</v>
      </c>
    </row>
    <row r="10883" spans="1:2" x14ac:dyDescent="0.25">
      <c r="A10883" s="2">
        <v>10878</v>
      </c>
      <c r="B10883" s="3" t="str">
        <f>"00490626"</f>
        <v>00490626</v>
      </c>
    </row>
    <row r="10884" spans="1:2" x14ac:dyDescent="0.25">
      <c r="A10884" s="2">
        <v>10879</v>
      </c>
      <c r="B10884" s="3" t="str">
        <f>"00490657"</f>
        <v>00490657</v>
      </c>
    </row>
    <row r="10885" spans="1:2" x14ac:dyDescent="0.25">
      <c r="A10885" s="2">
        <v>10880</v>
      </c>
      <c r="B10885" s="3" t="str">
        <f>"00490689"</f>
        <v>00490689</v>
      </c>
    </row>
    <row r="10886" spans="1:2" x14ac:dyDescent="0.25">
      <c r="A10886" s="2">
        <v>10881</v>
      </c>
      <c r="B10886" s="3" t="str">
        <f>"00490717"</f>
        <v>00490717</v>
      </c>
    </row>
    <row r="10887" spans="1:2" x14ac:dyDescent="0.25">
      <c r="A10887" s="2">
        <v>10882</v>
      </c>
      <c r="B10887" s="3" t="str">
        <f>"00490761"</f>
        <v>00490761</v>
      </c>
    </row>
    <row r="10888" spans="1:2" x14ac:dyDescent="0.25">
      <c r="A10888" s="2">
        <v>10883</v>
      </c>
      <c r="B10888" s="3" t="str">
        <f>"00490771"</f>
        <v>00490771</v>
      </c>
    </row>
    <row r="10889" spans="1:2" x14ac:dyDescent="0.25">
      <c r="A10889" s="2">
        <v>10884</v>
      </c>
      <c r="B10889" s="3" t="str">
        <f>"00490820"</f>
        <v>00490820</v>
      </c>
    </row>
    <row r="10890" spans="1:2" x14ac:dyDescent="0.25">
      <c r="A10890" s="2">
        <v>10885</v>
      </c>
      <c r="B10890" s="3" t="str">
        <f>"00490843"</f>
        <v>00490843</v>
      </c>
    </row>
    <row r="10891" spans="1:2" x14ac:dyDescent="0.25">
      <c r="A10891" s="2">
        <v>10886</v>
      </c>
      <c r="B10891" s="3" t="str">
        <f>"00490893"</f>
        <v>00490893</v>
      </c>
    </row>
    <row r="10892" spans="1:2" x14ac:dyDescent="0.25">
      <c r="A10892" s="2">
        <v>10887</v>
      </c>
      <c r="B10892" s="3" t="str">
        <f>"00490900"</f>
        <v>00490900</v>
      </c>
    </row>
    <row r="10893" spans="1:2" x14ac:dyDescent="0.25">
      <c r="A10893" s="2">
        <v>10888</v>
      </c>
      <c r="B10893" s="3" t="str">
        <f>"00490902"</f>
        <v>00490902</v>
      </c>
    </row>
    <row r="10894" spans="1:2" x14ac:dyDescent="0.25">
      <c r="A10894" s="2">
        <v>10889</v>
      </c>
      <c r="B10894" s="3" t="str">
        <f>"00490942"</f>
        <v>00490942</v>
      </c>
    </row>
    <row r="10895" spans="1:2" x14ac:dyDescent="0.25">
      <c r="A10895" s="2">
        <v>10890</v>
      </c>
      <c r="B10895" s="3" t="str">
        <f>"00490967"</f>
        <v>00490967</v>
      </c>
    </row>
    <row r="10896" spans="1:2" x14ac:dyDescent="0.25">
      <c r="A10896" s="2">
        <v>10891</v>
      </c>
      <c r="B10896" s="3" t="str">
        <f>"00490968"</f>
        <v>00490968</v>
      </c>
    </row>
    <row r="10897" spans="1:2" x14ac:dyDescent="0.25">
      <c r="A10897" s="2">
        <v>10892</v>
      </c>
      <c r="B10897" s="3" t="str">
        <f>"00490970"</f>
        <v>00490970</v>
      </c>
    </row>
    <row r="10898" spans="1:2" x14ac:dyDescent="0.25">
      <c r="A10898" s="2">
        <v>10893</v>
      </c>
      <c r="B10898" s="3" t="str">
        <f>"00490979"</f>
        <v>00490979</v>
      </c>
    </row>
    <row r="10899" spans="1:2" x14ac:dyDescent="0.25">
      <c r="A10899" s="2">
        <v>10894</v>
      </c>
      <c r="B10899" s="3" t="str">
        <f>"00490985"</f>
        <v>00490985</v>
      </c>
    </row>
    <row r="10900" spans="1:2" x14ac:dyDescent="0.25">
      <c r="A10900" s="2">
        <v>10895</v>
      </c>
      <c r="B10900" s="3" t="str">
        <f>"00491004"</f>
        <v>00491004</v>
      </c>
    </row>
    <row r="10901" spans="1:2" x14ac:dyDescent="0.25">
      <c r="A10901" s="2">
        <v>10896</v>
      </c>
      <c r="B10901" s="3" t="str">
        <f>"00491040"</f>
        <v>00491040</v>
      </c>
    </row>
    <row r="10902" spans="1:2" x14ac:dyDescent="0.25">
      <c r="A10902" s="2">
        <v>10897</v>
      </c>
      <c r="B10902" s="3" t="str">
        <f>"00491041"</f>
        <v>00491041</v>
      </c>
    </row>
    <row r="10903" spans="1:2" x14ac:dyDescent="0.25">
      <c r="A10903" s="2">
        <v>10898</v>
      </c>
      <c r="B10903" s="3" t="str">
        <f>"00491093"</f>
        <v>00491093</v>
      </c>
    </row>
    <row r="10904" spans="1:2" x14ac:dyDescent="0.25">
      <c r="A10904" s="2">
        <v>10899</v>
      </c>
      <c r="B10904" s="3" t="str">
        <f>"00491136"</f>
        <v>00491136</v>
      </c>
    </row>
    <row r="10905" spans="1:2" x14ac:dyDescent="0.25">
      <c r="A10905" s="2">
        <v>10900</v>
      </c>
      <c r="B10905" s="3" t="str">
        <f>"00491177"</f>
        <v>00491177</v>
      </c>
    </row>
    <row r="10906" spans="1:2" x14ac:dyDescent="0.25">
      <c r="A10906" s="2">
        <v>10901</v>
      </c>
      <c r="B10906" s="3" t="str">
        <f>"00491191"</f>
        <v>00491191</v>
      </c>
    </row>
    <row r="10907" spans="1:2" x14ac:dyDescent="0.25">
      <c r="A10907" s="2">
        <v>10902</v>
      </c>
      <c r="B10907" s="3" t="str">
        <f>"00491256"</f>
        <v>00491256</v>
      </c>
    </row>
    <row r="10908" spans="1:2" x14ac:dyDescent="0.25">
      <c r="A10908" s="2">
        <v>10903</v>
      </c>
      <c r="B10908" s="3" t="str">
        <f>"00491259"</f>
        <v>00491259</v>
      </c>
    </row>
    <row r="10909" spans="1:2" x14ac:dyDescent="0.25">
      <c r="A10909" s="2">
        <v>10904</v>
      </c>
      <c r="B10909" s="3" t="str">
        <f>"00491267"</f>
        <v>00491267</v>
      </c>
    </row>
    <row r="10910" spans="1:2" x14ac:dyDescent="0.25">
      <c r="A10910" s="2">
        <v>10905</v>
      </c>
      <c r="B10910" s="3" t="str">
        <f>"00491297"</f>
        <v>00491297</v>
      </c>
    </row>
    <row r="10911" spans="1:2" x14ac:dyDescent="0.25">
      <c r="A10911" s="2">
        <v>10906</v>
      </c>
      <c r="B10911" s="3" t="str">
        <f>"00491307"</f>
        <v>00491307</v>
      </c>
    </row>
    <row r="10912" spans="1:2" x14ac:dyDescent="0.25">
      <c r="A10912" s="2">
        <v>10907</v>
      </c>
      <c r="B10912" s="3" t="str">
        <f>"00491327"</f>
        <v>00491327</v>
      </c>
    </row>
    <row r="10913" spans="1:2" x14ac:dyDescent="0.25">
      <c r="A10913" s="2">
        <v>10908</v>
      </c>
      <c r="B10913" s="3" t="str">
        <f>"00491367"</f>
        <v>00491367</v>
      </c>
    </row>
    <row r="10914" spans="1:2" x14ac:dyDescent="0.25">
      <c r="A10914" s="2">
        <v>10909</v>
      </c>
      <c r="B10914" s="3" t="str">
        <f>"00491414"</f>
        <v>00491414</v>
      </c>
    </row>
    <row r="10915" spans="1:2" x14ac:dyDescent="0.25">
      <c r="A10915" s="2">
        <v>10910</v>
      </c>
      <c r="B10915" s="3" t="str">
        <f>"00491418"</f>
        <v>00491418</v>
      </c>
    </row>
    <row r="10916" spans="1:2" x14ac:dyDescent="0.25">
      <c r="A10916" s="2">
        <v>10911</v>
      </c>
      <c r="B10916" s="3" t="str">
        <f>"00491442"</f>
        <v>00491442</v>
      </c>
    </row>
    <row r="10917" spans="1:2" x14ac:dyDescent="0.25">
      <c r="A10917" s="2">
        <v>10912</v>
      </c>
      <c r="B10917" s="3" t="str">
        <f>"00491457"</f>
        <v>00491457</v>
      </c>
    </row>
    <row r="10918" spans="1:2" x14ac:dyDescent="0.25">
      <c r="A10918" s="2">
        <v>10913</v>
      </c>
      <c r="B10918" s="3" t="str">
        <f>"00491498"</f>
        <v>00491498</v>
      </c>
    </row>
    <row r="10919" spans="1:2" x14ac:dyDescent="0.25">
      <c r="A10919" s="2">
        <v>10914</v>
      </c>
      <c r="B10919" s="3" t="str">
        <f>"00491562"</f>
        <v>00491562</v>
      </c>
    </row>
    <row r="10920" spans="1:2" x14ac:dyDescent="0.25">
      <c r="A10920" s="2">
        <v>10915</v>
      </c>
      <c r="B10920" s="3" t="str">
        <f>"00491567"</f>
        <v>00491567</v>
      </c>
    </row>
    <row r="10921" spans="1:2" x14ac:dyDescent="0.25">
      <c r="A10921" s="2">
        <v>10916</v>
      </c>
      <c r="B10921" s="3" t="str">
        <f>"00491578"</f>
        <v>00491578</v>
      </c>
    </row>
    <row r="10922" spans="1:2" x14ac:dyDescent="0.25">
      <c r="A10922" s="2">
        <v>10917</v>
      </c>
      <c r="B10922" s="3" t="str">
        <f>"00491580"</f>
        <v>00491580</v>
      </c>
    </row>
    <row r="10923" spans="1:2" x14ac:dyDescent="0.25">
      <c r="A10923" s="2">
        <v>10918</v>
      </c>
      <c r="B10923" s="3" t="str">
        <f>"00491588"</f>
        <v>00491588</v>
      </c>
    </row>
    <row r="10924" spans="1:2" x14ac:dyDescent="0.25">
      <c r="A10924" s="2">
        <v>10919</v>
      </c>
      <c r="B10924" s="3" t="str">
        <f>"00491705"</f>
        <v>00491705</v>
      </c>
    </row>
    <row r="10925" spans="1:2" x14ac:dyDescent="0.25">
      <c r="A10925" s="2">
        <v>10920</v>
      </c>
      <c r="B10925" s="3" t="str">
        <f>"00491706"</f>
        <v>00491706</v>
      </c>
    </row>
    <row r="10926" spans="1:2" x14ac:dyDescent="0.25">
      <c r="A10926" s="2">
        <v>10921</v>
      </c>
      <c r="B10926" s="3" t="str">
        <f>"00491736"</f>
        <v>00491736</v>
      </c>
    </row>
    <row r="10927" spans="1:2" x14ac:dyDescent="0.25">
      <c r="A10927" s="2">
        <v>10922</v>
      </c>
      <c r="B10927" s="3" t="str">
        <f>"00491776"</f>
        <v>00491776</v>
      </c>
    </row>
    <row r="10928" spans="1:2" x14ac:dyDescent="0.25">
      <c r="A10928" s="2">
        <v>10923</v>
      </c>
      <c r="B10928" s="3" t="str">
        <f>"00491803"</f>
        <v>00491803</v>
      </c>
    </row>
    <row r="10929" spans="1:2" x14ac:dyDescent="0.25">
      <c r="A10929" s="2">
        <v>10924</v>
      </c>
      <c r="B10929" s="3" t="str">
        <f>"00491968"</f>
        <v>00491968</v>
      </c>
    </row>
    <row r="10930" spans="1:2" x14ac:dyDescent="0.25">
      <c r="A10930" s="2">
        <v>10925</v>
      </c>
      <c r="B10930" s="3" t="str">
        <f>"00492043"</f>
        <v>00492043</v>
      </c>
    </row>
    <row r="10931" spans="1:2" x14ac:dyDescent="0.25">
      <c r="A10931" s="2">
        <v>10926</v>
      </c>
      <c r="B10931" s="3" t="str">
        <f>"00492048"</f>
        <v>00492048</v>
      </c>
    </row>
    <row r="10932" spans="1:2" x14ac:dyDescent="0.25">
      <c r="A10932" s="2">
        <v>10927</v>
      </c>
      <c r="B10932" s="3" t="str">
        <f>"00492120"</f>
        <v>00492120</v>
      </c>
    </row>
    <row r="10933" spans="1:2" x14ac:dyDescent="0.25">
      <c r="A10933" s="2">
        <v>10928</v>
      </c>
      <c r="B10933" s="3" t="str">
        <f>"00492121"</f>
        <v>00492121</v>
      </c>
    </row>
    <row r="10934" spans="1:2" x14ac:dyDescent="0.25">
      <c r="A10934" s="2">
        <v>10929</v>
      </c>
      <c r="B10934" s="3" t="str">
        <f>"00492177"</f>
        <v>00492177</v>
      </c>
    </row>
    <row r="10935" spans="1:2" x14ac:dyDescent="0.25">
      <c r="A10935" s="2">
        <v>10930</v>
      </c>
      <c r="B10935" s="3" t="str">
        <f>"00492188"</f>
        <v>00492188</v>
      </c>
    </row>
    <row r="10936" spans="1:2" x14ac:dyDescent="0.25">
      <c r="A10936" s="2">
        <v>10931</v>
      </c>
      <c r="B10936" s="3" t="str">
        <f>"00492262"</f>
        <v>00492262</v>
      </c>
    </row>
    <row r="10937" spans="1:2" x14ac:dyDescent="0.25">
      <c r="A10937" s="2">
        <v>10932</v>
      </c>
      <c r="B10937" s="3" t="str">
        <f>"00492318"</f>
        <v>00492318</v>
      </c>
    </row>
    <row r="10938" spans="1:2" x14ac:dyDescent="0.25">
      <c r="A10938" s="2">
        <v>10933</v>
      </c>
      <c r="B10938" s="3" t="str">
        <f>"00492346"</f>
        <v>00492346</v>
      </c>
    </row>
    <row r="10939" spans="1:2" x14ac:dyDescent="0.25">
      <c r="A10939" s="2">
        <v>10934</v>
      </c>
      <c r="B10939" s="3" t="str">
        <f>"00492379"</f>
        <v>00492379</v>
      </c>
    </row>
    <row r="10940" spans="1:2" x14ac:dyDescent="0.25">
      <c r="A10940" s="2">
        <v>10935</v>
      </c>
      <c r="B10940" s="3" t="str">
        <f>"00492423"</f>
        <v>00492423</v>
      </c>
    </row>
    <row r="10941" spans="1:2" x14ac:dyDescent="0.25">
      <c r="A10941" s="2">
        <v>10936</v>
      </c>
      <c r="B10941" s="3" t="str">
        <f>"00492461"</f>
        <v>00492461</v>
      </c>
    </row>
    <row r="10942" spans="1:2" x14ac:dyDescent="0.25">
      <c r="A10942" s="2">
        <v>10937</v>
      </c>
      <c r="B10942" s="3" t="str">
        <f>"00492474"</f>
        <v>00492474</v>
      </c>
    </row>
    <row r="10943" spans="1:2" x14ac:dyDescent="0.25">
      <c r="A10943" s="2">
        <v>10938</v>
      </c>
      <c r="B10943" s="3" t="str">
        <f>"00492623"</f>
        <v>00492623</v>
      </c>
    </row>
    <row r="10944" spans="1:2" x14ac:dyDescent="0.25">
      <c r="A10944" s="2">
        <v>10939</v>
      </c>
      <c r="B10944" s="3" t="str">
        <f>"00492667"</f>
        <v>00492667</v>
      </c>
    </row>
    <row r="10945" spans="1:2" x14ac:dyDescent="0.25">
      <c r="A10945" s="2">
        <v>10940</v>
      </c>
      <c r="B10945" s="3" t="str">
        <f>"00492778"</f>
        <v>00492778</v>
      </c>
    </row>
    <row r="10946" spans="1:2" x14ac:dyDescent="0.25">
      <c r="A10946" s="2">
        <v>10941</v>
      </c>
      <c r="B10946" s="3" t="str">
        <f>"00492786"</f>
        <v>00492786</v>
      </c>
    </row>
    <row r="10947" spans="1:2" x14ac:dyDescent="0.25">
      <c r="A10947" s="2">
        <v>10942</v>
      </c>
      <c r="B10947" s="3" t="str">
        <f>"00492806"</f>
        <v>00492806</v>
      </c>
    </row>
    <row r="10948" spans="1:2" x14ac:dyDescent="0.25">
      <c r="A10948" s="2">
        <v>10943</v>
      </c>
      <c r="B10948" s="3" t="str">
        <f>"00492814"</f>
        <v>00492814</v>
      </c>
    </row>
    <row r="10949" spans="1:2" x14ac:dyDescent="0.25">
      <c r="A10949" s="2">
        <v>10944</v>
      </c>
      <c r="B10949" s="3" t="str">
        <f>"00492820"</f>
        <v>00492820</v>
      </c>
    </row>
    <row r="10950" spans="1:2" x14ac:dyDescent="0.25">
      <c r="A10950" s="2">
        <v>10945</v>
      </c>
      <c r="B10950" s="3" t="str">
        <f>"00492864"</f>
        <v>00492864</v>
      </c>
    </row>
    <row r="10951" spans="1:2" x14ac:dyDescent="0.25">
      <c r="A10951" s="2">
        <v>10946</v>
      </c>
      <c r="B10951" s="3" t="str">
        <f>"00492906"</f>
        <v>00492906</v>
      </c>
    </row>
    <row r="10952" spans="1:2" x14ac:dyDescent="0.25">
      <c r="A10952" s="2">
        <v>10947</v>
      </c>
      <c r="B10952" s="3" t="str">
        <f>"00492923"</f>
        <v>00492923</v>
      </c>
    </row>
    <row r="10953" spans="1:2" x14ac:dyDescent="0.25">
      <c r="A10953" s="2">
        <v>10948</v>
      </c>
      <c r="B10953" s="3" t="str">
        <f>"00493032"</f>
        <v>00493032</v>
      </c>
    </row>
    <row r="10954" spans="1:2" x14ac:dyDescent="0.25">
      <c r="A10954" s="2">
        <v>10949</v>
      </c>
      <c r="B10954" s="3" t="str">
        <f>"00493070"</f>
        <v>00493070</v>
      </c>
    </row>
    <row r="10955" spans="1:2" x14ac:dyDescent="0.25">
      <c r="A10955" s="2">
        <v>10950</v>
      </c>
      <c r="B10955" s="3" t="str">
        <f>"00493072"</f>
        <v>00493072</v>
      </c>
    </row>
    <row r="10956" spans="1:2" x14ac:dyDescent="0.25">
      <c r="A10956" s="2">
        <v>10951</v>
      </c>
      <c r="B10956" s="3" t="str">
        <f>"00493077"</f>
        <v>00493077</v>
      </c>
    </row>
    <row r="10957" spans="1:2" x14ac:dyDescent="0.25">
      <c r="A10957" s="2">
        <v>10952</v>
      </c>
      <c r="B10957" s="3" t="str">
        <f>"00493165"</f>
        <v>00493165</v>
      </c>
    </row>
    <row r="10958" spans="1:2" x14ac:dyDescent="0.25">
      <c r="A10958" s="2">
        <v>10953</v>
      </c>
      <c r="B10958" s="3" t="str">
        <f>"00493178"</f>
        <v>00493178</v>
      </c>
    </row>
    <row r="10959" spans="1:2" x14ac:dyDescent="0.25">
      <c r="A10959" s="2">
        <v>10954</v>
      </c>
      <c r="B10959" s="3" t="str">
        <f>"00493251"</f>
        <v>00493251</v>
      </c>
    </row>
    <row r="10960" spans="1:2" x14ac:dyDescent="0.25">
      <c r="A10960" s="2">
        <v>10955</v>
      </c>
      <c r="B10960" s="3" t="str">
        <f>"00493256"</f>
        <v>00493256</v>
      </c>
    </row>
    <row r="10961" spans="1:2" x14ac:dyDescent="0.25">
      <c r="A10961" s="2">
        <v>10956</v>
      </c>
      <c r="B10961" s="3" t="str">
        <f>"00493276"</f>
        <v>00493276</v>
      </c>
    </row>
    <row r="10962" spans="1:2" x14ac:dyDescent="0.25">
      <c r="A10962" s="2">
        <v>10957</v>
      </c>
      <c r="B10962" s="3" t="str">
        <f>"00493285"</f>
        <v>00493285</v>
      </c>
    </row>
    <row r="10963" spans="1:2" x14ac:dyDescent="0.25">
      <c r="A10963" s="2">
        <v>10958</v>
      </c>
      <c r="B10963" s="3" t="str">
        <f>"00493354"</f>
        <v>00493354</v>
      </c>
    </row>
    <row r="10964" spans="1:2" x14ac:dyDescent="0.25">
      <c r="A10964" s="2">
        <v>10959</v>
      </c>
      <c r="B10964" s="3" t="str">
        <f>"00493358"</f>
        <v>00493358</v>
      </c>
    </row>
    <row r="10965" spans="1:2" x14ac:dyDescent="0.25">
      <c r="A10965" s="2">
        <v>10960</v>
      </c>
      <c r="B10965" s="3" t="str">
        <f>"00493365"</f>
        <v>00493365</v>
      </c>
    </row>
    <row r="10966" spans="1:2" x14ac:dyDescent="0.25">
      <c r="A10966" s="2">
        <v>10961</v>
      </c>
      <c r="B10966" s="3" t="str">
        <f>"00493367"</f>
        <v>00493367</v>
      </c>
    </row>
    <row r="10967" spans="1:2" x14ac:dyDescent="0.25">
      <c r="A10967" s="2">
        <v>10962</v>
      </c>
      <c r="B10967" s="3" t="str">
        <f>"00493375"</f>
        <v>00493375</v>
      </c>
    </row>
    <row r="10968" spans="1:2" x14ac:dyDescent="0.25">
      <c r="A10968" s="2">
        <v>10963</v>
      </c>
      <c r="B10968" s="3" t="str">
        <f>"00493452"</f>
        <v>00493452</v>
      </c>
    </row>
    <row r="10969" spans="1:2" x14ac:dyDescent="0.25">
      <c r="A10969" s="2">
        <v>10964</v>
      </c>
      <c r="B10969" s="3" t="str">
        <f>"00493455"</f>
        <v>00493455</v>
      </c>
    </row>
    <row r="10970" spans="1:2" x14ac:dyDescent="0.25">
      <c r="A10970" s="2">
        <v>10965</v>
      </c>
      <c r="B10970" s="3" t="str">
        <f>"00493573"</f>
        <v>00493573</v>
      </c>
    </row>
    <row r="10971" spans="1:2" x14ac:dyDescent="0.25">
      <c r="A10971" s="2">
        <v>10966</v>
      </c>
      <c r="B10971" s="3" t="str">
        <f>"00493636"</f>
        <v>00493636</v>
      </c>
    </row>
    <row r="10972" spans="1:2" x14ac:dyDescent="0.25">
      <c r="A10972" s="2">
        <v>10967</v>
      </c>
      <c r="B10972" s="3" t="str">
        <f>"00493667"</f>
        <v>00493667</v>
      </c>
    </row>
    <row r="10973" spans="1:2" x14ac:dyDescent="0.25">
      <c r="A10973" s="2">
        <v>10968</v>
      </c>
      <c r="B10973" s="3" t="str">
        <f>"00493668"</f>
        <v>00493668</v>
      </c>
    </row>
    <row r="10974" spans="1:2" x14ac:dyDescent="0.25">
      <c r="A10974" s="2">
        <v>10969</v>
      </c>
      <c r="B10974" s="3" t="str">
        <f>"00493719"</f>
        <v>00493719</v>
      </c>
    </row>
    <row r="10975" spans="1:2" x14ac:dyDescent="0.25">
      <c r="A10975" s="2">
        <v>10970</v>
      </c>
      <c r="B10975" s="3" t="str">
        <f>"00493760"</f>
        <v>00493760</v>
      </c>
    </row>
    <row r="10976" spans="1:2" x14ac:dyDescent="0.25">
      <c r="A10976" s="2">
        <v>10971</v>
      </c>
      <c r="B10976" s="3" t="str">
        <f>"00493765"</f>
        <v>00493765</v>
      </c>
    </row>
    <row r="10977" spans="1:2" x14ac:dyDescent="0.25">
      <c r="A10977" s="2">
        <v>10972</v>
      </c>
      <c r="B10977" s="3" t="str">
        <f>"00493868"</f>
        <v>00493868</v>
      </c>
    </row>
    <row r="10978" spans="1:2" x14ac:dyDescent="0.25">
      <c r="A10978" s="2">
        <v>10973</v>
      </c>
      <c r="B10978" s="3" t="str">
        <f>"00493878"</f>
        <v>00493878</v>
      </c>
    </row>
    <row r="10979" spans="1:2" x14ac:dyDescent="0.25">
      <c r="A10979" s="2">
        <v>10974</v>
      </c>
      <c r="B10979" s="3" t="str">
        <f>"00493959"</f>
        <v>00493959</v>
      </c>
    </row>
    <row r="10980" spans="1:2" x14ac:dyDescent="0.25">
      <c r="A10980" s="2">
        <v>10975</v>
      </c>
      <c r="B10980" s="3" t="str">
        <f>"00494016"</f>
        <v>00494016</v>
      </c>
    </row>
    <row r="10981" spans="1:2" x14ac:dyDescent="0.25">
      <c r="A10981" s="2">
        <v>10976</v>
      </c>
      <c r="B10981" s="3" t="str">
        <f>"00494025"</f>
        <v>00494025</v>
      </c>
    </row>
    <row r="10982" spans="1:2" x14ac:dyDescent="0.25">
      <c r="A10982" s="2">
        <v>10977</v>
      </c>
      <c r="B10982" s="3" t="str">
        <f>"00494044"</f>
        <v>00494044</v>
      </c>
    </row>
    <row r="10983" spans="1:2" x14ac:dyDescent="0.25">
      <c r="A10983" s="2">
        <v>10978</v>
      </c>
      <c r="B10983" s="3" t="str">
        <f>"00494059"</f>
        <v>00494059</v>
      </c>
    </row>
    <row r="10984" spans="1:2" x14ac:dyDescent="0.25">
      <c r="A10984" s="2">
        <v>10979</v>
      </c>
      <c r="B10984" s="3" t="str">
        <f>"00494129"</f>
        <v>00494129</v>
      </c>
    </row>
    <row r="10985" spans="1:2" x14ac:dyDescent="0.25">
      <c r="A10985" s="2">
        <v>10980</v>
      </c>
      <c r="B10985" s="3" t="str">
        <f>"00494197"</f>
        <v>00494197</v>
      </c>
    </row>
    <row r="10986" spans="1:2" x14ac:dyDescent="0.25">
      <c r="A10986" s="2">
        <v>10981</v>
      </c>
      <c r="B10986" s="3" t="str">
        <f>"00494212"</f>
        <v>00494212</v>
      </c>
    </row>
    <row r="10987" spans="1:2" x14ac:dyDescent="0.25">
      <c r="A10987" s="2">
        <v>10982</v>
      </c>
      <c r="B10987" s="3" t="str">
        <f>"00494280"</f>
        <v>00494280</v>
      </c>
    </row>
    <row r="10988" spans="1:2" x14ac:dyDescent="0.25">
      <c r="A10988" s="2">
        <v>10983</v>
      </c>
      <c r="B10988" s="3" t="str">
        <f>"00494297"</f>
        <v>00494297</v>
      </c>
    </row>
    <row r="10989" spans="1:2" x14ac:dyDescent="0.25">
      <c r="A10989" s="2">
        <v>10984</v>
      </c>
      <c r="B10989" s="3" t="str">
        <f>"00494346"</f>
        <v>00494346</v>
      </c>
    </row>
    <row r="10990" spans="1:2" x14ac:dyDescent="0.25">
      <c r="A10990" s="2">
        <v>10985</v>
      </c>
      <c r="B10990" s="3" t="str">
        <f>"00494354"</f>
        <v>00494354</v>
      </c>
    </row>
    <row r="10991" spans="1:2" x14ac:dyDescent="0.25">
      <c r="A10991" s="2">
        <v>10986</v>
      </c>
      <c r="B10991" s="3" t="str">
        <f>"00494463"</f>
        <v>00494463</v>
      </c>
    </row>
    <row r="10992" spans="1:2" x14ac:dyDescent="0.25">
      <c r="A10992" s="2">
        <v>10987</v>
      </c>
      <c r="B10992" s="3" t="str">
        <f>"00494521"</f>
        <v>00494521</v>
      </c>
    </row>
    <row r="10993" spans="1:2" x14ac:dyDescent="0.25">
      <c r="A10993" s="2">
        <v>10988</v>
      </c>
      <c r="B10993" s="3" t="str">
        <f>"00494577"</f>
        <v>00494577</v>
      </c>
    </row>
    <row r="10994" spans="1:2" x14ac:dyDescent="0.25">
      <c r="A10994" s="2">
        <v>10989</v>
      </c>
      <c r="B10994" s="3" t="str">
        <f>"00494586"</f>
        <v>00494586</v>
      </c>
    </row>
    <row r="10995" spans="1:2" x14ac:dyDescent="0.25">
      <c r="A10995" s="2">
        <v>10990</v>
      </c>
      <c r="B10995" s="3" t="str">
        <f>"00494592"</f>
        <v>00494592</v>
      </c>
    </row>
    <row r="10996" spans="1:2" x14ac:dyDescent="0.25">
      <c r="A10996" s="2">
        <v>10991</v>
      </c>
      <c r="B10996" s="3" t="str">
        <f>"00494645"</f>
        <v>00494645</v>
      </c>
    </row>
    <row r="10997" spans="1:2" x14ac:dyDescent="0.25">
      <c r="A10997" s="2">
        <v>10992</v>
      </c>
      <c r="B10997" s="3" t="str">
        <f>"00494646"</f>
        <v>00494646</v>
      </c>
    </row>
    <row r="10998" spans="1:2" x14ac:dyDescent="0.25">
      <c r="A10998" s="2">
        <v>10993</v>
      </c>
      <c r="B10998" s="3" t="str">
        <f>"00494656"</f>
        <v>00494656</v>
      </c>
    </row>
    <row r="10999" spans="1:2" x14ac:dyDescent="0.25">
      <c r="A10999" s="2">
        <v>10994</v>
      </c>
      <c r="B10999" s="3" t="str">
        <f>"00494734"</f>
        <v>00494734</v>
      </c>
    </row>
    <row r="11000" spans="1:2" x14ac:dyDescent="0.25">
      <c r="A11000" s="2">
        <v>10995</v>
      </c>
      <c r="B11000" s="3" t="str">
        <f>"00494740"</f>
        <v>00494740</v>
      </c>
    </row>
    <row r="11001" spans="1:2" x14ac:dyDescent="0.25">
      <c r="A11001" s="2">
        <v>10996</v>
      </c>
      <c r="B11001" s="3" t="str">
        <f>"00494760"</f>
        <v>00494760</v>
      </c>
    </row>
    <row r="11002" spans="1:2" x14ac:dyDescent="0.25">
      <c r="A11002" s="2">
        <v>10997</v>
      </c>
      <c r="B11002" s="3" t="str">
        <f>"00494793"</f>
        <v>00494793</v>
      </c>
    </row>
    <row r="11003" spans="1:2" x14ac:dyDescent="0.25">
      <c r="A11003" s="2">
        <v>10998</v>
      </c>
      <c r="B11003" s="3" t="str">
        <f>"00494814"</f>
        <v>00494814</v>
      </c>
    </row>
    <row r="11004" spans="1:2" x14ac:dyDescent="0.25">
      <c r="A11004" s="2">
        <v>10999</v>
      </c>
      <c r="B11004" s="3" t="str">
        <f>"00494863"</f>
        <v>00494863</v>
      </c>
    </row>
    <row r="11005" spans="1:2" x14ac:dyDescent="0.25">
      <c r="A11005" s="2">
        <v>11000</v>
      </c>
      <c r="B11005" s="3" t="str">
        <f>"00494873"</f>
        <v>00494873</v>
      </c>
    </row>
    <row r="11006" spans="1:2" x14ac:dyDescent="0.25">
      <c r="A11006" s="2">
        <v>11001</v>
      </c>
      <c r="B11006" s="3" t="str">
        <f>"00494879"</f>
        <v>00494879</v>
      </c>
    </row>
    <row r="11007" spans="1:2" x14ac:dyDescent="0.25">
      <c r="A11007" s="2">
        <v>11002</v>
      </c>
      <c r="B11007" s="3" t="str">
        <f>"00494905"</f>
        <v>00494905</v>
      </c>
    </row>
    <row r="11008" spans="1:2" x14ac:dyDescent="0.25">
      <c r="A11008" s="2">
        <v>11003</v>
      </c>
      <c r="B11008" s="3" t="str">
        <f>"00494912"</f>
        <v>00494912</v>
      </c>
    </row>
    <row r="11009" spans="1:2" x14ac:dyDescent="0.25">
      <c r="A11009" s="2">
        <v>11004</v>
      </c>
      <c r="B11009" s="3" t="str">
        <f>"00494947"</f>
        <v>00494947</v>
      </c>
    </row>
    <row r="11010" spans="1:2" x14ac:dyDescent="0.25">
      <c r="A11010" s="2">
        <v>11005</v>
      </c>
      <c r="B11010" s="3" t="str">
        <f>"00494957"</f>
        <v>00494957</v>
      </c>
    </row>
    <row r="11011" spans="1:2" x14ac:dyDescent="0.25">
      <c r="A11011" s="2">
        <v>11006</v>
      </c>
      <c r="B11011" s="3" t="str">
        <f>"00494973"</f>
        <v>00494973</v>
      </c>
    </row>
    <row r="11012" spans="1:2" x14ac:dyDescent="0.25">
      <c r="A11012" s="2">
        <v>11007</v>
      </c>
      <c r="B11012" s="3" t="str">
        <f>"00495066"</f>
        <v>00495066</v>
      </c>
    </row>
    <row r="11013" spans="1:2" x14ac:dyDescent="0.25">
      <c r="A11013" s="2">
        <v>11008</v>
      </c>
      <c r="B11013" s="3" t="str">
        <f>"00495084"</f>
        <v>00495084</v>
      </c>
    </row>
    <row r="11014" spans="1:2" x14ac:dyDescent="0.25">
      <c r="A11014" s="2">
        <v>11009</v>
      </c>
      <c r="B11014" s="3" t="str">
        <f>"00495089"</f>
        <v>00495089</v>
      </c>
    </row>
    <row r="11015" spans="1:2" x14ac:dyDescent="0.25">
      <c r="A11015" s="2">
        <v>11010</v>
      </c>
      <c r="B11015" s="3" t="str">
        <f>"00495158"</f>
        <v>00495158</v>
      </c>
    </row>
    <row r="11016" spans="1:2" x14ac:dyDescent="0.25">
      <c r="A11016" s="2">
        <v>11011</v>
      </c>
      <c r="B11016" s="3" t="str">
        <f>"00495283"</f>
        <v>00495283</v>
      </c>
    </row>
    <row r="11017" spans="1:2" x14ac:dyDescent="0.25">
      <c r="A11017" s="2">
        <v>11012</v>
      </c>
      <c r="B11017" s="3" t="str">
        <f>"00495350"</f>
        <v>00495350</v>
      </c>
    </row>
    <row r="11018" spans="1:2" x14ac:dyDescent="0.25">
      <c r="A11018" s="2">
        <v>11013</v>
      </c>
      <c r="B11018" s="3" t="str">
        <f>"00495365"</f>
        <v>00495365</v>
      </c>
    </row>
    <row r="11019" spans="1:2" x14ac:dyDescent="0.25">
      <c r="A11019" s="2">
        <v>11014</v>
      </c>
      <c r="B11019" s="3" t="str">
        <f>"00495479"</f>
        <v>00495479</v>
      </c>
    </row>
    <row r="11020" spans="1:2" x14ac:dyDescent="0.25">
      <c r="A11020" s="2">
        <v>11015</v>
      </c>
      <c r="B11020" s="3" t="str">
        <f>"00495510"</f>
        <v>00495510</v>
      </c>
    </row>
    <row r="11021" spans="1:2" x14ac:dyDescent="0.25">
      <c r="A11021" s="2">
        <v>11016</v>
      </c>
      <c r="B11021" s="3" t="str">
        <f>"00495519"</f>
        <v>00495519</v>
      </c>
    </row>
    <row r="11022" spans="1:2" x14ac:dyDescent="0.25">
      <c r="A11022" s="2">
        <v>11017</v>
      </c>
      <c r="B11022" s="3" t="str">
        <f>"00495610"</f>
        <v>00495610</v>
      </c>
    </row>
    <row r="11023" spans="1:2" x14ac:dyDescent="0.25">
      <c r="A11023" s="2">
        <v>11018</v>
      </c>
      <c r="B11023" s="3" t="str">
        <f>"00495623"</f>
        <v>00495623</v>
      </c>
    </row>
    <row r="11024" spans="1:2" x14ac:dyDescent="0.25">
      <c r="A11024" s="2">
        <v>11019</v>
      </c>
      <c r="B11024" s="3" t="str">
        <f>"00495704"</f>
        <v>00495704</v>
      </c>
    </row>
    <row r="11025" spans="1:2" x14ac:dyDescent="0.25">
      <c r="A11025" s="2">
        <v>11020</v>
      </c>
      <c r="B11025" s="3" t="str">
        <f>"00495748"</f>
        <v>00495748</v>
      </c>
    </row>
    <row r="11026" spans="1:2" x14ac:dyDescent="0.25">
      <c r="A11026" s="2">
        <v>11021</v>
      </c>
      <c r="B11026" s="3" t="str">
        <f>"00495820"</f>
        <v>00495820</v>
      </c>
    </row>
    <row r="11027" spans="1:2" x14ac:dyDescent="0.25">
      <c r="A11027" s="2">
        <v>11022</v>
      </c>
      <c r="B11027" s="3" t="str">
        <f>"00495860"</f>
        <v>00495860</v>
      </c>
    </row>
    <row r="11028" spans="1:2" x14ac:dyDescent="0.25">
      <c r="A11028" s="2">
        <v>11023</v>
      </c>
      <c r="B11028" s="3" t="str">
        <f>"00495867"</f>
        <v>00495867</v>
      </c>
    </row>
    <row r="11029" spans="1:2" x14ac:dyDescent="0.25">
      <c r="A11029" s="2">
        <v>11024</v>
      </c>
      <c r="B11029" s="3" t="str">
        <f>"00495915"</f>
        <v>00495915</v>
      </c>
    </row>
    <row r="11030" spans="1:2" x14ac:dyDescent="0.25">
      <c r="A11030" s="2">
        <v>11025</v>
      </c>
      <c r="B11030" s="3" t="str">
        <f>"00495929"</f>
        <v>00495929</v>
      </c>
    </row>
    <row r="11031" spans="1:2" x14ac:dyDescent="0.25">
      <c r="A11031" s="2">
        <v>11026</v>
      </c>
      <c r="B11031" s="3" t="str">
        <f>"00495936"</f>
        <v>00495936</v>
      </c>
    </row>
    <row r="11032" spans="1:2" x14ac:dyDescent="0.25">
      <c r="A11032" s="2">
        <v>11027</v>
      </c>
      <c r="B11032" s="3" t="str">
        <f>"00495942"</f>
        <v>00495942</v>
      </c>
    </row>
    <row r="11033" spans="1:2" x14ac:dyDescent="0.25">
      <c r="A11033" s="2">
        <v>11028</v>
      </c>
      <c r="B11033" s="3" t="str">
        <f>"00495956"</f>
        <v>00495956</v>
      </c>
    </row>
    <row r="11034" spans="1:2" x14ac:dyDescent="0.25">
      <c r="A11034" s="2">
        <v>11029</v>
      </c>
      <c r="B11034" s="3" t="str">
        <f>"00495998"</f>
        <v>00495998</v>
      </c>
    </row>
    <row r="11035" spans="1:2" x14ac:dyDescent="0.25">
      <c r="A11035" s="2">
        <v>11030</v>
      </c>
      <c r="B11035" s="3" t="str">
        <f>"00496015"</f>
        <v>00496015</v>
      </c>
    </row>
    <row r="11036" spans="1:2" x14ac:dyDescent="0.25">
      <c r="A11036" s="2">
        <v>11031</v>
      </c>
      <c r="B11036" s="3" t="str">
        <f>"00496075"</f>
        <v>00496075</v>
      </c>
    </row>
    <row r="11037" spans="1:2" x14ac:dyDescent="0.25">
      <c r="A11037" s="2">
        <v>11032</v>
      </c>
      <c r="B11037" s="3" t="str">
        <f>"00496113"</f>
        <v>00496113</v>
      </c>
    </row>
    <row r="11038" spans="1:2" x14ac:dyDescent="0.25">
      <c r="A11038" s="2">
        <v>11033</v>
      </c>
      <c r="B11038" s="3" t="str">
        <f>"00496132"</f>
        <v>00496132</v>
      </c>
    </row>
    <row r="11039" spans="1:2" x14ac:dyDescent="0.25">
      <c r="A11039" s="2">
        <v>11034</v>
      </c>
      <c r="B11039" s="3" t="str">
        <f>"00496157"</f>
        <v>00496157</v>
      </c>
    </row>
    <row r="11040" spans="1:2" x14ac:dyDescent="0.25">
      <c r="A11040" s="2">
        <v>11035</v>
      </c>
      <c r="B11040" s="3" t="str">
        <f>"00496178"</f>
        <v>00496178</v>
      </c>
    </row>
    <row r="11041" spans="1:2" x14ac:dyDescent="0.25">
      <c r="A11041" s="2">
        <v>11036</v>
      </c>
      <c r="B11041" s="3" t="str">
        <f>"00496194"</f>
        <v>00496194</v>
      </c>
    </row>
    <row r="11042" spans="1:2" x14ac:dyDescent="0.25">
      <c r="A11042" s="2">
        <v>11037</v>
      </c>
      <c r="B11042" s="3" t="str">
        <f>"00496210"</f>
        <v>00496210</v>
      </c>
    </row>
    <row r="11043" spans="1:2" x14ac:dyDescent="0.25">
      <c r="A11043" s="2">
        <v>11038</v>
      </c>
      <c r="B11043" s="3" t="str">
        <f>"00496296"</f>
        <v>00496296</v>
      </c>
    </row>
    <row r="11044" spans="1:2" x14ac:dyDescent="0.25">
      <c r="A11044" s="2">
        <v>11039</v>
      </c>
      <c r="B11044" s="3" t="str">
        <f>"00496314"</f>
        <v>00496314</v>
      </c>
    </row>
    <row r="11045" spans="1:2" x14ac:dyDescent="0.25">
      <c r="A11045" s="2">
        <v>11040</v>
      </c>
      <c r="B11045" s="3" t="str">
        <f>"00496344"</f>
        <v>00496344</v>
      </c>
    </row>
    <row r="11046" spans="1:2" x14ac:dyDescent="0.25">
      <c r="A11046" s="2">
        <v>11041</v>
      </c>
      <c r="B11046" s="3" t="str">
        <f>"00496346"</f>
        <v>00496346</v>
      </c>
    </row>
    <row r="11047" spans="1:2" x14ac:dyDescent="0.25">
      <c r="A11047" s="2">
        <v>11042</v>
      </c>
      <c r="B11047" s="3" t="str">
        <f>"00496358"</f>
        <v>00496358</v>
      </c>
    </row>
    <row r="11048" spans="1:2" x14ac:dyDescent="0.25">
      <c r="A11048" s="2">
        <v>11043</v>
      </c>
      <c r="B11048" s="3" t="str">
        <f>"00496372"</f>
        <v>00496372</v>
      </c>
    </row>
    <row r="11049" spans="1:2" x14ac:dyDescent="0.25">
      <c r="A11049" s="2">
        <v>11044</v>
      </c>
      <c r="B11049" s="3" t="str">
        <f>"00496425"</f>
        <v>00496425</v>
      </c>
    </row>
    <row r="11050" spans="1:2" x14ac:dyDescent="0.25">
      <c r="A11050" s="2">
        <v>11045</v>
      </c>
      <c r="B11050" s="3" t="str">
        <f>"00496441"</f>
        <v>00496441</v>
      </c>
    </row>
    <row r="11051" spans="1:2" x14ac:dyDescent="0.25">
      <c r="A11051" s="2">
        <v>11046</v>
      </c>
      <c r="B11051" s="3" t="str">
        <f>"00496446"</f>
        <v>00496446</v>
      </c>
    </row>
    <row r="11052" spans="1:2" x14ac:dyDescent="0.25">
      <c r="A11052" s="2">
        <v>11047</v>
      </c>
      <c r="B11052" s="3" t="str">
        <f>"00496456"</f>
        <v>00496456</v>
      </c>
    </row>
    <row r="11053" spans="1:2" x14ac:dyDescent="0.25">
      <c r="A11053" s="2">
        <v>11048</v>
      </c>
      <c r="B11053" s="3" t="str">
        <f>"00496528"</f>
        <v>00496528</v>
      </c>
    </row>
    <row r="11054" spans="1:2" x14ac:dyDescent="0.25">
      <c r="A11054" s="2">
        <v>11049</v>
      </c>
      <c r="B11054" s="3" t="str">
        <f>"00496550"</f>
        <v>00496550</v>
      </c>
    </row>
    <row r="11055" spans="1:2" x14ac:dyDescent="0.25">
      <c r="A11055" s="2">
        <v>11050</v>
      </c>
      <c r="B11055" s="3" t="str">
        <f>"00496623"</f>
        <v>00496623</v>
      </c>
    </row>
    <row r="11056" spans="1:2" x14ac:dyDescent="0.25">
      <c r="A11056" s="2">
        <v>11051</v>
      </c>
      <c r="B11056" s="3" t="str">
        <f>"00496635"</f>
        <v>00496635</v>
      </c>
    </row>
    <row r="11057" spans="1:2" x14ac:dyDescent="0.25">
      <c r="A11057" s="2">
        <v>11052</v>
      </c>
      <c r="B11057" s="3" t="str">
        <f>"00496682"</f>
        <v>00496682</v>
      </c>
    </row>
    <row r="11058" spans="1:2" x14ac:dyDescent="0.25">
      <c r="A11058" s="2">
        <v>11053</v>
      </c>
      <c r="B11058" s="3" t="str">
        <f>"00496777"</f>
        <v>00496777</v>
      </c>
    </row>
    <row r="11059" spans="1:2" x14ac:dyDescent="0.25">
      <c r="A11059" s="2">
        <v>11054</v>
      </c>
      <c r="B11059" s="3" t="str">
        <f>"00496798"</f>
        <v>00496798</v>
      </c>
    </row>
    <row r="11060" spans="1:2" x14ac:dyDescent="0.25">
      <c r="A11060" s="2">
        <v>11055</v>
      </c>
      <c r="B11060" s="3" t="str">
        <f>"00496801"</f>
        <v>00496801</v>
      </c>
    </row>
    <row r="11061" spans="1:2" x14ac:dyDescent="0.25">
      <c r="A11061" s="2">
        <v>11056</v>
      </c>
      <c r="B11061" s="3" t="str">
        <f>"00496804"</f>
        <v>00496804</v>
      </c>
    </row>
    <row r="11062" spans="1:2" x14ac:dyDescent="0.25">
      <c r="A11062" s="2">
        <v>11057</v>
      </c>
      <c r="B11062" s="3" t="str">
        <f>"00496814"</f>
        <v>00496814</v>
      </c>
    </row>
    <row r="11063" spans="1:2" x14ac:dyDescent="0.25">
      <c r="A11063" s="2">
        <v>11058</v>
      </c>
      <c r="B11063" s="3" t="str">
        <f>"00496826"</f>
        <v>00496826</v>
      </c>
    </row>
    <row r="11064" spans="1:2" x14ac:dyDescent="0.25">
      <c r="A11064" s="2">
        <v>11059</v>
      </c>
      <c r="B11064" s="3" t="str">
        <f>"00496846"</f>
        <v>00496846</v>
      </c>
    </row>
    <row r="11065" spans="1:2" x14ac:dyDescent="0.25">
      <c r="A11065" s="2">
        <v>11060</v>
      </c>
      <c r="B11065" s="3" t="str">
        <f>"00496857"</f>
        <v>00496857</v>
      </c>
    </row>
    <row r="11066" spans="1:2" x14ac:dyDescent="0.25">
      <c r="A11066" s="2">
        <v>11061</v>
      </c>
      <c r="B11066" s="3" t="str">
        <f>"00496877"</f>
        <v>00496877</v>
      </c>
    </row>
    <row r="11067" spans="1:2" x14ac:dyDescent="0.25">
      <c r="A11067" s="2">
        <v>11062</v>
      </c>
      <c r="B11067" s="3" t="str">
        <f>"00496883"</f>
        <v>00496883</v>
      </c>
    </row>
    <row r="11068" spans="1:2" x14ac:dyDescent="0.25">
      <c r="A11068" s="2">
        <v>11063</v>
      </c>
      <c r="B11068" s="3" t="str">
        <f>"00496907"</f>
        <v>00496907</v>
      </c>
    </row>
    <row r="11069" spans="1:2" x14ac:dyDescent="0.25">
      <c r="A11069" s="2">
        <v>11064</v>
      </c>
      <c r="B11069" s="3" t="str">
        <f>"00496926"</f>
        <v>00496926</v>
      </c>
    </row>
    <row r="11070" spans="1:2" x14ac:dyDescent="0.25">
      <c r="A11070" s="2">
        <v>11065</v>
      </c>
      <c r="B11070" s="3" t="str">
        <f>"00496956"</f>
        <v>00496956</v>
      </c>
    </row>
    <row r="11071" spans="1:2" x14ac:dyDescent="0.25">
      <c r="A11071" s="2">
        <v>11066</v>
      </c>
      <c r="B11071" s="3" t="str">
        <f>"00496959"</f>
        <v>00496959</v>
      </c>
    </row>
    <row r="11072" spans="1:2" x14ac:dyDescent="0.25">
      <c r="A11072" s="2">
        <v>11067</v>
      </c>
      <c r="B11072" s="3" t="str">
        <f>"00496966"</f>
        <v>00496966</v>
      </c>
    </row>
    <row r="11073" spans="1:2" x14ac:dyDescent="0.25">
      <c r="A11073" s="2">
        <v>11068</v>
      </c>
      <c r="B11073" s="3" t="str">
        <f>"00497016"</f>
        <v>00497016</v>
      </c>
    </row>
    <row r="11074" spans="1:2" x14ac:dyDescent="0.25">
      <c r="A11074" s="2">
        <v>11069</v>
      </c>
      <c r="B11074" s="3" t="str">
        <f>"00497026"</f>
        <v>00497026</v>
      </c>
    </row>
    <row r="11075" spans="1:2" x14ac:dyDescent="0.25">
      <c r="A11075" s="2">
        <v>11070</v>
      </c>
      <c r="B11075" s="3" t="str">
        <f>"00497109"</f>
        <v>00497109</v>
      </c>
    </row>
    <row r="11076" spans="1:2" x14ac:dyDescent="0.25">
      <c r="A11076" s="2">
        <v>11071</v>
      </c>
      <c r="B11076" s="3" t="str">
        <f>"00497171"</f>
        <v>00497171</v>
      </c>
    </row>
    <row r="11077" spans="1:2" x14ac:dyDescent="0.25">
      <c r="A11077" s="2">
        <v>11072</v>
      </c>
      <c r="B11077" s="3" t="str">
        <f>"00497209"</f>
        <v>00497209</v>
      </c>
    </row>
    <row r="11078" spans="1:2" x14ac:dyDescent="0.25">
      <c r="A11078" s="2">
        <v>11073</v>
      </c>
      <c r="B11078" s="3" t="str">
        <f>"00497214"</f>
        <v>00497214</v>
      </c>
    </row>
    <row r="11079" spans="1:2" x14ac:dyDescent="0.25">
      <c r="A11079" s="2">
        <v>11074</v>
      </c>
      <c r="B11079" s="3" t="str">
        <f>"00497227"</f>
        <v>00497227</v>
      </c>
    </row>
    <row r="11080" spans="1:2" x14ac:dyDescent="0.25">
      <c r="A11080" s="2">
        <v>11075</v>
      </c>
      <c r="B11080" s="3" t="str">
        <f>"00497254"</f>
        <v>00497254</v>
      </c>
    </row>
    <row r="11081" spans="1:2" x14ac:dyDescent="0.25">
      <c r="A11081" s="2">
        <v>11076</v>
      </c>
      <c r="B11081" s="3" t="str">
        <f>"00497303"</f>
        <v>00497303</v>
      </c>
    </row>
    <row r="11082" spans="1:2" x14ac:dyDescent="0.25">
      <c r="A11082" s="2">
        <v>11077</v>
      </c>
      <c r="B11082" s="3" t="str">
        <f>"00497304"</f>
        <v>00497304</v>
      </c>
    </row>
    <row r="11083" spans="1:2" x14ac:dyDescent="0.25">
      <c r="A11083" s="2">
        <v>11078</v>
      </c>
      <c r="B11083" s="3" t="str">
        <f>"00497351"</f>
        <v>00497351</v>
      </c>
    </row>
    <row r="11084" spans="1:2" x14ac:dyDescent="0.25">
      <c r="A11084" s="2">
        <v>11079</v>
      </c>
      <c r="B11084" s="3" t="str">
        <f>"00497413"</f>
        <v>00497413</v>
      </c>
    </row>
    <row r="11085" spans="1:2" x14ac:dyDescent="0.25">
      <c r="A11085" s="2">
        <v>11080</v>
      </c>
      <c r="B11085" s="3" t="str">
        <f>"00497430"</f>
        <v>00497430</v>
      </c>
    </row>
    <row r="11086" spans="1:2" x14ac:dyDescent="0.25">
      <c r="A11086" s="2">
        <v>11081</v>
      </c>
      <c r="B11086" s="3" t="str">
        <f>"00497442"</f>
        <v>00497442</v>
      </c>
    </row>
    <row r="11087" spans="1:2" x14ac:dyDescent="0.25">
      <c r="A11087" s="2">
        <v>11082</v>
      </c>
      <c r="B11087" s="3" t="str">
        <f>"00497482"</f>
        <v>00497482</v>
      </c>
    </row>
    <row r="11088" spans="1:2" x14ac:dyDescent="0.25">
      <c r="A11088" s="2">
        <v>11083</v>
      </c>
      <c r="B11088" s="3" t="str">
        <f>"00497488"</f>
        <v>00497488</v>
      </c>
    </row>
    <row r="11089" spans="1:2" x14ac:dyDescent="0.25">
      <c r="A11089" s="2">
        <v>11084</v>
      </c>
      <c r="B11089" s="3" t="str">
        <f>"00497490"</f>
        <v>00497490</v>
      </c>
    </row>
    <row r="11090" spans="1:2" x14ac:dyDescent="0.25">
      <c r="A11090" s="2">
        <v>11085</v>
      </c>
      <c r="B11090" s="3" t="str">
        <f>"00497548"</f>
        <v>00497548</v>
      </c>
    </row>
    <row r="11091" spans="1:2" x14ac:dyDescent="0.25">
      <c r="A11091" s="2">
        <v>11086</v>
      </c>
      <c r="B11091" s="3" t="str">
        <f>"00497585"</f>
        <v>00497585</v>
      </c>
    </row>
    <row r="11092" spans="1:2" x14ac:dyDescent="0.25">
      <c r="A11092" s="2">
        <v>11087</v>
      </c>
      <c r="B11092" s="3" t="str">
        <f>"00497596"</f>
        <v>00497596</v>
      </c>
    </row>
    <row r="11093" spans="1:2" x14ac:dyDescent="0.25">
      <c r="A11093" s="2">
        <v>11088</v>
      </c>
      <c r="B11093" s="3" t="str">
        <f>"00497634"</f>
        <v>00497634</v>
      </c>
    </row>
    <row r="11094" spans="1:2" x14ac:dyDescent="0.25">
      <c r="A11094" s="2">
        <v>11089</v>
      </c>
      <c r="B11094" s="3" t="str">
        <f>"00497696"</f>
        <v>00497696</v>
      </c>
    </row>
    <row r="11095" spans="1:2" x14ac:dyDescent="0.25">
      <c r="A11095" s="2">
        <v>11090</v>
      </c>
      <c r="B11095" s="3" t="str">
        <f>"00497699"</f>
        <v>00497699</v>
      </c>
    </row>
    <row r="11096" spans="1:2" x14ac:dyDescent="0.25">
      <c r="A11096" s="2">
        <v>11091</v>
      </c>
      <c r="B11096" s="3" t="str">
        <f>"00497773"</f>
        <v>00497773</v>
      </c>
    </row>
    <row r="11097" spans="1:2" x14ac:dyDescent="0.25">
      <c r="A11097" s="2">
        <v>11092</v>
      </c>
      <c r="B11097" s="3" t="str">
        <f>"00497794"</f>
        <v>00497794</v>
      </c>
    </row>
    <row r="11098" spans="1:2" x14ac:dyDescent="0.25">
      <c r="A11098" s="2">
        <v>11093</v>
      </c>
      <c r="B11098" s="3" t="str">
        <f>"00497814"</f>
        <v>00497814</v>
      </c>
    </row>
    <row r="11099" spans="1:2" x14ac:dyDescent="0.25">
      <c r="A11099" s="2">
        <v>11094</v>
      </c>
      <c r="B11099" s="3" t="str">
        <f>"00497851"</f>
        <v>00497851</v>
      </c>
    </row>
    <row r="11100" spans="1:2" x14ac:dyDescent="0.25">
      <c r="A11100" s="2">
        <v>11095</v>
      </c>
      <c r="B11100" s="3" t="str">
        <f>"00497860"</f>
        <v>00497860</v>
      </c>
    </row>
    <row r="11101" spans="1:2" x14ac:dyDescent="0.25">
      <c r="A11101" s="2">
        <v>11096</v>
      </c>
      <c r="B11101" s="3" t="str">
        <f>"00497886"</f>
        <v>00497886</v>
      </c>
    </row>
    <row r="11102" spans="1:2" x14ac:dyDescent="0.25">
      <c r="A11102" s="2">
        <v>11097</v>
      </c>
      <c r="B11102" s="3" t="str">
        <f>"00497902"</f>
        <v>00497902</v>
      </c>
    </row>
    <row r="11103" spans="1:2" x14ac:dyDescent="0.25">
      <c r="A11103" s="2">
        <v>11098</v>
      </c>
      <c r="B11103" s="3" t="str">
        <f>"00497928"</f>
        <v>00497928</v>
      </c>
    </row>
    <row r="11104" spans="1:2" x14ac:dyDescent="0.25">
      <c r="A11104" s="2">
        <v>11099</v>
      </c>
      <c r="B11104" s="3" t="str">
        <f>"00497992"</f>
        <v>00497992</v>
      </c>
    </row>
    <row r="11105" spans="1:2" x14ac:dyDescent="0.25">
      <c r="A11105" s="2">
        <v>11100</v>
      </c>
      <c r="B11105" s="3" t="str">
        <f>"00498027"</f>
        <v>00498027</v>
      </c>
    </row>
    <row r="11106" spans="1:2" x14ac:dyDescent="0.25">
      <c r="A11106" s="2">
        <v>11101</v>
      </c>
      <c r="B11106" s="3" t="str">
        <f>"00498030"</f>
        <v>00498030</v>
      </c>
    </row>
    <row r="11107" spans="1:2" x14ac:dyDescent="0.25">
      <c r="A11107" s="2">
        <v>11102</v>
      </c>
      <c r="B11107" s="3" t="str">
        <f>"00498155"</f>
        <v>00498155</v>
      </c>
    </row>
    <row r="11108" spans="1:2" x14ac:dyDescent="0.25">
      <c r="A11108" s="2">
        <v>11103</v>
      </c>
      <c r="B11108" s="3" t="str">
        <f>"00498203"</f>
        <v>00498203</v>
      </c>
    </row>
    <row r="11109" spans="1:2" x14ac:dyDescent="0.25">
      <c r="A11109" s="2">
        <v>11104</v>
      </c>
      <c r="B11109" s="3" t="str">
        <f>"00498212"</f>
        <v>00498212</v>
      </c>
    </row>
    <row r="11110" spans="1:2" x14ac:dyDescent="0.25">
      <c r="A11110" s="2">
        <v>11105</v>
      </c>
      <c r="B11110" s="3" t="str">
        <f>"00498213"</f>
        <v>00498213</v>
      </c>
    </row>
    <row r="11111" spans="1:2" x14ac:dyDescent="0.25">
      <c r="A11111" s="2">
        <v>11106</v>
      </c>
      <c r="B11111" s="3" t="str">
        <f>"00498250"</f>
        <v>00498250</v>
      </c>
    </row>
    <row r="11112" spans="1:2" x14ac:dyDescent="0.25">
      <c r="A11112" s="2">
        <v>11107</v>
      </c>
      <c r="B11112" s="3" t="str">
        <f>"00498274"</f>
        <v>00498274</v>
      </c>
    </row>
    <row r="11113" spans="1:2" x14ac:dyDescent="0.25">
      <c r="A11113" s="2">
        <v>11108</v>
      </c>
      <c r="B11113" s="3" t="str">
        <f>"00498281"</f>
        <v>00498281</v>
      </c>
    </row>
    <row r="11114" spans="1:2" x14ac:dyDescent="0.25">
      <c r="A11114" s="2">
        <v>11109</v>
      </c>
      <c r="B11114" s="3" t="str">
        <f>"00498298"</f>
        <v>00498298</v>
      </c>
    </row>
    <row r="11115" spans="1:2" x14ac:dyDescent="0.25">
      <c r="A11115" s="2">
        <v>11110</v>
      </c>
      <c r="B11115" s="3" t="str">
        <f>"00498309"</f>
        <v>00498309</v>
      </c>
    </row>
    <row r="11116" spans="1:2" x14ac:dyDescent="0.25">
      <c r="A11116" s="2">
        <v>11111</v>
      </c>
      <c r="B11116" s="3" t="str">
        <f>"00498314"</f>
        <v>00498314</v>
      </c>
    </row>
    <row r="11117" spans="1:2" x14ac:dyDescent="0.25">
      <c r="A11117" s="2">
        <v>11112</v>
      </c>
      <c r="B11117" s="3" t="str">
        <f>"00498378"</f>
        <v>00498378</v>
      </c>
    </row>
    <row r="11118" spans="1:2" x14ac:dyDescent="0.25">
      <c r="A11118" s="2">
        <v>11113</v>
      </c>
      <c r="B11118" s="3" t="str">
        <f>"00498395"</f>
        <v>00498395</v>
      </c>
    </row>
    <row r="11119" spans="1:2" x14ac:dyDescent="0.25">
      <c r="A11119" s="2">
        <v>11114</v>
      </c>
      <c r="B11119" s="3" t="str">
        <f>"00498400"</f>
        <v>00498400</v>
      </c>
    </row>
    <row r="11120" spans="1:2" x14ac:dyDescent="0.25">
      <c r="A11120" s="2">
        <v>11115</v>
      </c>
      <c r="B11120" s="3" t="str">
        <f>"00498408"</f>
        <v>00498408</v>
      </c>
    </row>
    <row r="11121" spans="1:2" x14ac:dyDescent="0.25">
      <c r="A11121" s="2">
        <v>11116</v>
      </c>
      <c r="B11121" s="3" t="str">
        <f>"00498420"</f>
        <v>00498420</v>
      </c>
    </row>
    <row r="11122" spans="1:2" x14ac:dyDescent="0.25">
      <c r="A11122" s="2">
        <v>11117</v>
      </c>
      <c r="B11122" s="3" t="str">
        <f>"00498427"</f>
        <v>00498427</v>
      </c>
    </row>
    <row r="11123" spans="1:2" x14ac:dyDescent="0.25">
      <c r="A11123" s="2">
        <v>11118</v>
      </c>
      <c r="B11123" s="3" t="str">
        <f>"00498429"</f>
        <v>00498429</v>
      </c>
    </row>
    <row r="11124" spans="1:2" x14ac:dyDescent="0.25">
      <c r="A11124" s="2">
        <v>11119</v>
      </c>
      <c r="B11124" s="3" t="str">
        <f>"00498447"</f>
        <v>00498447</v>
      </c>
    </row>
    <row r="11125" spans="1:2" x14ac:dyDescent="0.25">
      <c r="A11125" s="2">
        <v>11120</v>
      </c>
      <c r="B11125" s="3" t="str">
        <f>"00498449"</f>
        <v>00498449</v>
      </c>
    </row>
    <row r="11126" spans="1:2" x14ac:dyDescent="0.25">
      <c r="A11126" s="2">
        <v>11121</v>
      </c>
      <c r="B11126" s="3" t="str">
        <f>"00498489"</f>
        <v>00498489</v>
      </c>
    </row>
    <row r="11127" spans="1:2" x14ac:dyDescent="0.25">
      <c r="A11127" s="2">
        <v>11122</v>
      </c>
      <c r="B11127" s="3" t="str">
        <f>"00498496"</f>
        <v>00498496</v>
      </c>
    </row>
    <row r="11128" spans="1:2" x14ac:dyDescent="0.25">
      <c r="A11128" s="2">
        <v>11123</v>
      </c>
      <c r="B11128" s="3" t="str">
        <f>"00498503"</f>
        <v>00498503</v>
      </c>
    </row>
    <row r="11129" spans="1:2" x14ac:dyDescent="0.25">
      <c r="A11129" s="2">
        <v>11124</v>
      </c>
      <c r="B11129" s="3" t="str">
        <f>"00498504"</f>
        <v>00498504</v>
      </c>
    </row>
    <row r="11130" spans="1:2" x14ac:dyDescent="0.25">
      <c r="A11130" s="2">
        <v>11125</v>
      </c>
      <c r="B11130" s="3" t="str">
        <f>"00498508"</f>
        <v>00498508</v>
      </c>
    </row>
    <row r="11131" spans="1:2" x14ac:dyDescent="0.25">
      <c r="A11131" s="2">
        <v>11126</v>
      </c>
      <c r="B11131" s="3" t="str">
        <f>"00498529"</f>
        <v>00498529</v>
      </c>
    </row>
    <row r="11132" spans="1:2" x14ac:dyDescent="0.25">
      <c r="A11132" s="2">
        <v>11127</v>
      </c>
      <c r="B11132" s="3" t="str">
        <f>"00498581"</f>
        <v>00498581</v>
      </c>
    </row>
    <row r="11133" spans="1:2" x14ac:dyDescent="0.25">
      <c r="A11133" s="2">
        <v>11128</v>
      </c>
      <c r="B11133" s="3" t="str">
        <f>"00498599"</f>
        <v>00498599</v>
      </c>
    </row>
    <row r="11134" spans="1:2" x14ac:dyDescent="0.25">
      <c r="A11134" s="2">
        <v>11129</v>
      </c>
      <c r="B11134" s="3" t="str">
        <f>"00498607"</f>
        <v>00498607</v>
      </c>
    </row>
    <row r="11135" spans="1:2" x14ac:dyDescent="0.25">
      <c r="A11135" s="2">
        <v>11130</v>
      </c>
      <c r="B11135" s="3" t="str">
        <f>"00498619"</f>
        <v>00498619</v>
      </c>
    </row>
    <row r="11136" spans="1:2" x14ac:dyDescent="0.25">
      <c r="A11136" s="2">
        <v>11131</v>
      </c>
      <c r="B11136" s="3" t="str">
        <f>"00498622"</f>
        <v>00498622</v>
      </c>
    </row>
    <row r="11137" spans="1:2" x14ac:dyDescent="0.25">
      <c r="A11137" s="2">
        <v>11132</v>
      </c>
      <c r="B11137" s="3" t="str">
        <f>"00498629"</f>
        <v>00498629</v>
      </c>
    </row>
    <row r="11138" spans="1:2" x14ac:dyDescent="0.25">
      <c r="A11138" s="2">
        <v>11133</v>
      </c>
      <c r="B11138" s="3" t="str">
        <f>"00498665"</f>
        <v>00498665</v>
      </c>
    </row>
    <row r="11139" spans="1:2" x14ac:dyDescent="0.25">
      <c r="A11139" s="2">
        <v>11134</v>
      </c>
      <c r="B11139" s="3" t="str">
        <f>"00498673"</f>
        <v>00498673</v>
      </c>
    </row>
    <row r="11140" spans="1:2" x14ac:dyDescent="0.25">
      <c r="A11140" s="2">
        <v>11135</v>
      </c>
      <c r="B11140" s="3" t="str">
        <f>"00498698"</f>
        <v>00498698</v>
      </c>
    </row>
    <row r="11141" spans="1:2" x14ac:dyDescent="0.25">
      <c r="A11141" s="2">
        <v>11136</v>
      </c>
      <c r="B11141" s="3" t="str">
        <f>"00498703"</f>
        <v>00498703</v>
      </c>
    </row>
    <row r="11142" spans="1:2" x14ac:dyDescent="0.25">
      <c r="A11142" s="2">
        <v>11137</v>
      </c>
      <c r="B11142" s="3" t="str">
        <f>"00498729"</f>
        <v>00498729</v>
      </c>
    </row>
    <row r="11143" spans="1:2" x14ac:dyDescent="0.25">
      <c r="A11143" s="2">
        <v>11138</v>
      </c>
      <c r="B11143" s="3" t="str">
        <f>"00498808"</f>
        <v>00498808</v>
      </c>
    </row>
    <row r="11144" spans="1:2" x14ac:dyDescent="0.25">
      <c r="A11144" s="2">
        <v>11139</v>
      </c>
      <c r="B11144" s="3" t="str">
        <f>"00498899"</f>
        <v>00498899</v>
      </c>
    </row>
    <row r="11145" spans="1:2" x14ac:dyDescent="0.25">
      <c r="A11145" s="2">
        <v>11140</v>
      </c>
      <c r="B11145" s="3" t="str">
        <f>"00498965"</f>
        <v>00498965</v>
      </c>
    </row>
    <row r="11146" spans="1:2" x14ac:dyDescent="0.25">
      <c r="A11146" s="2">
        <v>11141</v>
      </c>
      <c r="B11146" s="3" t="str">
        <f>"00498971"</f>
        <v>00498971</v>
      </c>
    </row>
    <row r="11147" spans="1:2" x14ac:dyDescent="0.25">
      <c r="A11147" s="2">
        <v>11142</v>
      </c>
      <c r="B11147" s="3" t="str">
        <f>"00498982"</f>
        <v>00498982</v>
      </c>
    </row>
    <row r="11148" spans="1:2" x14ac:dyDescent="0.25">
      <c r="A11148" s="2">
        <v>11143</v>
      </c>
      <c r="B11148" s="3" t="str">
        <f>"00499015"</f>
        <v>00499015</v>
      </c>
    </row>
    <row r="11149" spans="1:2" x14ac:dyDescent="0.25">
      <c r="A11149" s="2">
        <v>11144</v>
      </c>
      <c r="B11149" s="3" t="str">
        <f>"00499028"</f>
        <v>00499028</v>
      </c>
    </row>
    <row r="11150" spans="1:2" x14ac:dyDescent="0.25">
      <c r="A11150" s="2">
        <v>11145</v>
      </c>
      <c r="B11150" s="3" t="str">
        <f>"00499048"</f>
        <v>00499048</v>
      </c>
    </row>
    <row r="11151" spans="1:2" x14ac:dyDescent="0.25">
      <c r="A11151" s="2">
        <v>11146</v>
      </c>
      <c r="B11151" s="3" t="str">
        <f>"00499067"</f>
        <v>00499067</v>
      </c>
    </row>
    <row r="11152" spans="1:2" x14ac:dyDescent="0.25">
      <c r="A11152" s="2">
        <v>11147</v>
      </c>
      <c r="B11152" s="3" t="str">
        <f>"00499083"</f>
        <v>00499083</v>
      </c>
    </row>
    <row r="11153" spans="1:2" x14ac:dyDescent="0.25">
      <c r="A11153" s="2">
        <v>11148</v>
      </c>
      <c r="B11153" s="3" t="str">
        <f>"00499087"</f>
        <v>00499087</v>
      </c>
    </row>
    <row r="11154" spans="1:2" x14ac:dyDescent="0.25">
      <c r="A11154" s="2">
        <v>11149</v>
      </c>
      <c r="B11154" s="3" t="str">
        <f>"00499116"</f>
        <v>00499116</v>
      </c>
    </row>
    <row r="11155" spans="1:2" x14ac:dyDescent="0.25">
      <c r="A11155" s="2">
        <v>11150</v>
      </c>
      <c r="B11155" s="3" t="str">
        <f>"00499197"</f>
        <v>00499197</v>
      </c>
    </row>
    <row r="11156" spans="1:2" x14ac:dyDescent="0.25">
      <c r="A11156" s="2">
        <v>11151</v>
      </c>
      <c r="B11156" s="3" t="str">
        <f>"00499198"</f>
        <v>00499198</v>
      </c>
    </row>
    <row r="11157" spans="1:2" x14ac:dyDescent="0.25">
      <c r="A11157" s="2">
        <v>11152</v>
      </c>
      <c r="B11157" s="3" t="str">
        <f>"00499275"</f>
        <v>00499275</v>
      </c>
    </row>
    <row r="11158" spans="1:2" x14ac:dyDescent="0.25">
      <c r="A11158" s="2">
        <v>11153</v>
      </c>
      <c r="B11158" s="3" t="str">
        <f>"00499279"</f>
        <v>00499279</v>
      </c>
    </row>
    <row r="11159" spans="1:2" x14ac:dyDescent="0.25">
      <c r="A11159" s="2">
        <v>11154</v>
      </c>
      <c r="B11159" s="3" t="str">
        <f>"00499309"</f>
        <v>00499309</v>
      </c>
    </row>
    <row r="11160" spans="1:2" x14ac:dyDescent="0.25">
      <c r="A11160" s="2">
        <v>11155</v>
      </c>
      <c r="B11160" s="3" t="str">
        <f>"00499328"</f>
        <v>00499328</v>
      </c>
    </row>
    <row r="11161" spans="1:2" x14ac:dyDescent="0.25">
      <c r="A11161" s="2">
        <v>11156</v>
      </c>
      <c r="B11161" s="3" t="str">
        <f>"00499350"</f>
        <v>00499350</v>
      </c>
    </row>
    <row r="11162" spans="1:2" x14ac:dyDescent="0.25">
      <c r="A11162" s="2">
        <v>11157</v>
      </c>
      <c r="B11162" s="3" t="str">
        <f>"00499356"</f>
        <v>00499356</v>
      </c>
    </row>
    <row r="11163" spans="1:2" x14ac:dyDescent="0.25">
      <c r="A11163" s="2">
        <v>11158</v>
      </c>
      <c r="B11163" s="3" t="str">
        <f>"00499366"</f>
        <v>00499366</v>
      </c>
    </row>
    <row r="11164" spans="1:2" x14ac:dyDescent="0.25">
      <c r="A11164" s="2">
        <v>11159</v>
      </c>
      <c r="B11164" s="3" t="str">
        <f>"00499460"</f>
        <v>00499460</v>
      </c>
    </row>
    <row r="11165" spans="1:2" x14ac:dyDescent="0.25">
      <c r="A11165" s="2">
        <v>11160</v>
      </c>
      <c r="B11165" s="3" t="str">
        <f>"00499485"</f>
        <v>00499485</v>
      </c>
    </row>
    <row r="11166" spans="1:2" x14ac:dyDescent="0.25">
      <c r="A11166" s="2">
        <v>11161</v>
      </c>
      <c r="B11166" s="3" t="str">
        <f>"00499768"</f>
        <v>00499768</v>
      </c>
    </row>
    <row r="11167" spans="1:2" x14ac:dyDescent="0.25">
      <c r="A11167" s="2">
        <v>11162</v>
      </c>
      <c r="B11167" s="3" t="str">
        <f>"00499778"</f>
        <v>00499778</v>
      </c>
    </row>
    <row r="11168" spans="1:2" x14ac:dyDescent="0.25">
      <c r="A11168" s="2">
        <v>11163</v>
      </c>
      <c r="B11168" s="3" t="str">
        <f>"00499779"</f>
        <v>00499779</v>
      </c>
    </row>
    <row r="11169" spans="1:2" x14ac:dyDescent="0.25">
      <c r="A11169" s="2">
        <v>11164</v>
      </c>
      <c r="B11169" s="3" t="str">
        <f>"00499783"</f>
        <v>00499783</v>
      </c>
    </row>
    <row r="11170" spans="1:2" x14ac:dyDescent="0.25">
      <c r="A11170" s="2">
        <v>11165</v>
      </c>
      <c r="B11170" s="3" t="str">
        <f>"00499834"</f>
        <v>00499834</v>
      </c>
    </row>
    <row r="11171" spans="1:2" x14ac:dyDescent="0.25">
      <c r="A11171" s="2">
        <v>11166</v>
      </c>
      <c r="B11171" s="3" t="str">
        <f>"00499838"</f>
        <v>00499838</v>
      </c>
    </row>
    <row r="11172" spans="1:2" x14ac:dyDescent="0.25">
      <c r="A11172" s="2">
        <v>11167</v>
      </c>
      <c r="B11172" s="3" t="str">
        <f>"00499840"</f>
        <v>00499840</v>
      </c>
    </row>
    <row r="11173" spans="1:2" x14ac:dyDescent="0.25">
      <c r="A11173" s="2">
        <v>11168</v>
      </c>
      <c r="B11173" s="3" t="str">
        <f>"00499903"</f>
        <v>00499903</v>
      </c>
    </row>
    <row r="11174" spans="1:2" x14ac:dyDescent="0.25">
      <c r="A11174" s="2">
        <v>11169</v>
      </c>
      <c r="B11174" s="3" t="str">
        <f>"00499920"</f>
        <v>00499920</v>
      </c>
    </row>
    <row r="11175" spans="1:2" x14ac:dyDescent="0.25">
      <c r="A11175" s="2">
        <v>11170</v>
      </c>
      <c r="B11175" s="3" t="str">
        <f>"00499951"</f>
        <v>00499951</v>
      </c>
    </row>
    <row r="11176" spans="1:2" x14ac:dyDescent="0.25">
      <c r="A11176" s="2">
        <v>11171</v>
      </c>
      <c r="B11176" s="3" t="str">
        <f>"00499964"</f>
        <v>00499964</v>
      </c>
    </row>
    <row r="11177" spans="1:2" x14ac:dyDescent="0.25">
      <c r="A11177" s="2">
        <v>11172</v>
      </c>
      <c r="B11177" s="3" t="str">
        <f>"00500042"</f>
        <v>00500042</v>
      </c>
    </row>
    <row r="11178" spans="1:2" x14ac:dyDescent="0.25">
      <c r="A11178" s="2">
        <v>11173</v>
      </c>
      <c r="B11178" s="3" t="str">
        <f>"00500085"</f>
        <v>00500085</v>
      </c>
    </row>
    <row r="11179" spans="1:2" x14ac:dyDescent="0.25">
      <c r="A11179" s="2">
        <v>11174</v>
      </c>
      <c r="B11179" s="3" t="str">
        <f>"00500105"</f>
        <v>00500105</v>
      </c>
    </row>
    <row r="11180" spans="1:2" x14ac:dyDescent="0.25">
      <c r="A11180" s="2">
        <v>11175</v>
      </c>
      <c r="B11180" s="3" t="str">
        <f>"00500222"</f>
        <v>00500222</v>
      </c>
    </row>
    <row r="11181" spans="1:2" x14ac:dyDescent="0.25">
      <c r="A11181" s="2">
        <v>11176</v>
      </c>
      <c r="B11181" s="3" t="str">
        <f>"00500227"</f>
        <v>00500227</v>
      </c>
    </row>
    <row r="11182" spans="1:2" x14ac:dyDescent="0.25">
      <c r="A11182" s="2">
        <v>11177</v>
      </c>
      <c r="B11182" s="3" t="str">
        <f>"00500272"</f>
        <v>00500272</v>
      </c>
    </row>
    <row r="11183" spans="1:2" x14ac:dyDescent="0.25">
      <c r="A11183" s="2">
        <v>11178</v>
      </c>
      <c r="B11183" s="3" t="str">
        <f>"00500283"</f>
        <v>00500283</v>
      </c>
    </row>
    <row r="11184" spans="1:2" x14ac:dyDescent="0.25">
      <c r="A11184" s="2">
        <v>11179</v>
      </c>
      <c r="B11184" s="3" t="str">
        <f>"00500290"</f>
        <v>00500290</v>
      </c>
    </row>
    <row r="11185" spans="1:2" x14ac:dyDescent="0.25">
      <c r="A11185" s="2">
        <v>11180</v>
      </c>
      <c r="B11185" s="3" t="str">
        <f>"00500302"</f>
        <v>00500302</v>
      </c>
    </row>
    <row r="11186" spans="1:2" x14ac:dyDescent="0.25">
      <c r="A11186" s="2">
        <v>11181</v>
      </c>
      <c r="B11186" s="3" t="str">
        <f>"00500339"</f>
        <v>00500339</v>
      </c>
    </row>
    <row r="11187" spans="1:2" x14ac:dyDescent="0.25">
      <c r="A11187" s="2">
        <v>11182</v>
      </c>
      <c r="B11187" s="3" t="str">
        <f>"00500341"</f>
        <v>00500341</v>
      </c>
    </row>
    <row r="11188" spans="1:2" x14ac:dyDescent="0.25">
      <c r="A11188" s="2">
        <v>11183</v>
      </c>
      <c r="B11188" s="3" t="str">
        <f>"00500375"</f>
        <v>00500375</v>
      </c>
    </row>
    <row r="11189" spans="1:2" x14ac:dyDescent="0.25">
      <c r="A11189" s="2">
        <v>11184</v>
      </c>
      <c r="B11189" s="3" t="str">
        <f>"00500408"</f>
        <v>00500408</v>
      </c>
    </row>
    <row r="11190" spans="1:2" x14ac:dyDescent="0.25">
      <c r="A11190" s="2">
        <v>11185</v>
      </c>
      <c r="B11190" s="3" t="str">
        <f>"00500470"</f>
        <v>00500470</v>
      </c>
    </row>
    <row r="11191" spans="1:2" x14ac:dyDescent="0.25">
      <c r="A11191" s="2">
        <v>11186</v>
      </c>
      <c r="B11191" s="3" t="str">
        <f>"00500524"</f>
        <v>00500524</v>
      </c>
    </row>
    <row r="11192" spans="1:2" x14ac:dyDescent="0.25">
      <c r="A11192" s="2">
        <v>11187</v>
      </c>
      <c r="B11192" s="3" t="str">
        <f>"00500601"</f>
        <v>00500601</v>
      </c>
    </row>
    <row r="11193" spans="1:2" x14ac:dyDescent="0.25">
      <c r="A11193" s="2">
        <v>11188</v>
      </c>
      <c r="B11193" s="3" t="str">
        <f>"00500618"</f>
        <v>00500618</v>
      </c>
    </row>
    <row r="11194" spans="1:2" x14ac:dyDescent="0.25">
      <c r="A11194" s="2">
        <v>11189</v>
      </c>
      <c r="B11194" s="3" t="str">
        <f>"00500641"</f>
        <v>00500641</v>
      </c>
    </row>
    <row r="11195" spans="1:2" x14ac:dyDescent="0.25">
      <c r="A11195" s="2">
        <v>11190</v>
      </c>
      <c r="B11195" s="3" t="str">
        <f>"00500662"</f>
        <v>00500662</v>
      </c>
    </row>
    <row r="11196" spans="1:2" x14ac:dyDescent="0.25">
      <c r="A11196" s="2">
        <v>11191</v>
      </c>
      <c r="B11196" s="3" t="str">
        <f>"00500733"</f>
        <v>00500733</v>
      </c>
    </row>
    <row r="11197" spans="1:2" x14ac:dyDescent="0.25">
      <c r="A11197" s="2">
        <v>11192</v>
      </c>
      <c r="B11197" s="3" t="str">
        <f>"00500792"</f>
        <v>00500792</v>
      </c>
    </row>
    <row r="11198" spans="1:2" x14ac:dyDescent="0.25">
      <c r="A11198" s="2">
        <v>11193</v>
      </c>
      <c r="B11198" s="3" t="str">
        <f>"00500794"</f>
        <v>00500794</v>
      </c>
    </row>
    <row r="11199" spans="1:2" x14ac:dyDescent="0.25">
      <c r="A11199" s="2">
        <v>11194</v>
      </c>
      <c r="B11199" s="3" t="str">
        <f>"00500807"</f>
        <v>00500807</v>
      </c>
    </row>
    <row r="11200" spans="1:2" x14ac:dyDescent="0.25">
      <c r="A11200" s="2">
        <v>11195</v>
      </c>
      <c r="B11200" s="3" t="str">
        <f>"00500837"</f>
        <v>00500837</v>
      </c>
    </row>
    <row r="11201" spans="1:2" x14ac:dyDescent="0.25">
      <c r="A11201" s="2">
        <v>11196</v>
      </c>
      <c r="B11201" s="3" t="str">
        <f>"00500873"</f>
        <v>00500873</v>
      </c>
    </row>
    <row r="11202" spans="1:2" x14ac:dyDescent="0.25">
      <c r="A11202" s="2">
        <v>11197</v>
      </c>
      <c r="B11202" s="3" t="str">
        <f>"00500888"</f>
        <v>00500888</v>
      </c>
    </row>
    <row r="11203" spans="1:2" x14ac:dyDescent="0.25">
      <c r="A11203" s="2">
        <v>11198</v>
      </c>
      <c r="B11203" s="3" t="str">
        <f>"00500934"</f>
        <v>00500934</v>
      </c>
    </row>
    <row r="11204" spans="1:2" x14ac:dyDescent="0.25">
      <c r="A11204" s="2">
        <v>11199</v>
      </c>
      <c r="B11204" s="3" t="str">
        <f>"00500947"</f>
        <v>00500947</v>
      </c>
    </row>
    <row r="11205" spans="1:2" x14ac:dyDescent="0.25">
      <c r="A11205" s="2">
        <v>11200</v>
      </c>
      <c r="B11205" s="3" t="str">
        <f>"00500962"</f>
        <v>00500962</v>
      </c>
    </row>
    <row r="11206" spans="1:2" x14ac:dyDescent="0.25">
      <c r="A11206" s="2">
        <v>11201</v>
      </c>
      <c r="B11206" s="3" t="str">
        <f>"00501002"</f>
        <v>00501002</v>
      </c>
    </row>
    <row r="11207" spans="1:2" x14ac:dyDescent="0.25">
      <c r="A11207" s="2">
        <v>11202</v>
      </c>
      <c r="B11207" s="3" t="str">
        <f>"00501006"</f>
        <v>00501006</v>
      </c>
    </row>
    <row r="11208" spans="1:2" x14ac:dyDescent="0.25">
      <c r="A11208" s="2">
        <v>11203</v>
      </c>
      <c r="B11208" s="3" t="str">
        <f>"00501108"</f>
        <v>00501108</v>
      </c>
    </row>
    <row r="11209" spans="1:2" x14ac:dyDescent="0.25">
      <c r="A11209" s="2">
        <v>11204</v>
      </c>
      <c r="B11209" s="3" t="str">
        <f>"00501126"</f>
        <v>00501126</v>
      </c>
    </row>
    <row r="11210" spans="1:2" x14ac:dyDescent="0.25">
      <c r="A11210" s="2">
        <v>11205</v>
      </c>
      <c r="B11210" s="3" t="str">
        <f>"00501137"</f>
        <v>00501137</v>
      </c>
    </row>
    <row r="11211" spans="1:2" x14ac:dyDescent="0.25">
      <c r="A11211" s="2">
        <v>11206</v>
      </c>
      <c r="B11211" s="3" t="str">
        <f>"00501183"</f>
        <v>00501183</v>
      </c>
    </row>
    <row r="11212" spans="1:2" x14ac:dyDescent="0.25">
      <c r="A11212" s="2">
        <v>11207</v>
      </c>
      <c r="B11212" s="3" t="str">
        <f>"00501253"</f>
        <v>00501253</v>
      </c>
    </row>
    <row r="11213" spans="1:2" x14ac:dyDescent="0.25">
      <c r="A11213" s="2">
        <v>11208</v>
      </c>
      <c r="B11213" s="3" t="str">
        <f>"00501361"</f>
        <v>00501361</v>
      </c>
    </row>
    <row r="11214" spans="1:2" x14ac:dyDescent="0.25">
      <c r="A11214" s="2">
        <v>11209</v>
      </c>
      <c r="B11214" s="3" t="str">
        <f>"00501385"</f>
        <v>00501385</v>
      </c>
    </row>
    <row r="11215" spans="1:2" x14ac:dyDescent="0.25">
      <c r="A11215" s="2">
        <v>11210</v>
      </c>
      <c r="B11215" s="3" t="str">
        <f>"00501401"</f>
        <v>00501401</v>
      </c>
    </row>
    <row r="11216" spans="1:2" x14ac:dyDescent="0.25">
      <c r="A11216" s="2">
        <v>11211</v>
      </c>
      <c r="B11216" s="3" t="str">
        <f>"00501493"</f>
        <v>00501493</v>
      </c>
    </row>
    <row r="11217" spans="1:2" x14ac:dyDescent="0.25">
      <c r="A11217" s="2">
        <v>11212</v>
      </c>
      <c r="B11217" s="3" t="str">
        <f>"00501517"</f>
        <v>00501517</v>
      </c>
    </row>
    <row r="11218" spans="1:2" x14ac:dyDescent="0.25">
      <c r="A11218" s="2">
        <v>11213</v>
      </c>
      <c r="B11218" s="3" t="str">
        <f>"00501554"</f>
        <v>00501554</v>
      </c>
    </row>
    <row r="11219" spans="1:2" x14ac:dyDescent="0.25">
      <c r="A11219" s="2">
        <v>11214</v>
      </c>
      <c r="B11219" s="3" t="str">
        <f>"00501557"</f>
        <v>00501557</v>
      </c>
    </row>
    <row r="11220" spans="1:2" x14ac:dyDescent="0.25">
      <c r="A11220" s="2">
        <v>11215</v>
      </c>
      <c r="B11220" s="3" t="str">
        <f>"00501560"</f>
        <v>00501560</v>
      </c>
    </row>
    <row r="11221" spans="1:2" x14ac:dyDescent="0.25">
      <c r="A11221" s="2">
        <v>11216</v>
      </c>
      <c r="B11221" s="3" t="str">
        <f>"00501577"</f>
        <v>00501577</v>
      </c>
    </row>
    <row r="11222" spans="1:2" x14ac:dyDescent="0.25">
      <c r="A11222" s="2">
        <v>11217</v>
      </c>
      <c r="B11222" s="3" t="str">
        <f>"00501613"</f>
        <v>00501613</v>
      </c>
    </row>
    <row r="11223" spans="1:2" x14ac:dyDescent="0.25">
      <c r="A11223" s="2">
        <v>11218</v>
      </c>
      <c r="B11223" s="3" t="str">
        <f>"00501675"</f>
        <v>00501675</v>
      </c>
    </row>
    <row r="11224" spans="1:2" x14ac:dyDescent="0.25">
      <c r="A11224" s="2">
        <v>11219</v>
      </c>
      <c r="B11224" s="3" t="str">
        <f>"00501682"</f>
        <v>00501682</v>
      </c>
    </row>
    <row r="11225" spans="1:2" x14ac:dyDescent="0.25">
      <c r="A11225" s="2">
        <v>11220</v>
      </c>
      <c r="B11225" s="3" t="str">
        <f>"00501692"</f>
        <v>00501692</v>
      </c>
    </row>
    <row r="11226" spans="1:2" x14ac:dyDescent="0.25">
      <c r="A11226" s="2">
        <v>11221</v>
      </c>
      <c r="B11226" s="3" t="str">
        <f>"00501694"</f>
        <v>00501694</v>
      </c>
    </row>
    <row r="11227" spans="1:2" x14ac:dyDescent="0.25">
      <c r="A11227" s="2">
        <v>11222</v>
      </c>
      <c r="B11227" s="3" t="str">
        <f>"00501699"</f>
        <v>00501699</v>
      </c>
    </row>
    <row r="11228" spans="1:2" x14ac:dyDescent="0.25">
      <c r="A11228" s="2">
        <v>11223</v>
      </c>
      <c r="B11228" s="3" t="str">
        <f>"00501712"</f>
        <v>00501712</v>
      </c>
    </row>
    <row r="11229" spans="1:2" x14ac:dyDescent="0.25">
      <c r="A11229" s="2">
        <v>11224</v>
      </c>
      <c r="B11229" s="3" t="str">
        <f>"00501714"</f>
        <v>00501714</v>
      </c>
    </row>
    <row r="11230" spans="1:2" x14ac:dyDescent="0.25">
      <c r="A11230" s="2">
        <v>11225</v>
      </c>
      <c r="B11230" s="3" t="str">
        <f>"00501734"</f>
        <v>00501734</v>
      </c>
    </row>
    <row r="11231" spans="1:2" x14ac:dyDescent="0.25">
      <c r="A11231" s="2">
        <v>11226</v>
      </c>
      <c r="B11231" s="3" t="str">
        <f>"00501776"</f>
        <v>00501776</v>
      </c>
    </row>
    <row r="11232" spans="1:2" x14ac:dyDescent="0.25">
      <c r="A11232" s="2">
        <v>11227</v>
      </c>
      <c r="B11232" s="3" t="str">
        <f>"00501783"</f>
        <v>00501783</v>
      </c>
    </row>
    <row r="11233" spans="1:2" x14ac:dyDescent="0.25">
      <c r="A11233" s="2">
        <v>11228</v>
      </c>
      <c r="B11233" s="3" t="str">
        <f>"00501827"</f>
        <v>00501827</v>
      </c>
    </row>
    <row r="11234" spans="1:2" x14ac:dyDescent="0.25">
      <c r="A11234" s="2">
        <v>11229</v>
      </c>
      <c r="B11234" s="3" t="str">
        <f>"00501832"</f>
        <v>00501832</v>
      </c>
    </row>
    <row r="11235" spans="1:2" x14ac:dyDescent="0.25">
      <c r="A11235" s="2">
        <v>11230</v>
      </c>
      <c r="B11235" s="3" t="str">
        <f>"00501866"</f>
        <v>00501866</v>
      </c>
    </row>
    <row r="11236" spans="1:2" x14ac:dyDescent="0.25">
      <c r="A11236" s="2">
        <v>11231</v>
      </c>
      <c r="B11236" s="3" t="str">
        <f>"00501898"</f>
        <v>00501898</v>
      </c>
    </row>
    <row r="11237" spans="1:2" x14ac:dyDescent="0.25">
      <c r="A11237" s="2">
        <v>11232</v>
      </c>
      <c r="B11237" s="3" t="str">
        <f>"00501939"</f>
        <v>00501939</v>
      </c>
    </row>
    <row r="11238" spans="1:2" x14ac:dyDescent="0.25">
      <c r="A11238" s="2">
        <v>11233</v>
      </c>
      <c r="B11238" s="3" t="str">
        <f>"00501970"</f>
        <v>00501970</v>
      </c>
    </row>
    <row r="11239" spans="1:2" x14ac:dyDescent="0.25">
      <c r="A11239" s="2">
        <v>11234</v>
      </c>
      <c r="B11239" s="3" t="str">
        <f>"00501999"</f>
        <v>00501999</v>
      </c>
    </row>
    <row r="11240" spans="1:2" x14ac:dyDescent="0.25">
      <c r="A11240" s="2">
        <v>11235</v>
      </c>
      <c r="B11240" s="3" t="str">
        <f>"00502009"</f>
        <v>00502009</v>
      </c>
    </row>
    <row r="11241" spans="1:2" x14ac:dyDescent="0.25">
      <c r="A11241" s="2">
        <v>11236</v>
      </c>
      <c r="B11241" s="3" t="str">
        <f>"00502049"</f>
        <v>00502049</v>
      </c>
    </row>
    <row r="11242" spans="1:2" x14ac:dyDescent="0.25">
      <c r="A11242" s="2">
        <v>11237</v>
      </c>
      <c r="B11242" s="3" t="str">
        <f>"00502054"</f>
        <v>00502054</v>
      </c>
    </row>
    <row r="11243" spans="1:2" x14ac:dyDescent="0.25">
      <c r="A11243" s="2">
        <v>11238</v>
      </c>
      <c r="B11243" s="3" t="str">
        <f>"00502079"</f>
        <v>00502079</v>
      </c>
    </row>
    <row r="11244" spans="1:2" x14ac:dyDescent="0.25">
      <c r="A11244" s="2">
        <v>11239</v>
      </c>
      <c r="B11244" s="3" t="str">
        <f>"00502087"</f>
        <v>00502087</v>
      </c>
    </row>
    <row r="11245" spans="1:2" x14ac:dyDescent="0.25">
      <c r="A11245" s="2">
        <v>11240</v>
      </c>
      <c r="B11245" s="3" t="str">
        <f>"00502158"</f>
        <v>00502158</v>
      </c>
    </row>
    <row r="11246" spans="1:2" x14ac:dyDescent="0.25">
      <c r="A11246" s="2">
        <v>11241</v>
      </c>
      <c r="B11246" s="3" t="str">
        <f>"00502170"</f>
        <v>00502170</v>
      </c>
    </row>
    <row r="11247" spans="1:2" x14ac:dyDescent="0.25">
      <c r="A11247" s="2">
        <v>11242</v>
      </c>
      <c r="B11247" s="3" t="str">
        <f>"00502254"</f>
        <v>00502254</v>
      </c>
    </row>
    <row r="11248" spans="1:2" x14ac:dyDescent="0.25">
      <c r="A11248" s="2">
        <v>11243</v>
      </c>
      <c r="B11248" s="3" t="str">
        <f>"00502272"</f>
        <v>00502272</v>
      </c>
    </row>
    <row r="11249" spans="1:2" x14ac:dyDescent="0.25">
      <c r="A11249" s="2">
        <v>11244</v>
      </c>
      <c r="B11249" s="3" t="str">
        <f>"00502300"</f>
        <v>00502300</v>
      </c>
    </row>
    <row r="11250" spans="1:2" x14ac:dyDescent="0.25">
      <c r="A11250" s="2">
        <v>11245</v>
      </c>
      <c r="B11250" s="3" t="str">
        <f>"00502339"</f>
        <v>00502339</v>
      </c>
    </row>
    <row r="11251" spans="1:2" x14ac:dyDescent="0.25">
      <c r="A11251" s="2">
        <v>11246</v>
      </c>
      <c r="B11251" s="3" t="str">
        <f>"00502365"</f>
        <v>00502365</v>
      </c>
    </row>
    <row r="11252" spans="1:2" x14ac:dyDescent="0.25">
      <c r="A11252" s="2">
        <v>11247</v>
      </c>
      <c r="B11252" s="3" t="str">
        <f>"00502390"</f>
        <v>00502390</v>
      </c>
    </row>
    <row r="11253" spans="1:2" x14ac:dyDescent="0.25">
      <c r="A11253" s="2">
        <v>11248</v>
      </c>
      <c r="B11253" s="3" t="str">
        <f>"00502421"</f>
        <v>00502421</v>
      </c>
    </row>
    <row r="11254" spans="1:2" x14ac:dyDescent="0.25">
      <c r="A11254" s="2">
        <v>11249</v>
      </c>
      <c r="B11254" s="3" t="str">
        <f>"00502439"</f>
        <v>00502439</v>
      </c>
    </row>
    <row r="11255" spans="1:2" x14ac:dyDescent="0.25">
      <c r="A11255" s="2">
        <v>11250</v>
      </c>
      <c r="B11255" s="3" t="str">
        <f>"00502523"</f>
        <v>00502523</v>
      </c>
    </row>
    <row r="11256" spans="1:2" x14ac:dyDescent="0.25">
      <c r="A11256" s="2">
        <v>11251</v>
      </c>
      <c r="B11256" s="3" t="str">
        <f>"00502615"</f>
        <v>00502615</v>
      </c>
    </row>
    <row r="11257" spans="1:2" x14ac:dyDescent="0.25">
      <c r="A11257" s="2">
        <v>11252</v>
      </c>
      <c r="B11257" s="3" t="str">
        <f>"00502717"</f>
        <v>00502717</v>
      </c>
    </row>
    <row r="11258" spans="1:2" x14ac:dyDescent="0.25">
      <c r="A11258" s="2">
        <v>11253</v>
      </c>
      <c r="B11258" s="3" t="str">
        <f>"00502737"</f>
        <v>00502737</v>
      </c>
    </row>
    <row r="11259" spans="1:2" x14ac:dyDescent="0.25">
      <c r="A11259" s="2">
        <v>11254</v>
      </c>
      <c r="B11259" s="3" t="str">
        <f>"00502745"</f>
        <v>00502745</v>
      </c>
    </row>
    <row r="11260" spans="1:2" x14ac:dyDescent="0.25">
      <c r="A11260" s="2">
        <v>11255</v>
      </c>
      <c r="B11260" s="3" t="str">
        <f>"00502816"</f>
        <v>00502816</v>
      </c>
    </row>
    <row r="11261" spans="1:2" x14ac:dyDescent="0.25">
      <c r="A11261" s="2">
        <v>11256</v>
      </c>
      <c r="B11261" s="3" t="str">
        <f>"00502831"</f>
        <v>00502831</v>
      </c>
    </row>
    <row r="11262" spans="1:2" x14ac:dyDescent="0.25">
      <c r="A11262" s="2">
        <v>11257</v>
      </c>
      <c r="B11262" s="3" t="str">
        <f>"00502882"</f>
        <v>00502882</v>
      </c>
    </row>
    <row r="11263" spans="1:2" x14ac:dyDescent="0.25">
      <c r="A11263" s="2">
        <v>11258</v>
      </c>
      <c r="B11263" s="3" t="str">
        <f>"00502925"</f>
        <v>00502925</v>
      </c>
    </row>
    <row r="11264" spans="1:2" x14ac:dyDescent="0.25">
      <c r="A11264" s="2">
        <v>11259</v>
      </c>
      <c r="B11264" s="3" t="str">
        <f>"00502942"</f>
        <v>00502942</v>
      </c>
    </row>
    <row r="11265" spans="1:2" x14ac:dyDescent="0.25">
      <c r="A11265" s="2">
        <v>11260</v>
      </c>
      <c r="B11265" s="3" t="str">
        <f>"00502950"</f>
        <v>00502950</v>
      </c>
    </row>
    <row r="11266" spans="1:2" x14ac:dyDescent="0.25">
      <c r="A11266" s="2">
        <v>11261</v>
      </c>
      <c r="B11266" s="3" t="str">
        <f>"00502977"</f>
        <v>00502977</v>
      </c>
    </row>
    <row r="11267" spans="1:2" x14ac:dyDescent="0.25">
      <c r="A11267" s="2">
        <v>11262</v>
      </c>
      <c r="B11267" s="3" t="str">
        <f>"00502992"</f>
        <v>00502992</v>
      </c>
    </row>
    <row r="11268" spans="1:2" x14ac:dyDescent="0.25">
      <c r="A11268" s="2">
        <v>11263</v>
      </c>
      <c r="B11268" s="3" t="str">
        <f>"00503008"</f>
        <v>00503008</v>
      </c>
    </row>
    <row r="11269" spans="1:2" x14ac:dyDescent="0.25">
      <c r="A11269" s="2">
        <v>11264</v>
      </c>
      <c r="B11269" s="3" t="str">
        <f>"00503039"</f>
        <v>00503039</v>
      </c>
    </row>
    <row r="11270" spans="1:2" x14ac:dyDescent="0.25">
      <c r="A11270" s="2">
        <v>11265</v>
      </c>
      <c r="B11270" s="3" t="str">
        <f>"00503059"</f>
        <v>00503059</v>
      </c>
    </row>
    <row r="11271" spans="1:2" x14ac:dyDescent="0.25">
      <c r="A11271" s="2">
        <v>11266</v>
      </c>
      <c r="B11271" s="3" t="str">
        <f>"00503067"</f>
        <v>00503067</v>
      </c>
    </row>
    <row r="11272" spans="1:2" x14ac:dyDescent="0.25">
      <c r="A11272" s="2">
        <v>11267</v>
      </c>
      <c r="B11272" s="3" t="str">
        <f>"00503096"</f>
        <v>00503096</v>
      </c>
    </row>
    <row r="11273" spans="1:2" x14ac:dyDescent="0.25">
      <c r="A11273" s="2">
        <v>11268</v>
      </c>
      <c r="B11273" s="3" t="str">
        <f>"00503119"</f>
        <v>00503119</v>
      </c>
    </row>
    <row r="11274" spans="1:2" x14ac:dyDescent="0.25">
      <c r="A11274" s="2">
        <v>11269</v>
      </c>
      <c r="B11274" s="3" t="str">
        <f>"00503211"</f>
        <v>00503211</v>
      </c>
    </row>
    <row r="11275" spans="1:2" x14ac:dyDescent="0.25">
      <c r="A11275" s="2">
        <v>11270</v>
      </c>
      <c r="B11275" s="3" t="str">
        <f>"00503330"</f>
        <v>00503330</v>
      </c>
    </row>
    <row r="11276" spans="1:2" x14ac:dyDescent="0.25">
      <c r="A11276" s="2">
        <v>11271</v>
      </c>
      <c r="B11276" s="3" t="str">
        <f>"00503338"</f>
        <v>00503338</v>
      </c>
    </row>
    <row r="11277" spans="1:2" x14ac:dyDescent="0.25">
      <c r="A11277" s="2">
        <v>11272</v>
      </c>
      <c r="B11277" s="3" t="str">
        <f>"00503406"</f>
        <v>00503406</v>
      </c>
    </row>
    <row r="11278" spans="1:2" x14ac:dyDescent="0.25">
      <c r="A11278" s="2">
        <v>11273</v>
      </c>
      <c r="B11278" s="3" t="str">
        <f>"00503414"</f>
        <v>00503414</v>
      </c>
    </row>
    <row r="11279" spans="1:2" x14ac:dyDescent="0.25">
      <c r="A11279" s="2">
        <v>11274</v>
      </c>
      <c r="B11279" s="3" t="str">
        <f>"00503457"</f>
        <v>00503457</v>
      </c>
    </row>
    <row r="11280" spans="1:2" x14ac:dyDescent="0.25">
      <c r="A11280" s="2">
        <v>11275</v>
      </c>
      <c r="B11280" s="3" t="str">
        <f>"00503467"</f>
        <v>00503467</v>
      </c>
    </row>
    <row r="11281" spans="1:2" x14ac:dyDescent="0.25">
      <c r="A11281" s="2">
        <v>11276</v>
      </c>
      <c r="B11281" s="3" t="str">
        <f>"00503574"</f>
        <v>00503574</v>
      </c>
    </row>
    <row r="11282" spans="1:2" x14ac:dyDescent="0.25">
      <c r="A11282" s="2">
        <v>11277</v>
      </c>
      <c r="B11282" s="3" t="str">
        <f>"00503587"</f>
        <v>00503587</v>
      </c>
    </row>
    <row r="11283" spans="1:2" x14ac:dyDescent="0.25">
      <c r="A11283" s="2">
        <v>11278</v>
      </c>
      <c r="B11283" s="3" t="str">
        <f>"00503591"</f>
        <v>00503591</v>
      </c>
    </row>
    <row r="11284" spans="1:2" x14ac:dyDescent="0.25">
      <c r="A11284" s="2">
        <v>11279</v>
      </c>
      <c r="B11284" s="3" t="str">
        <f>"00503723"</f>
        <v>00503723</v>
      </c>
    </row>
    <row r="11285" spans="1:2" x14ac:dyDescent="0.25">
      <c r="A11285" s="2">
        <v>11280</v>
      </c>
      <c r="B11285" s="3" t="str">
        <f>"00503782"</f>
        <v>00503782</v>
      </c>
    </row>
    <row r="11286" spans="1:2" x14ac:dyDescent="0.25">
      <c r="A11286" s="2">
        <v>11281</v>
      </c>
      <c r="B11286" s="3" t="str">
        <f>"00503936"</f>
        <v>00503936</v>
      </c>
    </row>
    <row r="11287" spans="1:2" x14ac:dyDescent="0.25">
      <c r="A11287" s="2">
        <v>11282</v>
      </c>
      <c r="B11287" s="3" t="str">
        <f>"00503953"</f>
        <v>00503953</v>
      </c>
    </row>
    <row r="11288" spans="1:2" x14ac:dyDescent="0.25">
      <c r="A11288" s="2">
        <v>11283</v>
      </c>
      <c r="B11288" s="3" t="str">
        <f>"00504000"</f>
        <v>00504000</v>
      </c>
    </row>
    <row r="11289" spans="1:2" x14ac:dyDescent="0.25">
      <c r="A11289" s="2">
        <v>11284</v>
      </c>
      <c r="B11289" s="3" t="str">
        <f>"00504031"</f>
        <v>00504031</v>
      </c>
    </row>
    <row r="11290" spans="1:2" x14ac:dyDescent="0.25">
      <c r="A11290" s="2">
        <v>11285</v>
      </c>
      <c r="B11290" s="3" t="str">
        <f>"00504097"</f>
        <v>00504097</v>
      </c>
    </row>
    <row r="11291" spans="1:2" x14ac:dyDescent="0.25">
      <c r="A11291" s="2">
        <v>11286</v>
      </c>
      <c r="B11291" s="3" t="str">
        <f>"00504124"</f>
        <v>00504124</v>
      </c>
    </row>
    <row r="11292" spans="1:2" x14ac:dyDescent="0.25">
      <c r="A11292" s="2">
        <v>11287</v>
      </c>
      <c r="B11292" s="3" t="str">
        <f>"00504182"</f>
        <v>00504182</v>
      </c>
    </row>
    <row r="11293" spans="1:2" x14ac:dyDescent="0.25">
      <c r="A11293" s="2">
        <v>11288</v>
      </c>
      <c r="B11293" s="3" t="str">
        <f>"00504204"</f>
        <v>00504204</v>
      </c>
    </row>
    <row r="11294" spans="1:2" x14ac:dyDescent="0.25">
      <c r="A11294" s="2">
        <v>11289</v>
      </c>
      <c r="B11294" s="3" t="str">
        <f>"00504214"</f>
        <v>00504214</v>
      </c>
    </row>
    <row r="11295" spans="1:2" x14ac:dyDescent="0.25">
      <c r="A11295" s="2">
        <v>11290</v>
      </c>
      <c r="B11295" s="3" t="str">
        <f>"00504253"</f>
        <v>00504253</v>
      </c>
    </row>
    <row r="11296" spans="1:2" x14ac:dyDescent="0.25">
      <c r="A11296" s="2">
        <v>11291</v>
      </c>
      <c r="B11296" s="3" t="str">
        <f>"00504259"</f>
        <v>00504259</v>
      </c>
    </row>
    <row r="11297" spans="1:2" x14ac:dyDescent="0.25">
      <c r="A11297" s="2">
        <v>11292</v>
      </c>
      <c r="B11297" s="3" t="str">
        <f>"00504292"</f>
        <v>00504292</v>
      </c>
    </row>
    <row r="11298" spans="1:2" x14ac:dyDescent="0.25">
      <c r="A11298" s="2">
        <v>11293</v>
      </c>
      <c r="B11298" s="3" t="str">
        <f>"00504311"</f>
        <v>00504311</v>
      </c>
    </row>
    <row r="11299" spans="1:2" x14ac:dyDescent="0.25">
      <c r="A11299" s="2">
        <v>11294</v>
      </c>
      <c r="B11299" s="3" t="str">
        <f>"00504322"</f>
        <v>00504322</v>
      </c>
    </row>
    <row r="11300" spans="1:2" x14ac:dyDescent="0.25">
      <c r="A11300" s="2">
        <v>11295</v>
      </c>
      <c r="B11300" s="3" t="str">
        <f>"00504394"</f>
        <v>00504394</v>
      </c>
    </row>
    <row r="11301" spans="1:2" x14ac:dyDescent="0.25">
      <c r="A11301" s="2">
        <v>11296</v>
      </c>
      <c r="B11301" s="3" t="str">
        <f>"00504418"</f>
        <v>00504418</v>
      </c>
    </row>
    <row r="11302" spans="1:2" x14ac:dyDescent="0.25">
      <c r="A11302" s="2">
        <v>11297</v>
      </c>
      <c r="B11302" s="3" t="str">
        <f>"00504541"</f>
        <v>00504541</v>
      </c>
    </row>
    <row r="11303" spans="1:2" x14ac:dyDescent="0.25">
      <c r="A11303" s="2">
        <v>11298</v>
      </c>
      <c r="B11303" s="3" t="str">
        <f>"00504593"</f>
        <v>00504593</v>
      </c>
    </row>
    <row r="11304" spans="1:2" x14ac:dyDescent="0.25">
      <c r="A11304" s="2">
        <v>11299</v>
      </c>
      <c r="B11304" s="3" t="str">
        <f>"00504633"</f>
        <v>00504633</v>
      </c>
    </row>
    <row r="11305" spans="1:2" x14ac:dyDescent="0.25">
      <c r="A11305" s="2">
        <v>11300</v>
      </c>
      <c r="B11305" s="3" t="str">
        <f>"00504720"</f>
        <v>00504720</v>
      </c>
    </row>
    <row r="11306" spans="1:2" x14ac:dyDescent="0.25">
      <c r="A11306" s="2">
        <v>11301</v>
      </c>
      <c r="B11306" s="3" t="str">
        <f>"00504832"</f>
        <v>00504832</v>
      </c>
    </row>
    <row r="11307" spans="1:2" x14ac:dyDescent="0.25">
      <c r="A11307" s="2">
        <v>11302</v>
      </c>
      <c r="B11307" s="3" t="str">
        <f>"00504848"</f>
        <v>00504848</v>
      </c>
    </row>
    <row r="11308" spans="1:2" x14ac:dyDescent="0.25">
      <c r="A11308" s="2">
        <v>11303</v>
      </c>
      <c r="B11308" s="3" t="str">
        <f>"00504883"</f>
        <v>00504883</v>
      </c>
    </row>
    <row r="11309" spans="1:2" x14ac:dyDescent="0.25">
      <c r="A11309" s="2">
        <v>11304</v>
      </c>
      <c r="B11309" s="3" t="str">
        <f>"00504888"</f>
        <v>00504888</v>
      </c>
    </row>
    <row r="11310" spans="1:2" x14ac:dyDescent="0.25">
      <c r="A11310" s="2">
        <v>11305</v>
      </c>
      <c r="B11310" s="3" t="str">
        <f>"00504912"</f>
        <v>00504912</v>
      </c>
    </row>
    <row r="11311" spans="1:2" x14ac:dyDescent="0.25">
      <c r="A11311" s="2">
        <v>11306</v>
      </c>
      <c r="B11311" s="3" t="str">
        <f>"00504944"</f>
        <v>00504944</v>
      </c>
    </row>
    <row r="11312" spans="1:2" x14ac:dyDescent="0.25">
      <c r="A11312" s="2">
        <v>11307</v>
      </c>
      <c r="B11312" s="3" t="str">
        <f>"00504952"</f>
        <v>00504952</v>
      </c>
    </row>
    <row r="11313" spans="1:2" x14ac:dyDescent="0.25">
      <c r="A11313" s="2">
        <v>11308</v>
      </c>
      <c r="B11313" s="3" t="str">
        <f>"00504954"</f>
        <v>00504954</v>
      </c>
    </row>
    <row r="11314" spans="1:2" x14ac:dyDescent="0.25">
      <c r="A11314" s="2">
        <v>11309</v>
      </c>
      <c r="B11314" s="3" t="str">
        <f>"00504965"</f>
        <v>00504965</v>
      </c>
    </row>
    <row r="11315" spans="1:2" x14ac:dyDescent="0.25">
      <c r="A11315" s="2">
        <v>11310</v>
      </c>
      <c r="B11315" s="3" t="str">
        <f>"00505070"</f>
        <v>00505070</v>
      </c>
    </row>
    <row r="11316" spans="1:2" x14ac:dyDescent="0.25">
      <c r="A11316" s="2">
        <v>11311</v>
      </c>
      <c r="B11316" s="3" t="str">
        <f>"00505072"</f>
        <v>00505072</v>
      </c>
    </row>
    <row r="11317" spans="1:2" x14ac:dyDescent="0.25">
      <c r="A11317" s="2">
        <v>11312</v>
      </c>
      <c r="B11317" s="3" t="str">
        <f>"00505175"</f>
        <v>00505175</v>
      </c>
    </row>
    <row r="11318" spans="1:2" x14ac:dyDescent="0.25">
      <c r="A11318" s="2">
        <v>11313</v>
      </c>
      <c r="B11318" s="3" t="str">
        <f>"00505186"</f>
        <v>00505186</v>
      </c>
    </row>
    <row r="11319" spans="1:2" x14ac:dyDescent="0.25">
      <c r="A11319" s="2">
        <v>11314</v>
      </c>
      <c r="B11319" s="3" t="str">
        <f>"00505234"</f>
        <v>00505234</v>
      </c>
    </row>
    <row r="11320" spans="1:2" x14ac:dyDescent="0.25">
      <c r="A11320" s="2">
        <v>11315</v>
      </c>
      <c r="B11320" s="3" t="str">
        <f>"00505359"</f>
        <v>00505359</v>
      </c>
    </row>
    <row r="11321" spans="1:2" x14ac:dyDescent="0.25">
      <c r="A11321" s="2">
        <v>11316</v>
      </c>
      <c r="B11321" s="3" t="str">
        <f>"00505398"</f>
        <v>00505398</v>
      </c>
    </row>
    <row r="11322" spans="1:2" x14ac:dyDescent="0.25">
      <c r="A11322" s="2">
        <v>11317</v>
      </c>
      <c r="B11322" s="3" t="str">
        <f>"00505545"</f>
        <v>00505545</v>
      </c>
    </row>
    <row r="11323" spans="1:2" x14ac:dyDescent="0.25">
      <c r="A11323" s="2">
        <v>11318</v>
      </c>
      <c r="B11323" s="3" t="str">
        <f>"00505658"</f>
        <v>00505658</v>
      </c>
    </row>
    <row r="11324" spans="1:2" x14ac:dyDescent="0.25">
      <c r="A11324" s="2">
        <v>11319</v>
      </c>
      <c r="B11324" s="3" t="str">
        <f>"00505688"</f>
        <v>00505688</v>
      </c>
    </row>
    <row r="11325" spans="1:2" x14ac:dyDescent="0.25">
      <c r="A11325" s="2">
        <v>11320</v>
      </c>
      <c r="B11325" s="3" t="str">
        <f>"00505716"</f>
        <v>00505716</v>
      </c>
    </row>
    <row r="11326" spans="1:2" x14ac:dyDescent="0.25">
      <c r="A11326" s="2">
        <v>11321</v>
      </c>
      <c r="B11326" s="3" t="str">
        <f>"00505788"</f>
        <v>00505788</v>
      </c>
    </row>
    <row r="11327" spans="1:2" x14ac:dyDescent="0.25">
      <c r="A11327" s="2">
        <v>11322</v>
      </c>
      <c r="B11327" s="3" t="str">
        <f>"00505854"</f>
        <v>00505854</v>
      </c>
    </row>
    <row r="11328" spans="1:2" x14ac:dyDescent="0.25">
      <c r="A11328" s="2">
        <v>11323</v>
      </c>
      <c r="B11328" s="3" t="str">
        <f>"00505977"</f>
        <v>00505977</v>
      </c>
    </row>
    <row r="11329" spans="1:2" x14ac:dyDescent="0.25">
      <c r="A11329" s="2">
        <v>11324</v>
      </c>
      <c r="B11329" s="3" t="str">
        <f>"00506055"</f>
        <v>00506055</v>
      </c>
    </row>
    <row r="11330" spans="1:2" x14ac:dyDescent="0.25">
      <c r="A11330" s="2">
        <v>11325</v>
      </c>
      <c r="B11330" s="3" t="str">
        <f>"00506098"</f>
        <v>00506098</v>
      </c>
    </row>
    <row r="11331" spans="1:2" x14ac:dyDescent="0.25">
      <c r="A11331" s="2">
        <v>11326</v>
      </c>
      <c r="B11331" s="3" t="str">
        <f>"00506118"</f>
        <v>00506118</v>
      </c>
    </row>
    <row r="11332" spans="1:2" x14ac:dyDescent="0.25">
      <c r="A11332" s="2">
        <v>11327</v>
      </c>
      <c r="B11332" s="3" t="str">
        <f>"00506176"</f>
        <v>00506176</v>
      </c>
    </row>
    <row r="11333" spans="1:2" x14ac:dyDescent="0.25">
      <c r="A11333" s="2">
        <v>11328</v>
      </c>
      <c r="B11333" s="3" t="str">
        <f>"00506204"</f>
        <v>00506204</v>
      </c>
    </row>
    <row r="11334" spans="1:2" x14ac:dyDescent="0.25">
      <c r="A11334" s="2">
        <v>11329</v>
      </c>
      <c r="B11334" s="3" t="str">
        <f>"00506209"</f>
        <v>00506209</v>
      </c>
    </row>
    <row r="11335" spans="1:2" x14ac:dyDescent="0.25">
      <c r="A11335" s="2">
        <v>11330</v>
      </c>
      <c r="B11335" s="3" t="str">
        <f>"00506217"</f>
        <v>00506217</v>
      </c>
    </row>
    <row r="11336" spans="1:2" x14ac:dyDescent="0.25">
      <c r="A11336" s="2">
        <v>11331</v>
      </c>
      <c r="B11336" s="3" t="str">
        <f>"00506220"</f>
        <v>00506220</v>
      </c>
    </row>
    <row r="11337" spans="1:2" x14ac:dyDescent="0.25">
      <c r="A11337" s="2">
        <v>11332</v>
      </c>
      <c r="B11337" s="3" t="str">
        <f>"00506262"</f>
        <v>00506262</v>
      </c>
    </row>
    <row r="11338" spans="1:2" x14ac:dyDescent="0.25">
      <c r="A11338" s="2">
        <v>11333</v>
      </c>
      <c r="B11338" s="3" t="str">
        <f>"00506303"</f>
        <v>00506303</v>
      </c>
    </row>
    <row r="11339" spans="1:2" x14ac:dyDescent="0.25">
      <c r="A11339" s="2">
        <v>11334</v>
      </c>
      <c r="B11339" s="3" t="str">
        <f>"00506346"</f>
        <v>00506346</v>
      </c>
    </row>
    <row r="11340" spans="1:2" x14ac:dyDescent="0.25">
      <c r="A11340" s="2">
        <v>11335</v>
      </c>
      <c r="B11340" s="3" t="str">
        <f>"00506347"</f>
        <v>00506347</v>
      </c>
    </row>
    <row r="11341" spans="1:2" x14ac:dyDescent="0.25">
      <c r="A11341" s="2">
        <v>11336</v>
      </c>
      <c r="B11341" s="3" t="str">
        <f>"00506397"</f>
        <v>00506397</v>
      </c>
    </row>
    <row r="11342" spans="1:2" x14ac:dyDescent="0.25">
      <c r="A11342" s="2">
        <v>11337</v>
      </c>
      <c r="B11342" s="3" t="str">
        <f>"00506411"</f>
        <v>00506411</v>
      </c>
    </row>
    <row r="11343" spans="1:2" x14ac:dyDescent="0.25">
      <c r="A11343" s="2">
        <v>11338</v>
      </c>
      <c r="B11343" s="3" t="str">
        <f>"00506443"</f>
        <v>00506443</v>
      </c>
    </row>
    <row r="11344" spans="1:2" x14ac:dyDescent="0.25">
      <c r="A11344" s="2">
        <v>11339</v>
      </c>
      <c r="B11344" s="3" t="str">
        <f>"00506454"</f>
        <v>00506454</v>
      </c>
    </row>
    <row r="11345" spans="1:2" x14ac:dyDescent="0.25">
      <c r="A11345" s="2">
        <v>11340</v>
      </c>
      <c r="B11345" s="3" t="str">
        <f>"00506455"</f>
        <v>00506455</v>
      </c>
    </row>
    <row r="11346" spans="1:2" x14ac:dyDescent="0.25">
      <c r="A11346" s="2">
        <v>11341</v>
      </c>
      <c r="B11346" s="3" t="str">
        <f>"00506466"</f>
        <v>00506466</v>
      </c>
    </row>
    <row r="11347" spans="1:2" x14ac:dyDescent="0.25">
      <c r="A11347" s="2">
        <v>11342</v>
      </c>
      <c r="B11347" s="3" t="str">
        <f>"00506500"</f>
        <v>00506500</v>
      </c>
    </row>
    <row r="11348" spans="1:2" x14ac:dyDescent="0.25">
      <c r="A11348" s="2">
        <v>11343</v>
      </c>
      <c r="B11348" s="3" t="str">
        <f>"00506561"</f>
        <v>00506561</v>
      </c>
    </row>
    <row r="11349" spans="1:2" x14ac:dyDescent="0.25">
      <c r="A11349" s="2">
        <v>11344</v>
      </c>
      <c r="B11349" s="3" t="str">
        <f>"00506574"</f>
        <v>00506574</v>
      </c>
    </row>
    <row r="11350" spans="1:2" x14ac:dyDescent="0.25">
      <c r="A11350" s="2">
        <v>11345</v>
      </c>
      <c r="B11350" s="3" t="str">
        <f>"00506613"</f>
        <v>00506613</v>
      </c>
    </row>
    <row r="11351" spans="1:2" x14ac:dyDescent="0.25">
      <c r="A11351" s="2">
        <v>11346</v>
      </c>
      <c r="B11351" s="3" t="str">
        <f>"00506628"</f>
        <v>00506628</v>
      </c>
    </row>
    <row r="11352" spans="1:2" x14ac:dyDescent="0.25">
      <c r="A11352" s="2">
        <v>11347</v>
      </c>
      <c r="B11352" s="3" t="str">
        <f>"00506675"</f>
        <v>00506675</v>
      </c>
    </row>
    <row r="11353" spans="1:2" x14ac:dyDescent="0.25">
      <c r="A11353" s="2">
        <v>11348</v>
      </c>
      <c r="B11353" s="3" t="str">
        <f>"00506685"</f>
        <v>00506685</v>
      </c>
    </row>
    <row r="11354" spans="1:2" x14ac:dyDescent="0.25">
      <c r="A11354" s="2">
        <v>11349</v>
      </c>
      <c r="B11354" s="3" t="str">
        <f>"00506693"</f>
        <v>00506693</v>
      </c>
    </row>
    <row r="11355" spans="1:2" x14ac:dyDescent="0.25">
      <c r="A11355" s="2">
        <v>11350</v>
      </c>
      <c r="B11355" s="3" t="str">
        <f>"00506748"</f>
        <v>00506748</v>
      </c>
    </row>
    <row r="11356" spans="1:2" x14ac:dyDescent="0.25">
      <c r="A11356" s="2">
        <v>11351</v>
      </c>
      <c r="B11356" s="3" t="str">
        <f>"00506751"</f>
        <v>00506751</v>
      </c>
    </row>
    <row r="11357" spans="1:2" x14ac:dyDescent="0.25">
      <c r="A11357" s="2">
        <v>11352</v>
      </c>
      <c r="B11357" s="3" t="str">
        <f>"00506755"</f>
        <v>00506755</v>
      </c>
    </row>
    <row r="11358" spans="1:2" x14ac:dyDescent="0.25">
      <c r="A11358" s="2">
        <v>11353</v>
      </c>
      <c r="B11358" s="3" t="str">
        <f>"00506788"</f>
        <v>00506788</v>
      </c>
    </row>
    <row r="11359" spans="1:2" x14ac:dyDescent="0.25">
      <c r="A11359" s="2">
        <v>11354</v>
      </c>
      <c r="B11359" s="3" t="str">
        <f>"00506799"</f>
        <v>00506799</v>
      </c>
    </row>
    <row r="11360" spans="1:2" x14ac:dyDescent="0.25">
      <c r="A11360" s="2">
        <v>11355</v>
      </c>
      <c r="B11360" s="3" t="str">
        <f>"00506816"</f>
        <v>00506816</v>
      </c>
    </row>
    <row r="11361" spans="1:2" x14ac:dyDescent="0.25">
      <c r="A11361" s="2">
        <v>11356</v>
      </c>
      <c r="B11361" s="3" t="str">
        <f>"00506824"</f>
        <v>00506824</v>
      </c>
    </row>
    <row r="11362" spans="1:2" x14ac:dyDescent="0.25">
      <c r="A11362" s="2">
        <v>11357</v>
      </c>
      <c r="B11362" s="3" t="str">
        <f>"00506845"</f>
        <v>00506845</v>
      </c>
    </row>
    <row r="11363" spans="1:2" x14ac:dyDescent="0.25">
      <c r="A11363" s="2">
        <v>11358</v>
      </c>
      <c r="B11363" s="3" t="str">
        <f>"00507050"</f>
        <v>00507050</v>
      </c>
    </row>
    <row r="11364" spans="1:2" x14ac:dyDescent="0.25">
      <c r="A11364" s="2">
        <v>11359</v>
      </c>
      <c r="B11364" s="3" t="str">
        <f>"00507061"</f>
        <v>00507061</v>
      </c>
    </row>
    <row r="11365" spans="1:2" x14ac:dyDescent="0.25">
      <c r="A11365" s="2">
        <v>11360</v>
      </c>
      <c r="B11365" s="3" t="str">
        <f>"00507062"</f>
        <v>00507062</v>
      </c>
    </row>
    <row r="11366" spans="1:2" x14ac:dyDescent="0.25">
      <c r="A11366" s="2">
        <v>11361</v>
      </c>
      <c r="B11366" s="3" t="str">
        <f>"00507125"</f>
        <v>00507125</v>
      </c>
    </row>
    <row r="11367" spans="1:2" x14ac:dyDescent="0.25">
      <c r="A11367" s="2">
        <v>11362</v>
      </c>
      <c r="B11367" s="3" t="str">
        <f>"00507290"</f>
        <v>00507290</v>
      </c>
    </row>
    <row r="11368" spans="1:2" x14ac:dyDescent="0.25">
      <c r="A11368" s="2">
        <v>11363</v>
      </c>
      <c r="B11368" s="3" t="str">
        <f>"00507307"</f>
        <v>00507307</v>
      </c>
    </row>
    <row r="11369" spans="1:2" x14ac:dyDescent="0.25">
      <c r="A11369" s="2">
        <v>11364</v>
      </c>
      <c r="B11369" s="3" t="str">
        <f>"00507362"</f>
        <v>00507362</v>
      </c>
    </row>
    <row r="11370" spans="1:2" x14ac:dyDescent="0.25">
      <c r="A11370" s="2">
        <v>11365</v>
      </c>
      <c r="B11370" s="3" t="str">
        <f>"00507442"</f>
        <v>00507442</v>
      </c>
    </row>
    <row r="11371" spans="1:2" x14ac:dyDescent="0.25">
      <c r="A11371" s="2">
        <v>11366</v>
      </c>
      <c r="B11371" s="3" t="str">
        <f>"00507446"</f>
        <v>00507446</v>
      </c>
    </row>
    <row r="11372" spans="1:2" x14ac:dyDescent="0.25">
      <c r="A11372" s="2">
        <v>11367</v>
      </c>
      <c r="B11372" s="3" t="str">
        <f>"00507583"</f>
        <v>00507583</v>
      </c>
    </row>
    <row r="11373" spans="1:2" x14ac:dyDescent="0.25">
      <c r="A11373" s="2">
        <v>11368</v>
      </c>
      <c r="B11373" s="3" t="str">
        <f>"00507595"</f>
        <v>00507595</v>
      </c>
    </row>
    <row r="11374" spans="1:2" x14ac:dyDescent="0.25">
      <c r="A11374" s="2">
        <v>11369</v>
      </c>
      <c r="B11374" s="3" t="str">
        <f>"00507656"</f>
        <v>00507656</v>
      </c>
    </row>
    <row r="11375" spans="1:2" x14ac:dyDescent="0.25">
      <c r="A11375" s="2">
        <v>11370</v>
      </c>
      <c r="B11375" s="3" t="str">
        <f>"00507678"</f>
        <v>00507678</v>
      </c>
    </row>
    <row r="11376" spans="1:2" x14ac:dyDescent="0.25">
      <c r="A11376" s="2">
        <v>11371</v>
      </c>
      <c r="B11376" s="3" t="str">
        <f>"00507684"</f>
        <v>00507684</v>
      </c>
    </row>
    <row r="11377" spans="1:2" x14ac:dyDescent="0.25">
      <c r="A11377" s="2">
        <v>11372</v>
      </c>
      <c r="B11377" s="3" t="str">
        <f>"00507756"</f>
        <v>00507756</v>
      </c>
    </row>
    <row r="11378" spans="1:2" x14ac:dyDescent="0.25">
      <c r="A11378" s="2">
        <v>11373</v>
      </c>
      <c r="B11378" s="3" t="str">
        <f>"00507767"</f>
        <v>00507767</v>
      </c>
    </row>
    <row r="11379" spans="1:2" x14ac:dyDescent="0.25">
      <c r="A11379" s="2">
        <v>11374</v>
      </c>
      <c r="B11379" s="3" t="str">
        <f>"00507812"</f>
        <v>00507812</v>
      </c>
    </row>
    <row r="11380" spans="1:2" x14ac:dyDescent="0.25">
      <c r="A11380" s="2">
        <v>11375</v>
      </c>
      <c r="B11380" s="3" t="str">
        <f>"00507967"</f>
        <v>00507967</v>
      </c>
    </row>
    <row r="11381" spans="1:2" x14ac:dyDescent="0.25">
      <c r="A11381" s="2">
        <v>11376</v>
      </c>
      <c r="B11381" s="3" t="str">
        <f>"00507970"</f>
        <v>00507970</v>
      </c>
    </row>
    <row r="11382" spans="1:2" x14ac:dyDescent="0.25">
      <c r="A11382" s="2">
        <v>11377</v>
      </c>
      <c r="B11382" s="3" t="str">
        <f>"00508048"</f>
        <v>00508048</v>
      </c>
    </row>
    <row r="11383" spans="1:2" x14ac:dyDescent="0.25">
      <c r="A11383" s="2">
        <v>11378</v>
      </c>
      <c r="B11383" s="3" t="str">
        <f>"00508051"</f>
        <v>00508051</v>
      </c>
    </row>
    <row r="11384" spans="1:2" x14ac:dyDescent="0.25">
      <c r="A11384" s="2">
        <v>11379</v>
      </c>
      <c r="B11384" s="3" t="str">
        <f>"00508126"</f>
        <v>00508126</v>
      </c>
    </row>
    <row r="11385" spans="1:2" x14ac:dyDescent="0.25">
      <c r="A11385" s="2">
        <v>11380</v>
      </c>
      <c r="B11385" s="3" t="str">
        <f>"00508583"</f>
        <v>00508583</v>
      </c>
    </row>
    <row r="11386" spans="1:2" x14ac:dyDescent="0.25">
      <c r="A11386" s="2">
        <v>11381</v>
      </c>
      <c r="B11386" s="3" t="str">
        <f>"00508668"</f>
        <v>00508668</v>
      </c>
    </row>
    <row r="11387" spans="1:2" x14ac:dyDescent="0.25">
      <c r="A11387" s="2">
        <v>11382</v>
      </c>
      <c r="B11387" s="3" t="str">
        <f>"00508705"</f>
        <v>00508705</v>
      </c>
    </row>
    <row r="11388" spans="1:2" x14ac:dyDescent="0.25">
      <c r="A11388" s="2">
        <v>11383</v>
      </c>
      <c r="B11388" s="3" t="str">
        <f>"00508853"</f>
        <v>00508853</v>
      </c>
    </row>
    <row r="11389" spans="1:2" x14ac:dyDescent="0.25">
      <c r="A11389" s="2">
        <v>11384</v>
      </c>
      <c r="B11389" s="3" t="str">
        <f>"00509139"</f>
        <v>00509139</v>
      </c>
    </row>
    <row r="11390" spans="1:2" x14ac:dyDescent="0.25">
      <c r="A11390" s="2">
        <v>11385</v>
      </c>
      <c r="B11390" s="3" t="str">
        <f>"00509174"</f>
        <v>00509174</v>
      </c>
    </row>
    <row r="11391" spans="1:2" x14ac:dyDescent="0.25">
      <c r="A11391" s="2">
        <v>11386</v>
      </c>
      <c r="B11391" s="3" t="str">
        <f>"00509177"</f>
        <v>00509177</v>
      </c>
    </row>
    <row r="11392" spans="1:2" x14ac:dyDescent="0.25">
      <c r="A11392" s="2">
        <v>11387</v>
      </c>
      <c r="B11392" s="3" t="str">
        <f>"00509401"</f>
        <v>00509401</v>
      </c>
    </row>
    <row r="11393" spans="1:2" x14ac:dyDescent="0.25">
      <c r="A11393" s="2">
        <v>11388</v>
      </c>
      <c r="B11393" s="3" t="str">
        <f>"00509409"</f>
        <v>00509409</v>
      </c>
    </row>
    <row r="11394" spans="1:2" x14ac:dyDescent="0.25">
      <c r="A11394" s="2">
        <v>11389</v>
      </c>
      <c r="B11394" s="3" t="str">
        <f>"00509516"</f>
        <v>00509516</v>
      </c>
    </row>
    <row r="11395" spans="1:2" x14ac:dyDescent="0.25">
      <c r="A11395" s="2">
        <v>11390</v>
      </c>
      <c r="B11395" s="3" t="str">
        <f>"00509608"</f>
        <v>00509608</v>
      </c>
    </row>
    <row r="11396" spans="1:2" x14ac:dyDescent="0.25">
      <c r="A11396" s="2">
        <v>11391</v>
      </c>
      <c r="B11396" s="3" t="str">
        <f>"00509768"</f>
        <v>00509768</v>
      </c>
    </row>
    <row r="11397" spans="1:2" x14ac:dyDescent="0.25">
      <c r="A11397" s="2">
        <v>11392</v>
      </c>
      <c r="B11397" s="3" t="str">
        <f>"00510149"</f>
        <v>00510149</v>
      </c>
    </row>
    <row r="11398" spans="1:2" x14ac:dyDescent="0.25">
      <c r="A11398" s="2">
        <v>11393</v>
      </c>
      <c r="B11398" s="3" t="str">
        <f>"00510173"</f>
        <v>00510173</v>
      </c>
    </row>
    <row r="11399" spans="1:2" x14ac:dyDescent="0.25">
      <c r="A11399" s="2">
        <v>11394</v>
      </c>
      <c r="B11399" s="3" t="str">
        <f>"00510175"</f>
        <v>00510175</v>
      </c>
    </row>
    <row r="11400" spans="1:2" x14ac:dyDescent="0.25">
      <c r="A11400" s="2">
        <v>11395</v>
      </c>
      <c r="B11400" s="3" t="str">
        <f>"00510310"</f>
        <v>00510310</v>
      </c>
    </row>
    <row r="11401" spans="1:2" x14ac:dyDescent="0.25">
      <c r="A11401" s="2">
        <v>11396</v>
      </c>
      <c r="B11401" s="3" t="str">
        <f>"00510365"</f>
        <v>00510365</v>
      </c>
    </row>
    <row r="11402" spans="1:2" x14ac:dyDescent="0.25">
      <c r="A11402" s="2">
        <v>11397</v>
      </c>
      <c r="B11402" s="3" t="str">
        <f>"00510373"</f>
        <v>00510373</v>
      </c>
    </row>
    <row r="11403" spans="1:2" x14ac:dyDescent="0.25">
      <c r="A11403" s="2">
        <v>11398</v>
      </c>
      <c r="B11403" s="3" t="str">
        <f>"00510382"</f>
        <v>00510382</v>
      </c>
    </row>
    <row r="11404" spans="1:2" x14ac:dyDescent="0.25">
      <c r="A11404" s="2">
        <v>11399</v>
      </c>
      <c r="B11404" s="3" t="str">
        <f>"00510403"</f>
        <v>00510403</v>
      </c>
    </row>
    <row r="11405" spans="1:2" x14ac:dyDescent="0.25">
      <c r="A11405" s="2">
        <v>11400</v>
      </c>
      <c r="B11405" s="3" t="str">
        <f>"00510455"</f>
        <v>00510455</v>
      </c>
    </row>
    <row r="11406" spans="1:2" x14ac:dyDescent="0.25">
      <c r="A11406" s="2">
        <v>11401</v>
      </c>
      <c r="B11406" s="3" t="str">
        <f>"00510657"</f>
        <v>00510657</v>
      </c>
    </row>
    <row r="11407" spans="1:2" x14ac:dyDescent="0.25">
      <c r="A11407" s="2">
        <v>11402</v>
      </c>
      <c r="B11407" s="3" t="str">
        <f>"00510663"</f>
        <v>00510663</v>
      </c>
    </row>
    <row r="11408" spans="1:2" x14ac:dyDescent="0.25">
      <c r="A11408" s="2">
        <v>11403</v>
      </c>
      <c r="B11408" s="3" t="str">
        <f>"00510719"</f>
        <v>00510719</v>
      </c>
    </row>
    <row r="11409" spans="1:2" x14ac:dyDescent="0.25">
      <c r="A11409" s="2">
        <v>11404</v>
      </c>
      <c r="B11409" s="3" t="str">
        <f>"00510955"</f>
        <v>00510955</v>
      </c>
    </row>
    <row r="11410" spans="1:2" x14ac:dyDescent="0.25">
      <c r="A11410" s="2">
        <v>11405</v>
      </c>
      <c r="B11410" s="3" t="str">
        <f>"00511059"</f>
        <v>00511059</v>
      </c>
    </row>
    <row r="11411" spans="1:2" x14ac:dyDescent="0.25">
      <c r="A11411" s="2">
        <v>11406</v>
      </c>
      <c r="B11411" s="3" t="str">
        <f>"00511242"</f>
        <v>00511242</v>
      </c>
    </row>
    <row r="11412" spans="1:2" x14ac:dyDescent="0.25">
      <c r="A11412" s="2">
        <v>11407</v>
      </c>
      <c r="B11412" s="3" t="str">
        <f>"00511323"</f>
        <v>00511323</v>
      </c>
    </row>
    <row r="11413" spans="1:2" x14ac:dyDescent="0.25">
      <c r="A11413" s="2">
        <v>11408</v>
      </c>
      <c r="B11413" s="3" t="str">
        <f>"00511372"</f>
        <v>00511372</v>
      </c>
    </row>
    <row r="11414" spans="1:2" x14ac:dyDescent="0.25">
      <c r="A11414" s="2">
        <v>11409</v>
      </c>
      <c r="B11414" s="3" t="str">
        <f>"00511779"</f>
        <v>00511779</v>
      </c>
    </row>
    <row r="11415" spans="1:2" x14ac:dyDescent="0.25">
      <c r="A11415" s="2">
        <v>11410</v>
      </c>
      <c r="B11415" s="3" t="str">
        <f>"00512016"</f>
        <v>00512016</v>
      </c>
    </row>
    <row r="11416" spans="1:2" x14ac:dyDescent="0.25">
      <c r="A11416" s="2">
        <v>11411</v>
      </c>
      <c r="B11416" s="3" t="str">
        <f>"00512110"</f>
        <v>00512110</v>
      </c>
    </row>
    <row r="11417" spans="1:2" x14ac:dyDescent="0.25">
      <c r="A11417" s="2">
        <v>11412</v>
      </c>
      <c r="B11417" s="3" t="str">
        <f>"00512284"</f>
        <v>00512284</v>
      </c>
    </row>
    <row r="11418" spans="1:2" x14ac:dyDescent="0.25">
      <c r="A11418" s="2">
        <v>11413</v>
      </c>
      <c r="B11418" s="3" t="str">
        <f>"00512338"</f>
        <v>00512338</v>
      </c>
    </row>
    <row r="11419" spans="1:2" x14ac:dyDescent="0.25">
      <c r="A11419" s="2">
        <v>11414</v>
      </c>
      <c r="B11419" s="3" t="str">
        <f>"00512368"</f>
        <v>00512368</v>
      </c>
    </row>
    <row r="11420" spans="1:2" x14ac:dyDescent="0.25">
      <c r="A11420" s="2">
        <v>11415</v>
      </c>
      <c r="B11420" s="3" t="str">
        <f>"00512433"</f>
        <v>00512433</v>
      </c>
    </row>
    <row r="11421" spans="1:2" x14ac:dyDescent="0.25">
      <c r="A11421" s="2">
        <v>11416</v>
      </c>
      <c r="B11421" s="3" t="str">
        <f>"00512530"</f>
        <v>00512530</v>
      </c>
    </row>
    <row r="11422" spans="1:2" x14ac:dyDescent="0.25">
      <c r="A11422" s="2">
        <v>11417</v>
      </c>
      <c r="B11422" s="3" t="str">
        <f>"00512601"</f>
        <v>00512601</v>
      </c>
    </row>
    <row r="11423" spans="1:2" x14ac:dyDescent="0.25">
      <c r="A11423" s="2">
        <v>11418</v>
      </c>
      <c r="B11423" s="3" t="str">
        <f>"00512877"</f>
        <v>00512877</v>
      </c>
    </row>
    <row r="11424" spans="1:2" x14ac:dyDescent="0.25">
      <c r="A11424" s="2">
        <v>11419</v>
      </c>
      <c r="B11424" s="3" t="str">
        <f>"00512950"</f>
        <v>00512950</v>
      </c>
    </row>
    <row r="11425" spans="1:2" x14ac:dyDescent="0.25">
      <c r="A11425" s="2">
        <v>11420</v>
      </c>
      <c r="B11425" s="3" t="str">
        <f>"00512969"</f>
        <v>00512969</v>
      </c>
    </row>
    <row r="11426" spans="1:2" x14ac:dyDescent="0.25">
      <c r="A11426" s="2">
        <v>11421</v>
      </c>
      <c r="B11426" s="3" t="str">
        <f>"00513026"</f>
        <v>00513026</v>
      </c>
    </row>
    <row r="11427" spans="1:2" x14ac:dyDescent="0.25">
      <c r="A11427" s="2">
        <v>11422</v>
      </c>
      <c r="B11427" s="3" t="str">
        <f>"00513195"</f>
        <v>00513195</v>
      </c>
    </row>
    <row r="11428" spans="1:2" x14ac:dyDescent="0.25">
      <c r="A11428" s="2">
        <v>11423</v>
      </c>
      <c r="B11428" s="3" t="str">
        <f>"00513257"</f>
        <v>00513257</v>
      </c>
    </row>
    <row r="11429" spans="1:2" x14ac:dyDescent="0.25">
      <c r="A11429" s="2">
        <v>11424</v>
      </c>
      <c r="B11429" s="3" t="str">
        <f>"00513264"</f>
        <v>00513264</v>
      </c>
    </row>
    <row r="11430" spans="1:2" x14ac:dyDescent="0.25">
      <c r="A11430" s="2">
        <v>11425</v>
      </c>
      <c r="B11430" s="3" t="str">
        <f>"00513364"</f>
        <v>00513364</v>
      </c>
    </row>
    <row r="11431" spans="1:2" x14ac:dyDescent="0.25">
      <c r="A11431" s="2">
        <v>11426</v>
      </c>
      <c r="B11431" s="3" t="str">
        <f>"00513476"</f>
        <v>00513476</v>
      </c>
    </row>
    <row r="11432" spans="1:2" x14ac:dyDescent="0.25">
      <c r="A11432" s="2">
        <v>11427</v>
      </c>
      <c r="B11432" s="3" t="str">
        <f>"00513493"</f>
        <v>00513493</v>
      </c>
    </row>
    <row r="11433" spans="1:2" x14ac:dyDescent="0.25">
      <c r="A11433" s="2">
        <v>11428</v>
      </c>
      <c r="B11433" s="3" t="str">
        <f>"00513580"</f>
        <v>00513580</v>
      </c>
    </row>
    <row r="11434" spans="1:2" x14ac:dyDescent="0.25">
      <c r="A11434" s="2">
        <v>11429</v>
      </c>
      <c r="B11434" s="3" t="str">
        <f>"00513598"</f>
        <v>00513598</v>
      </c>
    </row>
    <row r="11435" spans="1:2" x14ac:dyDescent="0.25">
      <c r="A11435" s="2">
        <v>11430</v>
      </c>
      <c r="B11435" s="3" t="str">
        <f>"00513790"</f>
        <v>00513790</v>
      </c>
    </row>
    <row r="11436" spans="1:2" x14ac:dyDescent="0.25">
      <c r="A11436" s="2">
        <v>11431</v>
      </c>
      <c r="B11436" s="3" t="str">
        <f>"00513855"</f>
        <v>00513855</v>
      </c>
    </row>
    <row r="11437" spans="1:2" x14ac:dyDescent="0.25">
      <c r="A11437" s="2">
        <v>11432</v>
      </c>
      <c r="B11437" s="3" t="str">
        <f>"00514042"</f>
        <v>00514042</v>
      </c>
    </row>
    <row r="11438" spans="1:2" x14ac:dyDescent="0.25">
      <c r="A11438" s="2">
        <v>11433</v>
      </c>
      <c r="B11438" s="3" t="str">
        <f>"00514169"</f>
        <v>00514169</v>
      </c>
    </row>
    <row r="11439" spans="1:2" x14ac:dyDescent="0.25">
      <c r="A11439" s="2">
        <v>11434</v>
      </c>
      <c r="B11439" s="3" t="str">
        <f>"00514218"</f>
        <v>00514218</v>
      </c>
    </row>
    <row r="11440" spans="1:2" x14ac:dyDescent="0.25">
      <c r="A11440" s="2">
        <v>11435</v>
      </c>
      <c r="B11440" s="3" t="str">
        <f>"00514408"</f>
        <v>00514408</v>
      </c>
    </row>
    <row r="11441" spans="1:2" x14ac:dyDescent="0.25">
      <c r="A11441" s="2">
        <v>11436</v>
      </c>
      <c r="B11441" s="3" t="str">
        <f>"00514800"</f>
        <v>00514800</v>
      </c>
    </row>
    <row r="11442" spans="1:2" x14ac:dyDescent="0.25">
      <c r="A11442" s="2">
        <v>11437</v>
      </c>
      <c r="B11442" s="3" t="str">
        <f>"00515111"</f>
        <v>00515111</v>
      </c>
    </row>
    <row r="11443" spans="1:2" x14ac:dyDescent="0.25">
      <c r="A11443" s="2">
        <v>11438</v>
      </c>
      <c r="B11443" s="3" t="str">
        <f>"00515130"</f>
        <v>00515130</v>
      </c>
    </row>
    <row r="11444" spans="1:2" x14ac:dyDescent="0.25">
      <c r="A11444" s="2">
        <v>11439</v>
      </c>
      <c r="B11444" s="3" t="str">
        <f>"00515159"</f>
        <v>00515159</v>
      </c>
    </row>
    <row r="11445" spans="1:2" x14ac:dyDescent="0.25">
      <c r="A11445" s="2">
        <v>11440</v>
      </c>
      <c r="B11445" s="3" t="str">
        <f>"00515252"</f>
        <v>00515252</v>
      </c>
    </row>
    <row r="11446" spans="1:2" x14ac:dyDescent="0.25">
      <c r="A11446" s="2">
        <v>11441</v>
      </c>
      <c r="B11446" s="3" t="str">
        <f>"00516000"</f>
        <v>00516000</v>
      </c>
    </row>
    <row r="11447" spans="1:2" x14ac:dyDescent="0.25">
      <c r="A11447" s="2">
        <v>11442</v>
      </c>
      <c r="B11447" s="3" t="str">
        <f>"00516154"</f>
        <v>00516154</v>
      </c>
    </row>
    <row r="11448" spans="1:2" x14ac:dyDescent="0.25">
      <c r="A11448" s="2">
        <v>11443</v>
      </c>
      <c r="B11448" s="3" t="str">
        <f>"00516177"</f>
        <v>00516177</v>
      </c>
    </row>
    <row r="11449" spans="1:2" x14ac:dyDescent="0.25">
      <c r="A11449" s="2">
        <v>11444</v>
      </c>
      <c r="B11449" s="3" t="str">
        <f>"00516300"</f>
        <v>00516300</v>
      </c>
    </row>
    <row r="11450" spans="1:2" x14ac:dyDescent="0.25">
      <c r="A11450" s="2">
        <v>11445</v>
      </c>
      <c r="B11450" s="3" t="str">
        <f>"00516436"</f>
        <v>00516436</v>
      </c>
    </row>
    <row r="11451" spans="1:2" x14ac:dyDescent="0.25">
      <c r="A11451" s="2">
        <v>11446</v>
      </c>
      <c r="B11451" s="3" t="str">
        <f>"00516583"</f>
        <v>00516583</v>
      </c>
    </row>
    <row r="11452" spans="1:2" x14ac:dyDescent="0.25">
      <c r="A11452" s="2">
        <v>11447</v>
      </c>
      <c r="B11452" s="3" t="str">
        <f>"00516973"</f>
        <v>00516973</v>
      </c>
    </row>
    <row r="11453" spans="1:2" x14ac:dyDescent="0.25">
      <c r="A11453" s="2">
        <v>11448</v>
      </c>
      <c r="B11453" s="3" t="str">
        <f>"00517172"</f>
        <v>00517172</v>
      </c>
    </row>
    <row r="11454" spans="1:2" x14ac:dyDescent="0.25">
      <c r="A11454" s="2">
        <v>11449</v>
      </c>
      <c r="B11454" s="3" t="str">
        <f>"00517344"</f>
        <v>00517344</v>
      </c>
    </row>
    <row r="11455" spans="1:2" x14ac:dyDescent="0.25">
      <c r="A11455" s="2">
        <v>11450</v>
      </c>
      <c r="B11455" s="3" t="str">
        <f>"00517677"</f>
        <v>00517677</v>
      </c>
    </row>
    <row r="11456" spans="1:2" x14ac:dyDescent="0.25">
      <c r="A11456" s="2">
        <v>11451</v>
      </c>
      <c r="B11456" s="3" t="str">
        <f>"00517863"</f>
        <v>00517863</v>
      </c>
    </row>
    <row r="11457" spans="1:2" x14ac:dyDescent="0.25">
      <c r="A11457" s="2">
        <v>11452</v>
      </c>
      <c r="B11457" s="3" t="str">
        <f>"00517922"</f>
        <v>00517922</v>
      </c>
    </row>
    <row r="11458" spans="1:2" x14ac:dyDescent="0.25">
      <c r="A11458" s="2">
        <v>11453</v>
      </c>
      <c r="B11458" s="3" t="str">
        <f>"00517951"</f>
        <v>00517951</v>
      </c>
    </row>
    <row r="11459" spans="1:2" x14ac:dyDescent="0.25">
      <c r="A11459" s="2">
        <v>11454</v>
      </c>
      <c r="B11459" s="3" t="str">
        <f>"00518195"</f>
        <v>00518195</v>
      </c>
    </row>
    <row r="11460" spans="1:2" x14ac:dyDescent="0.25">
      <c r="A11460" s="2">
        <v>11455</v>
      </c>
      <c r="B11460" s="3" t="str">
        <f>"00518384"</f>
        <v>00518384</v>
      </c>
    </row>
    <row r="11461" spans="1:2" x14ac:dyDescent="0.25">
      <c r="A11461" s="2">
        <v>11456</v>
      </c>
      <c r="B11461" s="3" t="str">
        <f>"00518497"</f>
        <v>00518497</v>
      </c>
    </row>
    <row r="11462" spans="1:2" x14ac:dyDescent="0.25">
      <c r="A11462" s="2">
        <v>11457</v>
      </c>
      <c r="B11462" s="3" t="str">
        <f>"00518671"</f>
        <v>00518671</v>
      </c>
    </row>
    <row r="11463" spans="1:2" x14ac:dyDescent="0.25">
      <c r="A11463" s="2">
        <v>11458</v>
      </c>
      <c r="B11463" s="3" t="str">
        <f>"00518718"</f>
        <v>00518718</v>
      </c>
    </row>
    <row r="11464" spans="1:2" x14ac:dyDescent="0.25">
      <c r="A11464" s="2">
        <v>11459</v>
      </c>
      <c r="B11464" s="3" t="str">
        <f>"00518935"</f>
        <v>00518935</v>
      </c>
    </row>
    <row r="11465" spans="1:2" x14ac:dyDescent="0.25">
      <c r="A11465" s="2">
        <v>11460</v>
      </c>
      <c r="B11465" s="3" t="str">
        <f>"00519364"</f>
        <v>00519364</v>
      </c>
    </row>
    <row r="11466" spans="1:2" x14ac:dyDescent="0.25">
      <c r="A11466" s="2">
        <v>11461</v>
      </c>
      <c r="B11466" s="3" t="str">
        <f>"00519755"</f>
        <v>00519755</v>
      </c>
    </row>
    <row r="11467" spans="1:2" x14ac:dyDescent="0.25">
      <c r="A11467" s="2">
        <v>11462</v>
      </c>
      <c r="B11467" s="3" t="str">
        <f>"00519797"</f>
        <v>00519797</v>
      </c>
    </row>
    <row r="11468" spans="1:2" x14ac:dyDescent="0.25">
      <c r="A11468" s="2">
        <v>11463</v>
      </c>
      <c r="B11468" s="3" t="str">
        <f>"00520075"</f>
        <v>00520075</v>
      </c>
    </row>
    <row r="11469" spans="1:2" x14ac:dyDescent="0.25">
      <c r="A11469" s="2">
        <v>11464</v>
      </c>
      <c r="B11469" s="3" t="str">
        <f>"00520106"</f>
        <v>00520106</v>
      </c>
    </row>
    <row r="11470" spans="1:2" x14ac:dyDescent="0.25">
      <c r="A11470" s="2">
        <v>11465</v>
      </c>
      <c r="B11470" s="3" t="str">
        <f>"00520266"</f>
        <v>00520266</v>
      </c>
    </row>
    <row r="11471" spans="1:2" x14ac:dyDescent="0.25">
      <c r="A11471" s="2">
        <v>11466</v>
      </c>
      <c r="B11471" s="3" t="str">
        <f>"00520363"</f>
        <v>00520363</v>
      </c>
    </row>
    <row r="11472" spans="1:2" x14ac:dyDescent="0.25">
      <c r="A11472" s="2">
        <v>11467</v>
      </c>
      <c r="B11472" s="3" t="str">
        <f>"00520390"</f>
        <v>00520390</v>
      </c>
    </row>
    <row r="11473" spans="1:2" x14ac:dyDescent="0.25">
      <c r="A11473" s="2">
        <v>11468</v>
      </c>
      <c r="B11473" s="3" t="str">
        <f>"00520427"</f>
        <v>00520427</v>
      </c>
    </row>
    <row r="11474" spans="1:2" x14ac:dyDescent="0.25">
      <c r="A11474" s="2">
        <v>11469</v>
      </c>
      <c r="B11474" s="3" t="str">
        <f>"00520505"</f>
        <v>00520505</v>
      </c>
    </row>
    <row r="11475" spans="1:2" x14ac:dyDescent="0.25">
      <c r="A11475" s="2">
        <v>11470</v>
      </c>
      <c r="B11475" s="3" t="str">
        <f>"00520633"</f>
        <v>00520633</v>
      </c>
    </row>
    <row r="11476" spans="1:2" x14ac:dyDescent="0.25">
      <c r="A11476" s="2">
        <v>11471</v>
      </c>
      <c r="B11476" s="3" t="str">
        <f>"00521277"</f>
        <v>00521277</v>
      </c>
    </row>
    <row r="11477" spans="1:2" x14ac:dyDescent="0.25">
      <c r="A11477" s="2">
        <v>11472</v>
      </c>
      <c r="B11477" s="3" t="str">
        <f>"00521415"</f>
        <v>00521415</v>
      </c>
    </row>
    <row r="11478" spans="1:2" x14ac:dyDescent="0.25">
      <c r="A11478" s="2">
        <v>11473</v>
      </c>
      <c r="B11478" s="3" t="str">
        <f>"00521702"</f>
        <v>00521702</v>
      </c>
    </row>
    <row r="11479" spans="1:2" x14ac:dyDescent="0.25">
      <c r="A11479" s="2">
        <v>11474</v>
      </c>
      <c r="B11479" s="3" t="str">
        <f>"00521941"</f>
        <v>00521941</v>
      </c>
    </row>
    <row r="11480" spans="1:2" x14ac:dyDescent="0.25">
      <c r="A11480" s="2">
        <v>11475</v>
      </c>
      <c r="B11480" s="3" t="str">
        <f>"00522450"</f>
        <v>00522450</v>
      </c>
    </row>
    <row r="11481" spans="1:2" x14ac:dyDescent="0.25">
      <c r="A11481" s="2">
        <v>11476</v>
      </c>
      <c r="B11481" s="3" t="str">
        <f>"00522522"</f>
        <v>00522522</v>
      </c>
    </row>
    <row r="11482" spans="1:2" x14ac:dyDescent="0.25">
      <c r="A11482" s="2">
        <v>11477</v>
      </c>
      <c r="B11482" s="3" t="str">
        <f>"00522906"</f>
        <v>00522906</v>
      </c>
    </row>
    <row r="11483" spans="1:2" x14ac:dyDescent="0.25">
      <c r="A11483" s="2">
        <v>11478</v>
      </c>
      <c r="B11483" s="3" t="str">
        <f>"00523053"</f>
        <v>00523053</v>
      </c>
    </row>
    <row r="11484" spans="1:2" x14ac:dyDescent="0.25">
      <c r="A11484" s="2">
        <v>11479</v>
      </c>
      <c r="B11484" s="3" t="str">
        <f>"00523063"</f>
        <v>00523063</v>
      </c>
    </row>
    <row r="11485" spans="1:2" x14ac:dyDescent="0.25">
      <c r="A11485" s="2">
        <v>11480</v>
      </c>
      <c r="B11485" s="3" t="str">
        <f>"00523141"</f>
        <v>00523141</v>
      </c>
    </row>
    <row r="11486" spans="1:2" x14ac:dyDescent="0.25">
      <c r="A11486" s="2">
        <v>11481</v>
      </c>
      <c r="B11486" s="3" t="str">
        <f>"00523296"</f>
        <v>00523296</v>
      </c>
    </row>
    <row r="11487" spans="1:2" x14ac:dyDescent="0.25">
      <c r="A11487" s="2">
        <v>11482</v>
      </c>
      <c r="B11487" s="3" t="str">
        <f>"00523333"</f>
        <v>00523333</v>
      </c>
    </row>
    <row r="11488" spans="1:2" x14ac:dyDescent="0.25">
      <c r="A11488" s="2">
        <v>11483</v>
      </c>
      <c r="B11488" s="3" t="str">
        <f>"00523465"</f>
        <v>00523465</v>
      </c>
    </row>
    <row r="11489" spans="1:2" x14ac:dyDescent="0.25">
      <c r="A11489" s="2">
        <v>11484</v>
      </c>
      <c r="B11489" s="3" t="str">
        <f>"00523560"</f>
        <v>00523560</v>
      </c>
    </row>
    <row r="11490" spans="1:2" x14ac:dyDescent="0.25">
      <c r="A11490" s="2">
        <v>11485</v>
      </c>
      <c r="B11490" s="3" t="str">
        <f>"00523566"</f>
        <v>00523566</v>
      </c>
    </row>
    <row r="11491" spans="1:2" x14ac:dyDescent="0.25">
      <c r="A11491" s="2">
        <v>11486</v>
      </c>
      <c r="B11491" s="3" t="str">
        <f>"00523873"</f>
        <v>00523873</v>
      </c>
    </row>
    <row r="11492" spans="1:2" x14ac:dyDescent="0.25">
      <c r="A11492" s="2">
        <v>11487</v>
      </c>
      <c r="B11492" s="3" t="str">
        <f>"00524055"</f>
        <v>00524055</v>
      </c>
    </row>
    <row r="11493" spans="1:2" x14ac:dyDescent="0.25">
      <c r="A11493" s="2">
        <v>11488</v>
      </c>
      <c r="B11493" s="3" t="str">
        <f>"00524236"</f>
        <v>00524236</v>
      </c>
    </row>
    <row r="11494" spans="1:2" x14ac:dyDescent="0.25">
      <c r="A11494" s="2">
        <v>11489</v>
      </c>
      <c r="B11494" s="3" t="str">
        <f>"00524248"</f>
        <v>00524248</v>
      </c>
    </row>
    <row r="11495" spans="1:2" x14ac:dyDescent="0.25">
      <c r="A11495" s="2">
        <v>11490</v>
      </c>
      <c r="B11495" s="3" t="str">
        <f>"00524428"</f>
        <v>00524428</v>
      </c>
    </row>
    <row r="11496" spans="1:2" x14ac:dyDescent="0.25">
      <c r="A11496" s="2">
        <v>11491</v>
      </c>
      <c r="B11496" s="3" t="str">
        <f>"00524815"</f>
        <v>00524815</v>
      </c>
    </row>
    <row r="11497" spans="1:2" x14ac:dyDescent="0.25">
      <c r="A11497" s="2">
        <v>11492</v>
      </c>
      <c r="B11497" s="3" t="str">
        <f>"00524887"</f>
        <v>00524887</v>
      </c>
    </row>
    <row r="11498" spans="1:2" x14ac:dyDescent="0.25">
      <c r="A11498" s="2">
        <v>11493</v>
      </c>
      <c r="B11498" s="3" t="str">
        <f>"00524901"</f>
        <v>00524901</v>
      </c>
    </row>
    <row r="11499" spans="1:2" x14ac:dyDescent="0.25">
      <c r="A11499" s="2">
        <v>11494</v>
      </c>
      <c r="B11499" s="3" t="str">
        <f>"00524922"</f>
        <v>00524922</v>
      </c>
    </row>
    <row r="11500" spans="1:2" x14ac:dyDescent="0.25">
      <c r="A11500" s="2">
        <v>11495</v>
      </c>
      <c r="B11500" s="3" t="str">
        <f>"00524978"</f>
        <v>00524978</v>
      </c>
    </row>
    <row r="11501" spans="1:2" x14ac:dyDescent="0.25">
      <c r="A11501" s="2">
        <v>11496</v>
      </c>
      <c r="B11501" s="3" t="str">
        <f>"00525025"</f>
        <v>00525025</v>
      </c>
    </row>
    <row r="11502" spans="1:2" x14ac:dyDescent="0.25">
      <c r="A11502" s="2">
        <v>11497</v>
      </c>
      <c r="B11502" s="3" t="str">
        <f>"00525034"</f>
        <v>00525034</v>
      </c>
    </row>
    <row r="11503" spans="1:2" x14ac:dyDescent="0.25">
      <c r="A11503" s="2">
        <v>11498</v>
      </c>
      <c r="B11503" s="3" t="str">
        <f>"00525147"</f>
        <v>00525147</v>
      </c>
    </row>
    <row r="11504" spans="1:2" x14ac:dyDescent="0.25">
      <c r="A11504" s="2">
        <v>11499</v>
      </c>
      <c r="B11504" s="3" t="str">
        <f>"00525167"</f>
        <v>00525167</v>
      </c>
    </row>
    <row r="11505" spans="1:2" x14ac:dyDescent="0.25">
      <c r="A11505" s="2">
        <v>11500</v>
      </c>
      <c r="B11505" s="3" t="str">
        <f>"00525280"</f>
        <v>00525280</v>
      </c>
    </row>
    <row r="11506" spans="1:2" x14ac:dyDescent="0.25">
      <c r="A11506" s="2">
        <v>11501</v>
      </c>
      <c r="B11506" s="3" t="str">
        <f>"00526071"</f>
        <v>00526071</v>
      </c>
    </row>
    <row r="11507" spans="1:2" x14ac:dyDescent="0.25">
      <c r="A11507" s="2">
        <v>11502</v>
      </c>
      <c r="B11507" s="3" t="str">
        <f>"00526151"</f>
        <v>00526151</v>
      </c>
    </row>
    <row r="11508" spans="1:2" x14ac:dyDescent="0.25">
      <c r="A11508" s="2">
        <v>11503</v>
      </c>
      <c r="B11508" s="3" t="str">
        <f>"00526199"</f>
        <v>00526199</v>
      </c>
    </row>
    <row r="11509" spans="1:2" x14ac:dyDescent="0.25">
      <c r="A11509" s="2">
        <v>11504</v>
      </c>
      <c r="B11509" s="3" t="str">
        <f>"00526230"</f>
        <v>00526230</v>
      </c>
    </row>
    <row r="11510" spans="1:2" x14ac:dyDescent="0.25">
      <c r="A11510" s="2">
        <v>11505</v>
      </c>
      <c r="B11510" s="3" t="str">
        <f>"00526563"</f>
        <v>00526563</v>
      </c>
    </row>
    <row r="11511" spans="1:2" x14ac:dyDescent="0.25">
      <c r="A11511" s="2">
        <v>11506</v>
      </c>
      <c r="B11511" s="3" t="str">
        <f>"00526633"</f>
        <v>00526633</v>
      </c>
    </row>
    <row r="11512" spans="1:2" x14ac:dyDescent="0.25">
      <c r="A11512" s="2">
        <v>11507</v>
      </c>
      <c r="B11512" s="3" t="str">
        <f>"00526730"</f>
        <v>00526730</v>
      </c>
    </row>
    <row r="11513" spans="1:2" x14ac:dyDescent="0.25">
      <c r="A11513" s="2">
        <v>11508</v>
      </c>
      <c r="B11513" s="3" t="str">
        <f>"00526858"</f>
        <v>00526858</v>
      </c>
    </row>
    <row r="11514" spans="1:2" x14ac:dyDescent="0.25">
      <c r="A11514" s="2">
        <v>11509</v>
      </c>
      <c r="B11514" s="3" t="str">
        <f>"00526959"</f>
        <v>00526959</v>
      </c>
    </row>
    <row r="11515" spans="1:2" x14ac:dyDescent="0.25">
      <c r="A11515" s="2">
        <v>11510</v>
      </c>
      <c r="B11515" s="3" t="str">
        <f>"00527246"</f>
        <v>00527246</v>
      </c>
    </row>
    <row r="11516" spans="1:2" x14ac:dyDescent="0.25">
      <c r="A11516" s="2">
        <v>11511</v>
      </c>
      <c r="B11516" s="3" t="str">
        <f>"00527348"</f>
        <v>00527348</v>
      </c>
    </row>
    <row r="11517" spans="1:2" x14ac:dyDescent="0.25">
      <c r="A11517" s="2">
        <v>11512</v>
      </c>
      <c r="B11517" s="3" t="str">
        <f>"00527403"</f>
        <v>00527403</v>
      </c>
    </row>
    <row r="11518" spans="1:2" x14ac:dyDescent="0.25">
      <c r="A11518" s="2">
        <v>11513</v>
      </c>
      <c r="B11518" s="3" t="str">
        <f>"00527847"</f>
        <v>00527847</v>
      </c>
    </row>
    <row r="11519" spans="1:2" x14ac:dyDescent="0.25">
      <c r="A11519" s="2">
        <v>11514</v>
      </c>
      <c r="B11519" s="3" t="str">
        <f>"00527873"</f>
        <v>00527873</v>
      </c>
    </row>
    <row r="11520" spans="1:2" x14ac:dyDescent="0.25">
      <c r="A11520" s="2">
        <v>11515</v>
      </c>
      <c r="B11520" s="3" t="str">
        <f>"00528000"</f>
        <v>00528000</v>
      </c>
    </row>
    <row r="11521" spans="1:2" x14ac:dyDescent="0.25">
      <c r="A11521" s="2">
        <v>11516</v>
      </c>
      <c r="B11521" s="3" t="str">
        <f>"00528324"</f>
        <v>00528324</v>
      </c>
    </row>
    <row r="11522" spans="1:2" x14ac:dyDescent="0.25">
      <c r="A11522" s="2">
        <v>11517</v>
      </c>
      <c r="B11522" s="3" t="str">
        <f>"00528360"</f>
        <v>00528360</v>
      </c>
    </row>
    <row r="11523" spans="1:2" x14ac:dyDescent="0.25">
      <c r="A11523" s="2">
        <v>11518</v>
      </c>
      <c r="B11523" s="3" t="str">
        <f>"00528407"</f>
        <v>00528407</v>
      </c>
    </row>
    <row r="11524" spans="1:2" x14ac:dyDescent="0.25">
      <c r="A11524" s="2">
        <v>11519</v>
      </c>
      <c r="B11524" s="3" t="str">
        <f>"00528471"</f>
        <v>00528471</v>
      </c>
    </row>
    <row r="11525" spans="1:2" x14ac:dyDescent="0.25">
      <c r="A11525" s="2">
        <v>11520</v>
      </c>
      <c r="B11525" s="3" t="str">
        <f>"00528536"</f>
        <v>00528536</v>
      </c>
    </row>
    <row r="11526" spans="1:2" x14ac:dyDescent="0.25">
      <c r="A11526" s="2">
        <v>11521</v>
      </c>
      <c r="B11526" s="3" t="str">
        <f>"00528605"</f>
        <v>00528605</v>
      </c>
    </row>
    <row r="11527" spans="1:2" x14ac:dyDescent="0.25">
      <c r="A11527" s="2">
        <v>11522</v>
      </c>
      <c r="B11527" s="3" t="str">
        <f>"00528621"</f>
        <v>00528621</v>
      </c>
    </row>
    <row r="11528" spans="1:2" x14ac:dyDescent="0.25">
      <c r="A11528" s="2">
        <v>11523</v>
      </c>
      <c r="B11528" s="3" t="str">
        <f>"00528705"</f>
        <v>00528705</v>
      </c>
    </row>
    <row r="11529" spans="1:2" x14ac:dyDescent="0.25">
      <c r="A11529" s="2">
        <v>11524</v>
      </c>
      <c r="B11529" s="3" t="str">
        <f>"00528900"</f>
        <v>00528900</v>
      </c>
    </row>
    <row r="11530" spans="1:2" x14ac:dyDescent="0.25">
      <c r="A11530" s="2">
        <v>11525</v>
      </c>
      <c r="B11530" s="3" t="str">
        <f>"00528937"</f>
        <v>00528937</v>
      </c>
    </row>
    <row r="11531" spans="1:2" x14ac:dyDescent="0.25">
      <c r="A11531" s="2">
        <v>11526</v>
      </c>
      <c r="B11531" s="3" t="str">
        <f>"00528960"</f>
        <v>00528960</v>
      </c>
    </row>
    <row r="11532" spans="1:2" x14ac:dyDescent="0.25">
      <c r="A11532" s="2">
        <v>11527</v>
      </c>
      <c r="B11532" s="3" t="str">
        <f>"00529070"</f>
        <v>00529070</v>
      </c>
    </row>
    <row r="11533" spans="1:2" x14ac:dyDescent="0.25">
      <c r="A11533" s="2">
        <v>11528</v>
      </c>
      <c r="B11533" s="3" t="str">
        <f>"00529082"</f>
        <v>00529082</v>
      </c>
    </row>
    <row r="11534" spans="1:2" x14ac:dyDescent="0.25">
      <c r="A11534" s="2">
        <v>11529</v>
      </c>
      <c r="B11534" s="3" t="str">
        <f>"00529401"</f>
        <v>00529401</v>
      </c>
    </row>
    <row r="11535" spans="1:2" x14ac:dyDescent="0.25">
      <c r="A11535" s="2">
        <v>11530</v>
      </c>
      <c r="B11535" s="3" t="str">
        <f>"00529605"</f>
        <v>00529605</v>
      </c>
    </row>
    <row r="11536" spans="1:2" x14ac:dyDescent="0.25">
      <c r="A11536" s="2">
        <v>11531</v>
      </c>
      <c r="B11536" s="3" t="str">
        <f>"00529608"</f>
        <v>00529608</v>
      </c>
    </row>
    <row r="11537" spans="1:2" x14ac:dyDescent="0.25">
      <c r="A11537" s="2">
        <v>11532</v>
      </c>
      <c r="B11537" s="3" t="str">
        <f>"00529722"</f>
        <v>00529722</v>
      </c>
    </row>
    <row r="11538" spans="1:2" x14ac:dyDescent="0.25">
      <c r="A11538" s="2">
        <v>11533</v>
      </c>
      <c r="B11538" s="3" t="str">
        <f>"00529777"</f>
        <v>00529777</v>
      </c>
    </row>
    <row r="11539" spans="1:2" x14ac:dyDescent="0.25">
      <c r="A11539" s="2">
        <v>11534</v>
      </c>
      <c r="B11539" s="3" t="str">
        <f>"00529791"</f>
        <v>00529791</v>
      </c>
    </row>
    <row r="11540" spans="1:2" x14ac:dyDescent="0.25">
      <c r="A11540" s="2">
        <v>11535</v>
      </c>
      <c r="B11540" s="3" t="str">
        <f>"00529815"</f>
        <v>00529815</v>
      </c>
    </row>
    <row r="11541" spans="1:2" x14ac:dyDescent="0.25">
      <c r="A11541" s="2">
        <v>11536</v>
      </c>
      <c r="B11541" s="3" t="str">
        <f>"00530079"</f>
        <v>00530079</v>
      </c>
    </row>
    <row r="11542" spans="1:2" x14ac:dyDescent="0.25">
      <c r="A11542" s="2">
        <v>11537</v>
      </c>
      <c r="B11542" s="3" t="str">
        <f>"00530103"</f>
        <v>00530103</v>
      </c>
    </row>
    <row r="11543" spans="1:2" x14ac:dyDescent="0.25">
      <c r="A11543" s="2">
        <v>11538</v>
      </c>
      <c r="B11543" s="3" t="str">
        <f>"00530286"</f>
        <v>00530286</v>
      </c>
    </row>
    <row r="11544" spans="1:2" x14ac:dyDescent="0.25">
      <c r="A11544" s="2">
        <v>11539</v>
      </c>
      <c r="B11544" s="3" t="str">
        <f>"00530392"</f>
        <v>00530392</v>
      </c>
    </row>
    <row r="11545" spans="1:2" x14ac:dyDescent="0.25">
      <c r="A11545" s="2">
        <v>11540</v>
      </c>
      <c r="B11545" s="3" t="str">
        <f>"00530413"</f>
        <v>00530413</v>
      </c>
    </row>
    <row r="11546" spans="1:2" x14ac:dyDescent="0.25">
      <c r="A11546" s="2">
        <v>11541</v>
      </c>
      <c r="B11546" s="3" t="str">
        <f>"00530444"</f>
        <v>00530444</v>
      </c>
    </row>
    <row r="11547" spans="1:2" x14ac:dyDescent="0.25">
      <c r="A11547" s="2">
        <v>11542</v>
      </c>
      <c r="B11547" s="3" t="str">
        <f>"00530605"</f>
        <v>00530605</v>
      </c>
    </row>
    <row r="11548" spans="1:2" x14ac:dyDescent="0.25">
      <c r="A11548" s="2">
        <v>11543</v>
      </c>
      <c r="B11548" s="3" t="str">
        <f>"00530680"</f>
        <v>00530680</v>
      </c>
    </row>
    <row r="11549" spans="1:2" x14ac:dyDescent="0.25">
      <c r="A11549" s="2">
        <v>11544</v>
      </c>
      <c r="B11549" s="3" t="str">
        <f>"00530703"</f>
        <v>00530703</v>
      </c>
    </row>
    <row r="11550" spans="1:2" x14ac:dyDescent="0.25">
      <c r="A11550" s="2">
        <v>11545</v>
      </c>
      <c r="B11550" s="3" t="str">
        <f>"00530707"</f>
        <v>00530707</v>
      </c>
    </row>
    <row r="11551" spans="1:2" x14ac:dyDescent="0.25">
      <c r="A11551" s="2">
        <v>11546</v>
      </c>
      <c r="B11551" s="3" t="str">
        <f>"00530755"</f>
        <v>00530755</v>
      </c>
    </row>
    <row r="11552" spans="1:2" x14ac:dyDescent="0.25">
      <c r="A11552" s="2">
        <v>11547</v>
      </c>
      <c r="B11552" s="3" t="str">
        <f>"00530840"</f>
        <v>00530840</v>
      </c>
    </row>
    <row r="11553" spans="1:2" x14ac:dyDescent="0.25">
      <c r="A11553" s="2">
        <v>11548</v>
      </c>
      <c r="B11553" s="3" t="str">
        <f>"00530866"</f>
        <v>00530866</v>
      </c>
    </row>
    <row r="11554" spans="1:2" x14ac:dyDescent="0.25">
      <c r="A11554" s="2">
        <v>11549</v>
      </c>
      <c r="B11554" s="3" t="str">
        <f>"00530889"</f>
        <v>00530889</v>
      </c>
    </row>
    <row r="11555" spans="1:2" x14ac:dyDescent="0.25">
      <c r="A11555" s="2">
        <v>11550</v>
      </c>
      <c r="B11555" s="3" t="str">
        <f>"00530970"</f>
        <v>00530970</v>
      </c>
    </row>
    <row r="11556" spans="1:2" x14ac:dyDescent="0.25">
      <c r="A11556" s="2">
        <v>11551</v>
      </c>
      <c r="B11556" s="3" t="str">
        <f>"00530974"</f>
        <v>00530974</v>
      </c>
    </row>
    <row r="11557" spans="1:2" x14ac:dyDescent="0.25">
      <c r="A11557" s="2">
        <v>11552</v>
      </c>
      <c r="B11557" s="3" t="str">
        <f>"00530979"</f>
        <v>00530979</v>
      </c>
    </row>
    <row r="11558" spans="1:2" x14ac:dyDescent="0.25">
      <c r="A11558" s="2">
        <v>11553</v>
      </c>
      <c r="B11558" s="3" t="str">
        <f>"00531009"</f>
        <v>00531009</v>
      </c>
    </row>
    <row r="11559" spans="1:2" x14ac:dyDescent="0.25">
      <c r="A11559" s="2">
        <v>11554</v>
      </c>
      <c r="B11559" s="3" t="str">
        <f>"00531023"</f>
        <v>00531023</v>
      </c>
    </row>
    <row r="11560" spans="1:2" x14ac:dyDescent="0.25">
      <c r="A11560" s="2">
        <v>11555</v>
      </c>
      <c r="B11560" s="3" t="str">
        <f>"00531170"</f>
        <v>00531170</v>
      </c>
    </row>
    <row r="11561" spans="1:2" x14ac:dyDescent="0.25">
      <c r="A11561" s="2">
        <v>11556</v>
      </c>
      <c r="B11561" s="3" t="str">
        <f>"00531188"</f>
        <v>00531188</v>
      </c>
    </row>
    <row r="11562" spans="1:2" x14ac:dyDescent="0.25">
      <c r="A11562" s="2">
        <v>11557</v>
      </c>
      <c r="B11562" s="3" t="str">
        <f>"00531233"</f>
        <v>00531233</v>
      </c>
    </row>
    <row r="11563" spans="1:2" x14ac:dyDescent="0.25">
      <c r="A11563" s="2">
        <v>11558</v>
      </c>
      <c r="B11563" s="3" t="str">
        <f>"00531362"</f>
        <v>00531362</v>
      </c>
    </row>
    <row r="11564" spans="1:2" x14ac:dyDescent="0.25">
      <c r="A11564" s="2">
        <v>11559</v>
      </c>
      <c r="B11564" s="3" t="str">
        <f>"00531376"</f>
        <v>00531376</v>
      </c>
    </row>
    <row r="11565" spans="1:2" x14ac:dyDescent="0.25">
      <c r="A11565" s="2">
        <v>11560</v>
      </c>
      <c r="B11565" s="3" t="str">
        <f>"00531593"</f>
        <v>00531593</v>
      </c>
    </row>
    <row r="11566" spans="1:2" x14ac:dyDescent="0.25">
      <c r="A11566" s="2">
        <v>11561</v>
      </c>
      <c r="B11566" s="3" t="str">
        <f>"00531610"</f>
        <v>00531610</v>
      </c>
    </row>
    <row r="11567" spans="1:2" x14ac:dyDescent="0.25">
      <c r="A11567" s="2">
        <v>11562</v>
      </c>
      <c r="B11567" s="3" t="str">
        <f>"00531746"</f>
        <v>00531746</v>
      </c>
    </row>
    <row r="11568" spans="1:2" x14ac:dyDescent="0.25">
      <c r="A11568" s="2">
        <v>11563</v>
      </c>
      <c r="B11568" s="3" t="str">
        <f>"00531845"</f>
        <v>00531845</v>
      </c>
    </row>
    <row r="11569" spans="1:2" x14ac:dyDescent="0.25">
      <c r="A11569" s="2">
        <v>11564</v>
      </c>
      <c r="B11569" s="3" t="str">
        <f>"00531919"</f>
        <v>00531919</v>
      </c>
    </row>
    <row r="11570" spans="1:2" x14ac:dyDescent="0.25">
      <c r="A11570" s="2">
        <v>11565</v>
      </c>
      <c r="B11570" s="3" t="str">
        <f>"00531953"</f>
        <v>00531953</v>
      </c>
    </row>
    <row r="11571" spans="1:2" x14ac:dyDescent="0.25">
      <c r="A11571" s="2">
        <v>11566</v>
      </c>
      <c r="B11571" s="3" t="str">
        <f>"00531985"</f>
        <v>00531985</v>
      </c>
    </row>
    <row r="11572" spans="1:2" x14ac:dyDescent="0.25">
      <c r="A11572" s="2">
        <v>11567</v>
      </c>
      <c r="B11572" s="3" t="str">
        <f>"00532002"</f>
        <v>00532002</v>
      </c>
    </row>
    <row r="11573" spans="1:2" x14ac:dyDescent="0.25">
      <c r="A11573" s="2">
        <v>11568</v>
      </c>
      <c r="B11573" s="3" t="str">
        <f>"00532089"</f>
        <v>00532089</v>
      </c>
    </row>
    <row r="11574" spans="1:2" x14ac:dyDescent="0.25">
      <c r="A11574" s="2">
        <v>11569</v>
      </c>
      <c r="B11574" s="3" t="str">
        <f>"00532097"</f>
        <v>00532097</v>
      </c>
    </row>
    <row r="11575" spans="1:2" x14ac:dyDescent="0.25">
      <c r="A11575" s="2">
        <v>11570</v>
      </c>
      <c r="B11575" s="3" t="str">
        <f>"00532142"</f>
        <v>00532142</v>
      </c>
    </row>
    <row r="11576" spans="1:2" x14ac:dyDescent="0.25">
      <c r="A11576" s="2">
        <v>11571</v>
      </c>
      <c r="B11576" s="3" t="str">
        <f>"00532157"</f>
        <v>00532157</v>
      </c>
    </row>
    <row r="11577" spans="1:2" x14ac:dyDescent="0.25">
      <c r="A11577" s="2">
        <v>11572</v>
      </c>
      <c r="B11577" s="3" t="str">
        <f>"00532372"</f>
        <v>00532372</v>
      </c>
    </row>
    <row r="11578" spans="1:2" x14ac:dyDescent="0.25">
      <c r="A11578" s="2">
        <v>11573</v>
      </c>
      <c r="B11578" s="3" t="str">
        <f>"00532449"</f>
        <v>00532449</v>
      </c>
    </row>
    <row r="11579" spans="1:2" x14ac:dyDescent="0.25">
      <c r="A11579" s="2">
        <v>11574</v>
      </c>
      <c r="B11579" s="3" t="str">
        <f>"00532489"</f>
        <v>00532489</v>
      </c>
    </row>
    <row r="11580" spans="1:2" x14ac:dyDescent="0.25">
      <c r="A11580" s="2">
        <v>11575</v>
      </c>
      <c r="B11580" s="3" t="str">
        <f>"00532577"</f>
        <v>00532577</v>
      </c>
    </row>
    <row r="11581" spans="1:2" x14ac:dyDescent="0.25">
      <c r="A11581" s="2">
        <v>11576</v>
      </c>
      <c r="B11581" s="3" t="str">
        <f>"00532857"</f>
        <v>00532857</v>
      </c>
    </row>
    <row r="11582" spans="1:2" x14ac:dyDescent="0.25">
      <c r="A11582" s="2">
        <v>11577</v>
      </c>
      <c r="B11582" s="3" t="str">
        <f>"00532875"</f>
        <v>00532875</v>
      </c>
    </row>
    <row r="11583" spans="1:2" x14ac:dyDescent="0.25">
      <c r="A11583" s="2">
        <v>11578</v>
      </c>
      <c r="B11583" s="3" t="str">
        <f>"00532930"</f>
        <v>00532930</v>
      </c>
    </row>
    <row r="11584" spans="1:2" x14ac:dyDescent="0.25">
      <c r="A11584" s="2">
        <v>11579</v>
      </c>
      <c r="B11584" s="3" t="str">
        <f>"00532975"</f>
        <v>00532975</v>
      </c>
    </row>
    <row r="11585" spans="1:2" x14ac:dyDescent="0.25">
      <c r="A11585" s="2">
        <v>11580</v>
      </c>
      <c r="B11585" s="3" t="str">
        <f>"00533123"</f>
        <v>00533123</v>
      </c>
    </row>
    <row r="11586" spans="1:2" x14ac:dyDescent="0.25">
      <c r="A11586" s="2">
        <v>11581</v>
      </c>
      <c r="B11586" s="3" t="str">
        <f>"00533161"</f>
        <v>00533161</v>
      </c>
    </row>
    <row r="11587" spans="1:2" x14ac:dyDescent="0.25">
      <c r="A11587" s="2">
        <v>11582</v>
      </c>
      <c r="B11587" s="3" t="str">
        <f>"00533165"</f>
        <v>00533165</v>
      </c>
    </row>
    <row r="11588" spans="1:2" x14ac:dyDescent="0.25">
      <c r="A11588" s="2">
        <v>11583</v>
      </c>
      <c r="B11588" s="3" t="str">
        <f>"00533205"</f>
        <v>00533205</v>
      </c>
    </row>
    <row r="11589" spans="1:2" x14ac:dyDescent="0.25">
      <c r="A11589" s="2">
        <v>11584</v>
      </c>
      <c r="B11589" s="3" t="str">
        <f>"00533216"</f>
        <v>00533216</v>
      </c>
    </row>
    <row r="11590" spans="1:2" x14ac:dyDescent="0.25">
      <c r="A11590" s="2">
        <v>11585</v>
      </c>
      <c r="B11590" s="3" t="str">
        <f>"00533226"</f>
        <v>00533226</v>
      </c>
    </row>
    <row r="11591" spans="1:2" x14ac:dyDescent="0.25">
      <c r="A11591" s="2">
        <v>11586</v>
      </c>
      <c r="B11591" s="3" t="str">
        <f>"00533292"</f>
        <v>00533292</v>
      </c>
    </row>
    <row r="11592" spans="1:2" x14ac:dyDescent="0.25">
      <c r="A11592" s="2">
        <v>11587</v>
      </c>
      <c r="B11592" s="3" t="str">
        <f>"00533373"</f>
        <v>00533373</v>
      </c>
    </row>
    <row r="11593" spans="1:2" x14ac:dyDescent="0.25">
      <c r="A11593" s="2">
        <v>11588</v>
      </c>
      <c r="B11593" s="3" t="str">
        <f>"00533420"</f>
        <v>00533420</v>
      </c>
    </row>
    <row r="11594" spans="1:2" x14ac:dyDescent="0.25">
      <c r="A11594" s="2">
        <v>11589</v>
      </c>
      <c r="B11594" s="3" t="str">
        <f>"00533473"</f>
        <v>00533473</v>
      </c>
    </row>
    <row r="11595" spans="1:2" x14ac:dyDescent="0.25">
      <c r="A11595" s="2">
        <v>11590</v>
      </c>
      <c r="B11595" s="3" t="str">
        <f>"00533493"</f>
        <v>00533493</v>
      </c>
    </row>
    <row r="11596" spans="1:2" x14ac:dyDescent="0.25">
      <c r="A11596" s="2">
        <v>11591</v>
      </c>
      <c r="B11596" s="3" t="str">
        <f>"00533533"</f>
        <v>00533533</v>
      </c>
    </row>
    <row r="11597" spans="1:2" x14ac:dyDescent="0.25">
      <c r="A11597" s="2">
        <v>11592</v>
      </c>
      <c r="B11597" s="3" t="str">
        <f>"00533633"</f>
        <v>00533633</v>
      </c>
    </row>
    <row r="11598" spans="1:2" x14ac:dyDescent="0.25">
      <c r="A11598" s="2">
        <v>11593</v>
      </c>
      <c r="B11598" s="3" t="str">
        <f>"00533677"</f>
        <v>00533677</v>
      </c>
    </row>
    <row r="11599" spans="1:2" x14ac:dyDescent="0.25">
      <c r="A11599" s="2">
        <v>11594</v>
      </c>
      <c r="B11599" s="3" t="str">
        <f>"00533697"</f>
        <v>00533697</v>
      </c>
    </row>
    <row r="11600" spans="1:2" x14ac:dyDescent="0.25">
      <c r="A11600" s="2">
        <v>11595</v>
      </c>
      <c r="B11600" s="3" t="str">
        <f>"00533774"</f>
        <v>00533774</v>
      </c>
    </row>
    <row r="11601" spans="1:2" x14ac:dyDescent="0.25">
      <c r="A11601" s="2">
        <v>11596</v>
      </c>
      <c r="B11601" s="3" t="str">
        <f>"00533808"</f>
        <v>00533808</v>
      </c>
    </row>
    <row r="11602" spans="1:2" x14ac:dyDescent="0.25">
      <c r="A11602" s="2">
        <v>11597</v>
      </c>
      <c r="B11602" s="3" t="str">
        <f>"00533856"</f>
        <v>00533856</v>
      </c>
    </row>
    <row r="11603" spans="1:2" x14ac:dyDescent="0.25">
      <c r="A11603" s="2">
        <v>11598</v>
      </c>
      <c r="B11603" s="3" t="str">
        <f>"00533878"</f>
        <v>00533878</v>
      </c>
    </row>
    <row r="11604" spans="1:2" x14ac:dyDescent="0.25">
      <c r="A11604" s="2">
        <v>11599</v>
      </c>
      <c r="B11604" s="3" t="str">
        <f>"00533888"</f>
        <v>00533888</v>
      </c>
    </row>
    <row r="11605" spans="1:2" x14ac:dyDescent="0.25">
      <c r="A11605" s="2">
        <v>11600</v>
      </c>
      <c r="B11605" s="3" t="str">
        <f>"00533953"</f>
        <v>00533953</v>
      </c>
    </row>
    <row r="11606" spans="1:2" x14ac:dyDescent="0.25">
      <c r="A11606" s="2">
        <v>11601</v>
      </c>
      <c r="B11606" s="3" t="str">
        <f>"00534190"</f>
        <v>00534190</v>
      </c>
    </row>
    <row r="11607" spans="1:2" x14ac:dyDescent="0.25">
      <c r="A11607" s="2">
        <v>11602</v>
      </c>
      <c r="B11607" s="3" t="str">
        <f>"00534196"</f>
        <v>00534196</v>
      </c>
    </row>
    <row r="11608" spans="1:2" x14ac:dyDescent="0.25">
      <c r="A11608" s="2">
        <v>11603</v>
      </c>
      <c r="B11608" s="3" t="str">
        <f>"00534199"</f>
        <v>00534199</v>
      </c>
    </row>
    <row r="11609" spans="1:2" x14ac:dyDescent="0.25">
      <c r="A11609" s="2">
        <v>11604</v>
      </c>
      <c r="B11609" s="3" t="str">
        <f>"00534266"</f>
        <v>00534266</v>
      </c>
    </row>
    <row r="11610" spans="1:2" x14ac:dyDescent="0.25">
      <c r="A11610" s="2">
        <v>11605</v>
      </c>
      <c r="B11610" s="3" t="str">
        <f>"00534295"</f>
        <v>00534295</v>
      </c>
    </row>
    <row r="11611" spans="1:2" x14ac:dyDescent="0.25">
      <c r="A11611" s="2">
        <v>11606</v>
      </c>
      <c r="B11611" s="3" t="str">
        <f>"00534343"</f>
        <v>00534343</v>
      </c>
    </row>
    <row r="11612" spans="1:2" x14ac:dyDescent="0.25">
      <c r="A11612" s="2">
        <v>11607</v>
      </c>
      <c r="B11612" s="3" t="str">
        <f>"00534384"</f>
        <v>00534384</v>
      </c>
    </row>
    <row r="11613" spans="1:2" x14ac:dyDescent="0.25">
      <c r="A11613" s="2">
        <v>11608</v>
      </c>
      <c r="B11613" s="3" t="str">
        <f>"00534399"</f>
        <v>00534399</v>
      </c>
    </row>
    <row r="11614" spans="1:2" x14ac:dyDescent="0.25">
      <c r="A11614" s="2">
        <v>11609</v>
      </c>
      <c r="B11614" s="3" t="str">
        <f>"00534468"</f>
        <v>00534468</v>
      </c>
    </row>
    <row r="11615" spans="1:2" x14ac:dyDescent="0.25">
      <c r="A11615" s="2">
        <v>11610</v>
      </c>
      <c r="B11615" s="3" t="str">
        <f>"00534478"</f>
        <v>00534478</v>
      </c>
    </row>
    <row r="11616" spans="1:2" x14ac:dyDescent="0.25">
      <c r="A11616" s="2">
        <v>11611</v>
      </c>
      <c r="B11616" s="3" t="str">
        <f>"00534503"</f>
        <v>00534503</v>
      </c>
    </row>
    <row r="11617" spans="1:2" x14ac:dyDescent="0.25">
      <c r="A11617" s="2">
        <v>11612</v>
      </c>
      <c r="B11617" s="3" t="str">
        <f>"00534517"</f>
        <v>00534517</v>
      </c>
    </row>
    <row r="11618" spans="1:2" x14ac:dyDescent="0.25">
      <c r="A11618" s="2">
        <v>11613</v>
      </c>
      <c r="B11618" s="3" t="str">
        <f>"00534578"</f>
        <v>00534578</v>
      </c>
    </row>
    <row r="11619" spans="1:2" x14ac:dyDescent="0.25">
      <c r="A11619" s="2">
        <v>11614</v>
      </c>
      <c r="B11619" s="3" t="str">
        <f>"00534594"</f>
        <v>00534594</v>
      </c>
    </row>
    <row r="11620" spans="1:2" x14ac:dyDescent="0.25">
      <c r="A11620" s="2">
        <v>11615</v>
      </c>
      <c r="B11620" s="3" t="str">
        <f>"00534691"</f>
        <v>00534691</v>
      </c>
    </row>
    <row r="11621" spans="1:2" x14ac:dyDescent="0.25">
      <c r="A11621" s="2">
        <v>11616</v>
      </c>
      <c r="B11621" s="3" t="str">
        <f>"00534759"</f>
        <v>00534759</v>
      </c>
    </row>
    <row r="11622" spans="1:2" x14ac:dyDescent="0.25">
      <c r="A11622" s="2">
        <v>11617</v>
      </c>
      <c r="B11622" s="3" t="str">
        <f>"00534943"</f>
        <v>00534943</v>
      </c>
    </row>
    <row r="11623" spans="1:2" x14ac:dyDescent="0.25">
      <c r="A11623" s="2">
        <v>11618</v>
      </c>
      <c r="B11623" s="3" t="str">
        <f>"00535028"</f>
        <v>00535028</v>
      </c>
    </row>
    <row r="11624" spans="1:2" x14ac:dyDescent="0.25">
      <c r="A11624" s="2">
        <v>11619</v>
      </c>
      <c r="B11624" s="3" t="str">
        <f>"00535119"</f>
        <v>00535119</v>
      </c>
    </row>
    <row r="11625" spans="1:2" x14ac:dyDescent="0.25">
      <c r="A11625" s="2">
        <v>11620</v>
      </c>
      <c r="B11625" s="3" t="str">
        <f>"00535147"</f>
        <v>00535147</v>
      </c>
    </row>
    <row r="11626" spans="1:2" x14ac:dyDescent="0.25">
      <c r="A11626" s="2">
        <v>11621</v>
      </c>
      <c r="B11626" s="3" t="str">
        <f>"00535158"</f>
        <v>00535158</v>
      </c>
    </row>
    <row r="11627" spans="1:2" x14ac:dyDescent="0.25">
      <c r="A11627" s="2">
        <v>11622</v>
      </c>
      <c r="B11627" s="3" t="str">
        <f>"00535324"</f>
        <v>00535324</v>
      </c>
    </row>
    <row r="11628" spans="1:2" x14ac:dyDescent="0.25">
      <c r="A11628" s="2">
        <v>11623</v>
      </c>
      <c r="B11628" s="3" t="str">
        <f>"00535532"</f>
        <v>00535532</v>
      </c>
    </row>
    <row r="11629" spans="1:2" x14ac:dyDescent="0.25">
      <c r="A11629" s="2">
        <v>11624</v>
      </c>
      <c r="B11629" s="3" t="str">
        <f>"00535626"</f>
        <v>00535626</v>
      </c>
    </row>
    <row r="11630" spans="1:2" x14ac:dyDescent="0.25">
      <c r="A11630" s="2">
        <v>11625</v>
      </c>
      <c r="B11630" s="3" t="str">
        <f>"00535630"</f>
        <v>00535630</v>
      </c>
    </row>
    <row r="11631" spans="1:2" x14ac:dyDescent="0.25">
      <c r="A11631" s="2">
        <v>11626</v>
      </c>
      <c r="B11631" s="3" t="str">
        <f>"00535656"</f>
        <v>00535656</v>
      </c>
    </row>
    <row r="11632" spans="1:2" x14ac:dyDescent="0.25">
      <c r="A11632" s="2">
        <v>11627</v>
      </c>
      <c r="B11632" s="3" t="str">
        <f>"00535810"</f>
        <v>00535810</v>
      </c>
    </row>
    <row r="11633" spans="1:2" x14ac:dyDescent="0.25">
      <c r="A11633" s="2">
        <v>11628</v>
      </c>
      <c r="B11633" s="3" t="str">
        <f>"00535835"</f>
        <v>00535835</v>
      </c>
    </row>
    <row r="11634" spans="1:2" x14ac:dyDescent="0.25">
      <c r="A11634" s="2">
        <v>11629</v>
      </c>
      <c r="B11634" s="3" t="str">
        <f>"00535856"</f>
        <v>00535856</v>
      </c>
    </row>
    <row r="11635" spans="1:2" x14ac:dyDescent="0.25">
      <c r="A11635" s="2">
        <v>11630</v>
      </c>
      <c r="B11635" s="3" t="str">
        <f>"00535871"</f>
        <v>00535871</v>
      </c>
    </row>
    <row r="11636" spans="1:2" x14ac:dyDescent="0.25">
      <c r="A11636" s="2">
        <v>11631</v>
      </c>
      <c r="B11636" s="3" t="str">
        <f>"00535924"</f>
        <v>00535924</v>
      </c>
    </row>
    <row r="11637" spans="1:2" x14ac:dyDescent="0.25">
      <c r="A11637" s="2">
        <v>11632</v>
      </c>
      <c r="B11637" s="3" t="str">
        <f>"00536167"</f>
        <v>00536167</v>
      </c>
    </row>
    <row r="11638" spans="1:2" x14ac:dyDescent="0.25">
      <c r="A11638" s="2">
        <v>11633</v>
      </c>
      <c r="B11638" s="3" t="str">
        <f>"00536366"</f>
        <v>00536366</v>
      </c>
    </row>
    <row r="11639" spans="1:2" x14ac:dyDescent="0.25">
      <c r="A11639" s="2">
        <v>11634</v>
      </c>
      <c r="B11639" s="3" t="str">
        <f>"00536391"</f>
        <v>00536391</v>
      </c>
    </row>
    <row r="11640" spans="1:2" x14ac:dyDescent="0.25">
      <c r="A11640" s="2">
        <v>11635</v>
      </c>
      <c r="B11640" s="3" t="str">
        <f>"00536406"</f>
        <v>00536406</v>
      </c>
    </row>
    <row r="11641" spans="1:2" x14ac:dyDescent="0.25">
      <c r="A11641" s="2">
        <v>11636</v>
      </c>
      <c r="B11641" s="3" t="str">
        <f>"00536544"</f>
        <v>00536544</v>
      </c>
    </row>
    <row r="11642" spans="1:2" x14ac:dyDescent="0.25">
      <c r="A11642" s="2">
        <v>11637</v>
      </c>
      <c r="B11642" s="3" t="str">
        <f>"00536638"</f>
        <v>00536638</v>
      </c>
    </row>
    <row r="11643" spans="1:2" x14ac:dyDescent="0.25">
      <c r="A11643" s="2">
        <v>11638</v>
      </c>
      <c r="B11643" s="3" t="str">
        <f>"00536834"</f>
        <v>00536834</v>
      </c>
    </row>
    <row r="11644" spans="1:2" x14ac:dyDescent="0.25">
      <c r="A11644" s="2">
        <v>11639</v>
      </c>
      <c r="B11644" s="3" t="str">
        <f>"00536887"</f>
        <v>00536887</v>
      </c>
    </row>
    <row r="11645" spans="1:2" x14ac:dyDescent="0.25">
      <c r="A11645" s="2">
        <v>11640</v>
      </c>
      <c r="B11645" s="3" t="str">
        <f>"00536911"</f>
        <v>00536911</v>
      </c>
    </row>
    <row r="11646" spans="1:2" x14ac:dyDescent="0.25">
      <c r="A11646" s="2">
        <v>11641</v>
      </c>
      <c r="B11646" s="3" t="str">
        <f>"00537100"</f>
        <v>00537100</v>
      </c>
    </row>
    <row r="11647" spans="1:2" x14ac:dyDescent="0.25">
      <c r="A11647" s="2">
        <v>11642</v>
      </c>
      <c r="B11647" s="3" t="str">
        <f>"00537253"</f>
        <v>00537253</v>
      </c>
    </row>
    <row r="11648" spans="1:2" x14ac:dyDescent="0.25">
      <c r="A11648" s="2">
        <v>11643</v>
      </c>
      <c r="B11648" s="3" t="str">
        <f>"00537263"</f>
        <v>00537263</v>
      </c>
    </row>
    <row r="11649" spans="1:2" x14ac:dyDescent="0.25">
      <c r="A11649" s="2">
        <v>11644</v>
      </c>
      <c r="B11649" s="3" t="str">
        <f>"00537303"</f>
        <v>00537303</v>
      </c>
    </row>
    <row r="11650" spans="1:2" x14ac:dyDescent="0.25">
      <c r="A11650" s="2">
        <v>11645</v>
      </c>
      <c r="B11650" s="3" t="str">
        <f>"00537354"</f>
        <v>00537354</v>
      </c>
    </row>
    <row r="11651" spans="1:2" x14ac:dyDescent="0.25">
      <c r="A11651" s="2">
        <v>11646</v>
      </c>
      <c r="B11651" s="3" t="str">
        <f>"00537365"</f>
        <v>00537365</v>
      </c>
    </row>
    <row r="11652" spans="1:2" x14ac:dyDescent="0.25">
      <c r="A11652" s="2">
        <v>11647</v>
      </c>
      <c r="B11652" s="3" t="str">
        <f>"00537375"</f>
        <v>00537375</v>
      </c>
    </row>
    <row r="11653" spans="1:2" x14ac:dyDescent="0.25">
      <c r="A11653" s="2">
        <v>11648</v>
      </c>
      <c r="B11653" s="3" t="str">
        <f>"00537402"</f>
        <v>00537402</v>
      </c>
    </row>
    <row r="11654" spans="1:2" x14ac:dyDescent="0.25">
      <c r="A11654" s="2">
        <v>11649</v>
      </c>
      <c r="B11654" s="3" t="str">
        <f>"00537445"</f>
        <v>00537445</v>
      </c>
    </row>
    <row r="11655" spans="1:2" x14ac:dyDescent="0.25">
      <c r="A11655" s="2">
        <v>11650</v>
      </c>
      <c r="B11655" s="3" t="str">
        <f>"00537460"</f>
        <v>00537460</v>
      </c>
    </row>
    <row r="11656" spans="1:2" x14ac:dyDescent="0.25">
      <c r="A11656" s="2">
        <v>11651</v>
      </c>
      <c r="B11656" s="3" t="str">
        <f>"00537471"</f>
        <v>00537471</v>
      </c>
    </row>
    <row r="11657" spans="1:2" x14ac:dyDescent="0.25">
      <c r="A11657" s="2">
        <v>11652</v>
      </c>
      <c r="B11657" s="3" t="str">
        <f>"00537505"</f>
        <v>00537505</v>
      </c>
    </row>
    <row r="11658" spans="1:2" x14ac:dyDescent="0.25">
      <c r="A11658" s="2">
        <v>11653</v>
      </c>
      <c r="B11658" s="3" t="str">
        <f>"00537592"</f>
        <v>00537592</v>
      </c>
    </row>
    <row r="11659" spans="1:2" x14ac:dyDescent="0.25">
      <c r="A11659" s="2">
        <v>11654</v>
      </c>
      <c r="B11659" s="3" t="str">
        <f>"00537689"</f>
        <v>00537689</v>
      </c>
    </row>
    <row r="11660" spans="1:2" x14ac:dyDescent="0.25">
      <c r="A11660" s="2">
        <v>11655</v>
      </c>
      <c r="B11660" s="3" t="str">
        <f>"00537761"</f>
        <v>00537761</v>
      </c>
    </row>
    <row r="11661" spans="1:2" x14ac:dyDescent="0.25">
      <c r="A11661" s="2">
        <v>11656</v>
      </c>
      <c r="B11661" s="3" t="str">
        <f>"00537762"</f>
        <v>00537762</v>
      </c>
    </row>
    <row r="11662" spans="1:2" x14ac:dyDescent="0.25">
      <c r="A11662" s="2">
        <v>11657</v>
      </c>
      <c r="B11662" s="3" t="str">
        <f>"00537765"</f>
        <v>00537765</v>
      </c>
    </row>
    <row r="11663" spans="1:2" x14ac:dyDescent="0.25">
      <c r="A11663" s="2">
        <v>11658</v>
      </c>
      <c r="B11663" s="3" t="str">
        <f>"00537799"</f>
        <v>00537799</v>
      </c>
    </row>
    <row r="11664" spans="1:2" x14ac:dyDescent="0.25">
      <c r="A11664" s="2">
        <v>11659</v>
      </c>
      <c r="B11664" s="3" t="str">
        <f>"00537848"</f>
        <v>00537848</v>
      </c>
    </row>
    <row r="11665" spans="1:2" x14ac:dyDescent="0.25">
      <c r="A11665" s="2">
        <v>11660</v>
      </c>
      <c r="B11665" s="3" t="str">
        <f>"00537886"</f>
        <v>00537886</v>
      </c>
    </row>
    <row r="11666" spans="1:2" x14ac:dyDescent="0.25">
      <c r="A11666" s="2">
        <v>11661</v>
      </c>
      <c r="B11666" s="3" t="str">
        <f>"00537915"</f>
        <v>00537915</v>
      </c>
    </row>
    <row r="11667" spans="1:2" x14ac:dyDescent="0.25">
      <c r="A11667" s="2">
        <v>11662</v>
      </c>
      <c r="B11667" s="3" t="str">
        <f>"00538043"</f>
        <v>00538043</v>
      </c>
    </row>
    <row r="11668" spans="1:2" x14ac:dyDescent="0.25">
      <c r="A11668" s="2">
        <v>11663</v>
      </c>
      <c r="B11668" s="3" t="str">
        <f>"00538085"</f>
        <v>00538085</v>
      </c>
    </row>
    <row r="11669" spans="1:2" x14ac:dyDescent="0.25">
      <c r="A11669" s="2">
        <v>11664</v>
      </c>
      <c r="B11669" s="3" t="str">
        <f>"00538119"</f>
        <v>00538119</v>
      </c>
    </row>
    <row r="11670" spans="1:2" x14ac:dyDescent="0.25">
      <c r="A11670" s="2">
        <v>11665</v>
      </c>
      <c r="B11670" s="3" t="str">
        <f>"00538143"</f>
        <v>00538143</v>
      </c>
    </row>
    <row r="11671" spans="1:2" x14ac:dyDescent="0.25">
      <c r="A11671" s="2">
        <v>11666</v>
      </c>
      <c r="B11671" s="3" t="str">
        <f>"00538168"</f>
        <v>00538168</v>
      </c>
    </row>
    <row r="11672" spans="1:2" x14ac:dyDescent="0.25">
      <c r="A11672" s="2">
        <v>11667</v>
      </c>
      <c r="B11672" s="3" t="str">
        <f>"00538213"</f>
        <v>00538213</v>
      </c>
    </row>
    <row r="11673" spans="1:2" x14ac:dyDescent="0.25">
      <c r="A11673" s="2">
        <v>11668</v>
      </c>
      <c r="B11673" s="3" t="str">
        <f>"00538331"</f>
        <v>00538331</v>
      </c>
    </row>
    <row r="11674" spans="1:2" x14ac:dyDescent="0.25">
      <c r="A11674" s="2">
        <v>11669</v>
      </c>
      <c r="B11674" s="3" t="str">
        <f>"00538375"</f>
        <v>00538375</v>
      </c>
    </row>
    <row r="11675" spans="1:2" x14ac:dyDescent="0.25">
      <c r="A11675" s="2">
        <v>11670</v>
      </c>
      <c r="B11675" s="3" t="str">
        <f>"00538406"</f>
        <v>00538406</v>
      </c>
    </row>
    <row r="11676" spans="1:2" x14ac:dyDescent="0.25">
      <c r="A11676" s="2">
        <v>11671</v>
      </c>
      <c r="B11676" s="3" t="str">
        <f>"00538426"</f>
        <v>00538426</v>
      </c>
    </row>
    <row r="11677" spans="1:2" x14ac:dyDescent="0.25">
      <c r="A11677" s="2">
        <v>11672</v>
      </c>
      <c r="B11677" s="3" t="str">
        <f>"00538447"</f>
        <v>00538447</v>
      </c>
    </row>
    <row r="11678" spans="1:2" x14ac:dyDescent="0.25">
      <c r="A11678" s="2">
        <v>11673</v>
      </c>
      <c r="B11678" s="3" t="str">
        <f>"00538458"</f>
        <v>00538458</v>
      </c>
    </row>
    <row r="11679" spans="1:2" x14ac:dyDescent="0.25">
      <c r="A11679" s="2">
        <v>11674</v>
      </c>
      <c r="B11679" s="3" t="str">
        <f>"00538464"</f>
        <v>00538464</v>
      </c>
    </row>
    <row r="11680" spans="1:2" x14ac:dyDescent="0.25">
      <c r="A11680" s="2">
        <v>11675</v>
      </c>
      <c r="B11680" s="3" t="str">
        <f>"00538484"</f>
        <v>00538484</v>
      </c>
    </row>
    <row r="11681" spans="1:2" x14ac:dyDescent="0.25">
      <c r="A11681" s="2">
        <v>11676</v>
      </c>
      <c r="B11681" s="3" t="str">
        <f>"00538553"</f>
        <v>00538553</v>
      </c>
    </row>
    <row r="11682" spans="1:2" x14ac:dyDescent="0.25">
      <c r="A11682" s="2">
        <v>11677</v>
      </c>
      <c r="B11682" s="3" t="str">
        <f>"00538584"</f>
        <v>00538584</v>
      </c>
    </row>
    <row r="11683" spans="1:2" x14ac:dyDescent="0.25">
      <c r="A11683" s="2">
        <v>11678</v>
      </c>
      <c r="B11683" s="3" t="str">
        <f>"00538587"</f>
        <v>00538587</v>
      </c>
    </row>
    <row r="11684" spans="1:2" x14ac:dyDescent="0.25">
      <c r="A11684" s="2">
        <v>11679</v>
      </c>
      <c r="B11684" s="3" t="str">
        <f>"00538602"</f>
        <v>00538602</v>
      </c>
    </row>
    <row r="11685" spans="1:2" x14ac:dyDescent="0.25">
      <c r="A11685" s="2">
        <v>11680</v>
      </c>
      <c r="B11685" s="3" t="str">
        <f>"00538655"</f>
        <v>00538655</v>
      </c>
    </row>
    <row r="11686" spans="1:2" x14ac:dyDescent="0.25">
      <c r="A11686" s="2">
        <v>11681</v>
      </c>
      <c r="B11686" s="3" t="str">
        <f>"00538661"</f>
        <v>00538661</v>
      </c>
    </row>
    <row r="11687" spans="1:2" x14ac:dyDescent="0.25">
      <c r="A11687" s="2">
        <v>11682</v>
      </c>
      <c r="B11687" s="3" t="str">
        <f>"00538668"</f>
        <v>00538668</v>
      </c>
    </row>
    <row r="11688" spans="1:2" x14ac:dyDescent="0.25">
      <c r="A11688" s="2">
        <v>11683</v>
      </c>
      <c r="B11688" s="3" t="str">
        <f>"00538759"</f>
        <v>00538759</v>
      </c>
    </row>
    <row r="11689" spans="1:2" x14ac:dyDescent="0.25">
      <c r="A11689" s="2">
        <v>11684</v>
      </c>
      <c r="B11689" s="3" t="str">
        <f>"00538780"</f>
        <v>00538780</v>
      </c>
    </row>
    <row r="11690" spans="1:2" x14ac:dyDescent="0.25">
      <c r="A11690" s="2">
        <v>11685</v>
      </c>
      <c r="B11690" s="3" t="str">
        <f>"00538830"</f>
        <v>00538830</v>
      </c>
    </row>
    <row r="11691" spans="1:2" x14ac:dyDescent="0.25">
      <c r="A11691" s="2">
        <v>11686</v>
      </c>
      <c r="B11691" s="3" t="str">
        <f>"00538882"</f>
        <v>00538882</v>
      </c>
    </row>
    <row r="11692" spans="1:2" x14ac:dyDescent="0.25">
      <c r="A11692" s="2">
        <v>11687</v>
      </c>
      <c r="B11692" s="3" t="str">
        <f>"00538884"</f>
        <v>00538884</v>
      </c>
    </row>
    <row r="11693" spans="1:2" x14ac:dyDescent="0.25">
      <c r="A11693" s="2">
        <v>11688</v>
      </c>
      <c r="B11693" s="3" t="str">
        <f>"00538969"</f>
        <v>00538969</v>
      </c>
    </row>
    <row r="11694" spans="1:2" x14ac:dyDescent="0.25">
      <c r="A11694" s="2">
        <v>11689</v>
      </c>
      <c r="B11694" s="3" t="str">
        <f>"00538978"</f>
        <v>00538978</v>
      </c>
    </row>
    <row r="11695" spans="1:2" x14ac:dyDescent="0.25">
      <c r="A11695" s="2">
        <v>11690</v>
      </c>
      <c r="B11695" s="3" t="str">
        <f>"00539070"</f>
        <v>00539070</v>
      </c>
    </row>
    <row r="11696" spans="1:2" x14ac:dyDescent="0.25">
      <c r="A11696" s="2">
        <v>11691</v>
      </c>
      <c r="B11696" s="3" t="str">
        <f>"00539092"</f>
        <v>00539092</v>
      </c>
    </row>
    <row r="11697" spans="1:2" x14ac:dyDescent="0.25">
      <c r="A11697" s="2">
        <v>11692</v>
      </c>
      <c r="B11697" s="3" t="str">
        <f>"00539112"</f>
        <v>00539112</v>
      </c>
    </row>
    <row r="11698" spans="1:2" x14ac:dyDescent="0.25">
      <c r="A11698" s="2">
        <v>11693</v>
      </c>
      <c r="B11698" s="3" t="str">
        <f>"00539119"</f>
        <v>00539119</v>
      </c>
    </row>
    <row r="11699" spans="1:2" x14ac:dyDescent="0.25">
      <c r="A11699" s="2">
        <v>11694</v>
      </c>
      <c r="B11699" s="3" t="str">
        <f>"00539142"</f>
        <v>00539142</v>
      </c>
    </row>
    <row r="11700" spans="1:2" x14ac:dyDescent="0.25">
      <c r="A11700" s="2">
        <v>11695</v>
      </c>
      <c r="B11700" s="3" t="str">
        <f>"00539223"</f>
        <v>00539223</v>
      </c>
    </row>
    <row r="11701" spans="1:2" x14ac:dyDescent="0.25">
      <c r="A11701" s="2">
        <v>11696</v>
      </c>
      <c r="B11701" s="3" t="str">
        <f>"00539240"</f>
        <v>00539240</v>
      </c>
    </row>
    <row r="11702" spans="1:2" x14ac:dyDescent="0.25">
      <c r="A11702" s="2">
        <v>11697</v>
      </c>
      <c r="B11702" s="3" t="str">
        <f>"00539488"</f>
        <v>00539488</v>
      </c>
    </row>
    <row r="11703" spans="1:2" x14ac:dyDescent="0.25">
      <c r="A11703" s="2">
        <v>11698</v>
      </c>
      <c r="B11703" s="3" t="str">
        <f>"00539544"</f>
        <v>00539544</v>
      </c>
    </row>
    <row r="11704" spans="1:2" x14ac:dyDescent="0.25">
      <c r="A11704" s="2">
        <v>11699</v>
      </c>
      <c r="B11704" s="3" t="str">
        <f>"00539599"</f>
        <v>00539599</v>
      </c>
    </row>
    <row r="11705" spans="1:2" x14ac:dyDescent="0.25">
      <c r="A11705" s="2">
        <v>11700</v>
      </c>
      <c r="B11705" s="3" t="str">
        <f>"00539619"</f>
        <v>00539619</v>
      </c>
    </row>
    <row r="11706" spans="1:2" x14ac:dyDescent="0.25">
      <c r="A11706" s="2">
        <v>11701</v>
      </c>
      <c r="B11706" s="3" t="str">
        <f>"00539650"</f>
        <v>00539650</v>
      </c>
    </row>
    <row r="11707" spans="1:2" x14ac:dyDescent="0.25">
      <c r="A11707" s="2">
        <v>11702</v>
      </c>
      <c r="B11707" s="3" t="str">
        <f>"00539713"</f>
        <v>00539713</v>
      </c>
    </row>
    <row r="11708" spans="1:2" x14ac:dyDescent="0.25">
      <c r="A11708" s="2">
        <v>11703</v>
      </c>
      <c r="B11708" s="3" t="str">
        <f>"00539776"</f>
        <v>00539776</v>
      </c>
    </row>
    <row r="11709" spans="1:2" x14ac:dyDescent="0.25">
      <c r="A11709" s="2">
        <v>11704</v>
      </c>
      <c r="B11709" s="3" t="str">
        <f>"00539784"</f>
        <v>00539784</v>
      </c>
    </row>
    <row r="11710" spans="1:2" x14ac:dyDescent="0.25">
      <c r="A11710" s="2">
        <v>11705</v>
      </c>
      <c r="B11710" s="3" t="str">
        <f>"00539837"</f>
        <v>00539837</v>
      </c>
    </row>
    <row r="11711" spans="1:2" x14ac:dyDescent="0.25">
      <c r="A11711" s="2">
        <v>11706</v>
      </c>
      <c r="B11711" s="3" t="str">
        <f>"00539847"</f>
        <v>00539847</v>
      </c>
    </row>
    <row r="11712" spans="1:2" x14ac:dyDescent="0.25">
      <c r="A11712" s="2">
        <v>11707</v>
      </c>
      <c r="B11712" s="3" t="str">
        <f>"00539871"</f>
        <v>00539871</v>
      </c>
    </row>
    <row r="11713" spans="1:2" x14ac:dyDescent="0.25">
      <c r="A11713" s="2">
        <v>11708</v>
      </c>
      <c r="B11713" s="3" t="str">
        <f>"00539967"</f>
        <v>00539967</v>
      </c>
    </row>
    <row r="11714" spans="1:2" x14ac:dyDescent="0.25">
      <c r="A11714" s="2">
        <v>11709</v>
      </c>
      <c r="B11714" s="3" t="str">
        <f>"00539983"</f>
        <v>00539983</v>
      </c>
    </row>
    <row r="11715" spans="1:2" x14ac:dyDescent="0.25">
      <c r="A11715" s="2">
        <v>11710</v>
      </c>
      <c r="B11715" s="3" t="str">
        <f>"00540004"</f>
        <v>00540004</v>
      </c>
    </row>
    <row r="11716" spans="1:2" x14ac:dyDescent="0.25">
      <c r="A11716" s="2">
        <v>11711</v>
      </c>
      <c r="B11716" s="3" t="str">
        <f>"00540035"</f>
        <v>00540035</v>
      </c>
    </row>
    <row r="11717" spans="1:2" x14ac:dyDescent="0.25">
      <c r="A11717" s="2">
        <v>11712</v>
      </c>
      <c r="B11717" s="3" t="str">
        <f>"00540036"</f>
        <v>00540036</v>
      </c>
    </row>
    <row r="11718" spans="1:2" x14ac:dyDescent="0.25">
      <c r="A11718" s="2">
        <v>11713</v>
      </c>
      <c r="B11718" s="3" t="str">
        <f>"00540057"</f>
        <v>00540057</v>
      </c>
    </row>
    <row r="11719" spans="1:2" x14ac:dyDescent="0.25">
      <c r="A11719" s="2">
        <v>11714</v>
      </c>
      <c r="B11719" s="3" t="str">
        <f>"00540060"</f>
        <v>00540060</v>
      </c>
    </row>
    <row r="11720" spans="1:2" x14ac:dyDescent="0.25">
      <c r="A11720" s="2">
        <v>11715</v>
      </c>
      <c r="B11720" s="3" t="str">
        <f>"00540135"</f>
        <v>00540135</v>
      </c>
    </row>
    <row r="11721" spans="1:2" x14ac:dyDescent="0.25">
      <c r="A11721" s="2">
        <v>11716</v>
      </c>
      <c r="B11721" s="3" t="str">
        <f>"00540153"</f>
        <v>00540153</v>
      </c>
    </row>
    <row r="11722" spans="1:2" x14ac:dyDescent="0.25">
      <c r="A11722" s="2">
        <v>11717</v>
      </c>
      <c r="B11722" s="3" t="str">
        <f>"00540176"</f>
        <v>00540176</v>
      </c>
    </row>
    <row r="11723" spans="1:2" x14ac:dyDescent="0.25">
      <c r="A11723" s="2">
        <v>11718</v>
      </c>
      <c r="B11723" s="3" t="str">
        <f>"00540222"</f>
        <v>00540222</v>
      </c>
    </row>
    <row r="11724" spans="1:2" x14ac:dyDescent="0.25">
      <c r="A11724" s="2">
        <v>11719</v>
      </c>
      <c r="B11724" s="3" t="str">
        <f>"00540232"</f>
        <v>00540232</v>
      </c>
    </row>
    <row r="11725" spans="1:2" x14ac:dyDescent="0.25">
      <c r="A11725" s="2">
        <v>11720</v>
      </c>
      <c r="B11725" s="3" t="str">
        <f>"00540341"</f>
        <v>00540341</v>
      </c>
    </row>
    <row r="11726" spans="1:2" x14ac:dyDescent="0.25">
      <c r="A11726" s="2">
        <v>11721</v>
      </c>
      <c r="B11726" s="3" t="str">
        <f>"00540352"</f>
        <v>00540352</v>
      </c>
    </row>
    <row r="11727" spans="1:2" x14ac:dyDescent="0.25">
      <c r="A11727" s="2">
        <v>11722</v>
      </c>
      <c r="B11727" s="3" t="str">
        <f>"00540355"</f>
        <v>00540355</v>
      </c>
    </row>
    <row r="11728" spans="1:2" x14ac:dyDescent="0.25">
      <c r="A11728" s="2">
        <v>11723</v>
      </c>
      <c r="B11728" s="3" t="str">
        <f>"00540405"</f>
        <v>00540405</v>
      </c>
    </row>
    <row r="11729" spans="1:2" x14ac:dyDescent="0.25">
      <c r="A11729" s="2">
        <v>11724</v>
      </c>
      <c r="B11729" s="3" t="str">
        <f>"00540441"</f>
        <v>00540441</v>
      </c>
    </row>
    <row r="11730" spans="1:2" x14ac:dyDescent="0.25">
      <c r="A11730" s="2">
        <v>11725</v>
      </c>
      <c r="B11730" s="3" t="str">
        <f>"00540586"</f>
        <v>00540586</v>
      </c>
    </row>
    <row r="11731" spans="1:2" x14ac:dyDescent="0.25">
      <c r="A11731" s="2">
        <v>11726</v>
      </c>
      <c r="B11731" s="3" t="str">
        <f>"00540587"</f>
        <v>00540587</v>
      </c>
    </row>
    <row r="11732" spans="1:2" x14ac:dyDescent="0.25">
      <c r="A11732" s="2">
        <v>11727</v>
      </c>
      <c r="B11732" s="3" t="str">
        <f>"00540589"</f>
        <v>00540589</v>
      </c>
    </row>
    <row r="11733" spans="1:2" x14ac:dyDescent="0.25">
      <c r="A11733" s="2">
        <v>11728</v>
      </c>
      <c r="B11733" s="3" t="str">
        <f>"00540591"</f>
        <v>00540591</v>
      </c>
    </row>
    <row r="11734" spans="1:2" x14ac:dyDescent="0.25">
      <c r="A11734" s="2">
        <v>11729</v>
      </c>
      <c r="B11734" s="3" t="str">
        <f>"00540643"</f>
        <v>00540643</v>
      </c>
    </row>
    <row r="11735" spans="1:2" x14ac:dyDescent="0.25">
      <c r="A11735" s="2">
        <v>11730</v>
      </c>
      <c r="B11735" s="3" t="str">
        <f>"00540675"</f>
        <v>00540675</v>
      </c>
    </row>
    <row r="11736" spans="1:2" x14ac:dyDescent="0.25">
      <c r="A11736" s="2">
        <v>11731</v>
      </c>
      <c r="B11736" s="3" t="str">
        <f>"00540681"</f>
        <v>00540681</v>
      </c>
    </row>
    <row r="11737" spans="1:2" x14ac:dyDescent="0.25">
      <c r="A11737" s="2">
        <v>11732</v>
      </c>
      <c r="B11737" s="3" t="str">
        <f>"00540726"</f>
        <v>00540726</v>
      </c>
    </row>
    <row r="11738" spans="1:2" x14ac:dyDescent="0.25">
      <c r="A11738" s="2">
        <v>11733</v>
      </c>
      <c r="B11738" s="3" t="str">
        <f>"00540774"</f>
        <v>00540774</v>
      </c>
    </row>
    <row r="11739" spans="1:2" x14ac:dyDescent="0.25">
      <c r="A11739" s="2">
        <v>11734</v>
      </c>
      <c r="B11739" s="3" t="str">
        <f>"00540798"</f>
        <v>00540798</v>
      </c>
    </row>
    <row r="11740" spans="1:2" x14ac:dyDescent="0.25">
      <c r="A11740" s="2">
        <v>11735</v>
      </c>
      <c r="B11740" s="3" t="str">
        <f>"00540800"</f>
        <v>00540800</v>
      </c>
    </row>
    <row r="11741" spans="1:2" x14ac:dyDescent="0.25">
      <c r="A11741" s="2">
        <v>11736</v>
      </c>
      <c r="B11741" s="3" t="str">
        <f>"00540829"</f>
        <v>00540829</v>
      </c>
    </row>
    <row r="11742" spans="1:2" x14ac:dyDescent="0.25">
      <c r="A11742" s="2">
        <v>11737</v>
      </c>
      <c r="B11742" s="3" t="str">
        <f>"00540842"</f>
        <v>00540842</v>
      </c>
    </row>
    <row r="11743" spans="1:2" x14ac:dyDescent="0.25">
      <c r="A11743" s="2">
        <v>11738</v>
      </c>
      <c r="B11743" s="3" t="str">
        <f>"00540855"</f>
        <v>00540855</v>
      </c>
    </row>
    <row r="11744" spans="1:2" x14ac:dyDescent="0.25">
      <c r="A11744" s="2">
        <v>11739</v>
      </c>
      <c r="B11744" s="3" t="str">
        <f>"00540870"</f>
        <v>00540870</v>
      </c>
    </row>
    <row r="11745" spans="1:2" x14ac:dyDescent="0.25">
      <c r="A11745" s="2">
        <v>11740</v>
      </c>
      <c r="B11745" s="3" t="str">
        <f>"00540872"</f>
        <v>00540872</v>
      </c>
    </row>
    <row r="11746" spans="1:2" x14ac:dyDescent="0.25">
      <c r="A11746" s="2">
        <v>11741</v>
      </c>
      <c r="B11746" s="3" t="str">
        <f>"00540898"</f>
        <v>00540898</v>
      </c>
    </row>
    <row r="11747" spans="1:2" x14ac:dyDescent="0.25">
      <c r="A11747" s="2">
        <v>11742</v>
      </c>
      <c r="B11747" s="3" t="str">
        <f>"00540924"</f>
        <v>00540924</v>
      </c>
    </row>
    <row r="11748" spans="1:2" x14ac:dyDescent="0.25">
      <c r="A11748" s="2">
        <v>11743</v>
      </c>
      <c r="B11748" s="3" t="str">
        <f>"00540926"</f>
        <v>00540926</v>
      </c>
    </row>
    <row r="11749" spans="1:2" x14ac:dyDescent="0.25">
      <c r="A11749" s="2">
        <v>11744</v>
      </c>
      <c r="B11749" s="3" t="str">
        <f>"00540948"</f>
        <v>00540948</v>
      </c>
    </row>
    <row r="11750" spans="1:2" x14ac:dyDescent="0.25">
      <c r="A11750" s="2">
        <v>11745</v>
      </c>
      <c r="B11750" s="3" t="str">
        <f>"00540951"</f>
        <v>00540951</v>
      </c>
    </row>
    <row r="11751" spans="1:2" x14ac:dyDescent="0.25">
      <c r="A11751" s="2">
        <v>11746</v>
      </c>
      <c r="B11751" s="3" t="str">
        <f>"00540974"</f>
        <v>00540974</v>
      </c>
    </row>
    <row r="11752" spans="1:2" x14ac:dyDescent="0.25">
      <c r="A11752" s="2">
        <v>11747</v>
      </c>
      <c r="B11752" s="3" t="str">
        <f>"00540982"</f>
        <v>00540982</v>
      </c>
    </row>
    <row r="11753" spans="1:2" x14ac:dyDescent="0.25">
      <c r="A11753" s="2">
        <v>11748</v>
      </c>
      <c r="B11753" s="3" t="str">
        <f>"00541008"</f>
        <v>00541008</v>
      </c>
    </row>
    <row r="11754" spans="1:2" x14ac:dyDescent="0.25">
      <c r="A11754" s="2">
        <v>11749</v>
      </c>
      <c r="B11754" s="3" t="str">
        <f>"00541043"</f>
        <v>00541043</v>
      </c>
    </row>
    <row r="11755" spans="1:2" x14ac:dyDescent="0.25">
      <c r="A11755" s="2">
        <v>11750</v>
      </c>
      <c r="B11755" s="3" t="str">
        <f>"00541062"</f>
        <v>00541062</v>
      </c>
    </row>
    <row r="11756" spans="1:2" x14ac:dyDescent="0.25">
      <c r="A11756" s="2">
        <v>11751</v>
      </c>
      <c r="B11756" s="3" t="str">
        <f>"00541079"</f>
        <v>00541079</v>
      </c>
    </row>
    <row r="11757" spans="1:2" x14ac:dyDescent="0.25">
      <c r="A11757" s="2">
        <v>11752</v>
      </c>
      <c r="B11757" s="3" t="str">
        <f>"00541151"</f>
        <v>00541151</v>
      </c>
    </row>
    <row r="11758" spans="1:2" x14ac:dyDescent="0.25">
      <c r="A11758" s="2">
        <v>11753</v>
      </c>
      <c r="B11758" s="3" t="str">
        <f>"00541198"</f>
        <v>00541198</v>
      </c>
    </row>
    <row r="11759" spans="1:2" x14ac:dyDescent="0.25">
      <c r="A11759" s="2">
        <v>11754</v>
      </c>
      <c r="B11759" s="3" t="str">
        <f>"00541216"</f>
        <v>00541216</v>
      </c>
    </row>
    <row r="11760" spans="1:2" x14ac:dyDescent="0.25">
      <c r="A11760" s="2">
        <v>11755</v>
      </c>
      <c r="B11760" s="3" t="str">
        <f>"00541268"</f>
        <v>00541268</v>
      </c>
    </row>
    <row r="11761" spans="1:2" x14ac:dyDescent="0.25">
      <c r="A11761" s="2">
        <v>11756</v>
      </c>
      <c r="B11761" s="3" t="str">
        <f>"00541383"</f>
        <v>00541383</v>
      </c>
    </row>
    <row r="11762" spans="1:2" x14ac:dyDescent="0.25">
      <c r="A11762" s="2">
        <v>11757</v>
      </c>
      <c r="B11762" s="3" t="str">
        <f>"00541400"</f>
        <v>00541400</v>
      </c>
    </row>
    <row r="11763" spans="1:2" x14ac:dyDescent="0.25">
      <c r="A11763" s="2">
        <v>11758</v>
      </c>
      <c r="B11763" s="3" t="str">
        <f>"00541419"</f>
        <v>00541419</v>
      </c>
    </row>
    <row r="11764" spans="1:2" x14ac:dyDescent="0.25">
      <c r="A11764" s="2">
        <v>11759</v>
      </c>
      <c r="B11764" s="3" t="str">
        <f>"00541429"</f>
        <v>00541429</v>
      </c>
    </row>
    <row r="11765" spans="1:2" x14ac:dyDescent="0.25">
      <c r="A11765" s="2">
        <v>11760</v>
      </c>
      <c r="B11765" s="3" t="str">
        <f>"00541483"</f>
        <v>00541483</v>
      </c>
    </row>
    <row r="11766" spans="1:2" x14ac:dyDescent="0.25">
      <c r="A11766" s="2">
        <v>11761</v>
      </c>
      <c r="B11766" s="3" t="str">
        <f>"00541496"</f>
        <v>00541496</v>
      </c>
    </row>
    <row r="11767" spans="1:2" x14ac:dyDescent="0.25">
      <c r="A11767" s="2">
        <v>11762</v>
      </c>
      <c r="B11767" s="3" t="str">
        <f>"00541565"</f>
        <v>00541565</v>
      </c>
    </row>
    <row r="11768" spans="1:2" x14ac:dyDescent="0.25">
      <c r="A11768" s="2">
        <v>11763</v>
      </c>
      <c r="B11768" s="3" t="str">
        <f>"00541707"</f>
        <v>00541707</v>
      </c>
    </row>
    <row r="11769" spans="1:2" x14ac:dyDescent="0.25">
      <c r="A11769" s="2">
        <v>11764</v>
      </c>
      <c r="B11769" s="3" t="str">
        <f>"00541712"</f>
        <v>00541712</v>
      </c>
    </row>
    <row r="11770" spans="1:2" x14ac:dyDescent="0.25">
      <c r="A11770" s="2">
        <v>11765</v>
      </c>
      <c r="B11770" s="3" t="str">
        <f>"00541745"</f>
        <v>00541745</v>
      </c>
    </row>
    <row r="11771" spans="1:2" x14ac:dyDescent="0.25">
      <c r="A11771" s="2">
        <v>11766</v>
      </c>
      <c r="B11771" s="3" t="str">
        <f>"00541771"</f>
        <v>00541771</v>
      </c>
    </row>
    <row r="11772" spans="1:2" x14ac:dyDescent="0.25">
      <c r="A11772" s="2">
        <v>11767</v>
      </c>
      <c r="B11772" s="3" t="str">
        <f>"00541777"</f>
        <v>00541777</v>
      </c>
    </row>
    <row r="11773" spans="1:2" x14ac:dyDescent="0.25">
      <c r="A11773" s="2">
        <v>11768</v>
      </c>
      <c r="B11773" s="3" t="str">
        <f>"00541851"</f>
        <v>00541851</v>
      </c>
    </row>
    <row r="11774" spans="1:2" x14ac:dyDescent="0.25">
      <c r="A11774" s="2">
        <v>11769</v>
      </c>
      <c r="B11774" s="3" t="str">
        <f>"00541901"</f>
        <v>00541901</v>
      </c>
    </row>
    <row r="11775" spans="1:2" x14ac:dyDescent="0.25">
      <c r="A11775" s="2">
        <v>11770</v>
      </c>
      <c r="B11775" s="3" t="str">
        <f>"00541917"</f>
        <v>00541917</v>
      </c>
    </row>
    <row r="11776" spans="1:2" x14ac:dyDescent="0.25">
      <c r="A11776" s="2">
        <v>11771</v>
      </c>
      <c r="B11776" s="3" t="str">
        <f>"00541958"</f>
        <v>00541958</v>
      </c>
    </row>
    <row r="11777" spans="1:2" x14ac:dyDescent="0.25">
      <c r="A11777" s="2">
        <v>11772</v>
      </c>
      <c r="B11777" s="3" t="str">
        <f>"00542002"</f>
        <v>00542002</v>
      </c>
    </row>
    <row r="11778" spans="1:2" x14ac:dyDescent="0.25">
      <c r="A11778" s="2">
        <v>11773</v>
      </c>
      <c r="B11778" s="3" t="str">
        <f>"00542020"</f>
        <v>00542020</v>
      </c>
    </row>
    <row r="11779" spans="1:2" x14ac:dyDescent="0.25">
      <c r="A11779" s="2">
        <v>11774</v>
      </c>
      <c r="B11779" s="3" t="str">
        <f>"00542062"</f>
        <v>00542062</v>
      </c>
    </row>
    <row r="11780" spans="1:2" x14ac:dyDescent="0.25">
      <c r="A11780" s="2">
        <v>11775</v>
      </c>
      <c r="B11780" s="3" t="str">
        <f>"00542089"</f>
        <v>00542089</v>
      </c>
    </row>
    <row r="11781" spans="1:2" x14ac:dyDescent="0.25">
      <c r="A11781" s="2">
        <v>11776</v>
      </c>
      <c r="B11781" s="3" t="str">
        <f>"00542135"</f>
        <v>00542135</v>
      </c>
    </row>
    <row r="11782" spans="1:2" x14ac:dyDescent="0.25">
      <c r="A11782" s="2">
        <v>11777</v>
      </c>
      <c r="B11782" s="3" t="str">
        <f>"00542144"</f>
        <v>00542144</v>
      </c>
    </row>
    <row r="11783" spans="1:2" x14ac:dyDescent="0.25">
      <c r="A11783" s="2">
        <v>11778</v>
      </c>
      <c r="B11783" s="3" t="str">
        <f>"00542161"</f>
        <v>00542161</v>
      </c>
    </row>
    <row r="11784" spans="1:2" x14ac:dyDescent="0.25">
      <c r="A11784" s="2">
        <v>11779</v>
      </c>
      <c r="B11784" s="3" t="str">
        <f>"00542328"</f>
        <v>00542328</v>
      </c>
    </row>
    <row r="11785" spans="1:2" x14ac:dyDescent="0.25">
      <c r="A11785" s="2">
        <v>11780</v>
      </c>
      <c r="B11785" s="3" t="str">
        <f>"00542350"</f>
        <v>00542350</v>
      </c>
    </row>
    <row r="11786" spans="1:2" x14ac:dyDescent="0.25">
      <c r="A11786" s="2">
        <v>11781</v>
      </c>
      <c r="B11786" s="3" t="str">
        <f>"00542374"</f>
        <v>00542374</v>
      </c>
    </row>
    <row r="11787" spans="1:2" x14ac:dyDescent="0.25">
      <c r="A11787" s="2">
        <v>11782</v>
      </c>
      <c r="B11787" s="3" t="str">
        <f>"00542459"</f>
        <v>00542459</v>
      </c>
    </row>
    <row r="11788" spans="1:2" x14ac:dyDescent="0.25">
      <c r="A11788" s="2">
        <v>11783</v>
      </c>
      <c r="B11788" s="3" t="str">
        <f>"00542486"</f>
        <v>00542486</v>
      </c>
    </row>
    <row r="11789" spans="1:2" x14ac:dyDescent="0.25">
      <c r="A11789" s="2">
        <v>11784</v>
      </c>
      <c r="B11789" s="3" t="str">
        <f>"00542488"</f>
        <v>00542488</v>
      </c>
    </row>
    <row r="11790" spans="1:2" x14ac:dyDescent="0.25">
      <c r="A11790" s="2">
        <v>11785</v>
      </c>
      <c r="B11790" s="3" t="str">
        <f>"00542489"</f>
        <v>00542489</v>
      </c>
    </row>
    <row r="11791" spans="1:2" x14ac:dyDescent="0.25">
      <c r="A11791" s="2">
        <v>11786</v>
      </c>
      <c r="B11791" s="3" t="str">
        <f>"00542530"</f>
        <v>00542530</v>
      </c>
    </row>
    <row r="11792" spans="1:2" x14ac:dyDescent="0.25">
      <c r="A11792" s="2">
        <v>11787</v>
      </c>
      <c r="B11792" s="3" t="str">
        <f>"00542594"</f>
        <v>00542594</v>
      </c>
    </row>
    <row r="11793" spans="1:2" x14ac:dyDescent="0.25">
      <c r="A11793" s="2">
        <v>11788</v>
      </c>
      <c r="B11793" s="3" t="str">
        <f>"00542642"</f>
        <v>00542642</v>
      </c>
    </row>
    <row r="11794" spans="1:2" x14ac:dyDescent="0.25">
      <c r="A11794" s="2">
        <v>11789</v>
      </c>
      <c r="B11794" s="3" t="str">
        <f>"00542775"</f>
        <v>00542775</v>
      </c>
    </row>
    <row r="11795" spans="1:2" x14ac:dyDescent="0.25">
      <c r="A11795" s="2">
        <v>11790</v>
      </c>
      <c r="B11795" s="3" t="str">
        <f>"00542891"</f>
        <v>00542891</v>
      </c>
    </row>
    <row r="11796" spans="1:2" x14ac:dyDescent="0.25">
      <c r="A11796" s="2">
        <v>11791</v>
      </c>
      <c r="B11796" s="3" t="str">
        <f>"00542969"</f>
        <v>00542969</v>
      </c>
    </row>
    <row r="11797" spans="1:2" x14ac:dyDescent="0.25">
      <c r="A11797" s="2">
        <v>11792</v>
      </c>
      <c r="B11797" s="3" t="str">
        <f>"00543014"</f>
        <v>00543014</v>
      </c>
    </row>
    <row r="11798" spans="1:2" x14ac:dyDescent="0.25">
      <c r="A11798" s="2">
        <v>11793</v>
      </c>
      <c r="B11798" s="3" t="str">
        <f>"00543048"</f>
        <v>00543048</v>
      </c>
    </row>
    <row r="11799" spans="1:2" x14ac:dyDescent="0.25">
      <c r="A11799" s="2">
        <v>11794</v>
      </c>
      <c r="B11799" s="3" t="str">
        <f>"00543085"</f>
        <v>00543085</v>
      </c>
    </row>
    <row r="11800" spans="1:2" x14ac:dyDescent="0.25">
      <c r="A11800" s="2">
        <v>11795</v>
      </c>
      <c r="B11800" s="3" t="str">
        <f>"00543098"</f>
        <v>00543098</v>
      </c>
    </row>
    <row r="11801" spans="1:2" x14ac:dyDescent="0.25">
      <c r="A11801" s="2">
        <v>11796</v>
      </c>
      <c r="B11801" s="3" t="str">
        <f>"00543152"</f>
        <v>00543152</v>
      </c>
    </row>
    <row r="11802" spans="1:2" x14ac:dyDescent="0.25">
      <c r="A11802" s="2">
        <v>11797</v>
      </c>
      <c r="B11802" s="3" t="str">
        <f>"00543159"</f>
        <v>00543159</v>
      </c>
    </row>
    <row r="11803" spans="1:2" x14ac:dyDescent="0.25">
      <c r="A11803" s="2">
        <v>11798</v>
      </c>
      <c r="B11803" s="3" t="str">
        <f>"00543167"</f>
        <v>00543167</v>
      </c>
    </row>
    <row r="11804" spans="1:2" x14ac:dyDescent="0.25">
      <c r="A11804" s="2">
        <v>11799</v>
      </c>
      <c r="B11804" s="3" t="str">
        <f>"00543178"</f>
        <v>00543178</v>
      </c>
    </row>
    <row r="11805" spans="1:2" x14ac:dyDescent="0.25">
      <c r="A11805" s="2">
        <v>11800</v>
      </c>
      <c r="B11805" s="3" t="str">
        <f>"00543228"</f>
        <v>00543228</v>
      </c>
    </row>
    <row r="11806" spans="1:2" x14ac:dyDescent="0.25">
      <c r="A11806" s="2">
        <v>11801</v>
      </c>
      <c r="B11806" s="3" t="str">
        <f>"00543287"</f>
        <v>00543287</v>
      </c>
    </row>
    <row r="11807" spans="1:2" x14ac:dyDescent="0.25">
      <c r="A11807" s="2">
        <v>11802</v>
      </c>
      <c r="B11807" s="3" t="str">
        <f>"00543304"</f>
        <v>00543304</v>
      </c>
    </row>
    <row r="11808" spans="1:2" x14ac:dyDescent="0.25">
      <c r="A11808" s="2">
        <v>11803</v>
      </c>
      <c r="B11808" s="3" t="str">
        <f>"00543343"</f>
        <v>00543343</v>
      </c>
    </row>
    <row r="11809" spans="1:2" x14ac:dyDescent="0.25">
      <c r="A11809" s="2">
        <v>11804</v>
      </c>
      <c r="B11809" s="3" t="str">
        <f>"00543385"</f>
        <v>00543385</v>
      </c>
    </row>
    <row r="11810" spans="1:2" x14ac:dyDescent="0.25">
      <c r="A11810" s="2">
        <v>11805</v>
      </c>
      <c r="B11810" s="3" t="str">
        <f>"00543449"</f>
        <v>00543449</v>
      </c>
    </row>
    <row r="11811" spans="1:2" x14ac:dyDescent="0.25">
      <c r="A11811" s="2">
        <v>11806</v>
      </c>
      <c r="B11811" s="3" t="str">
        <f>"00543544"</f>
        <v>00543544</v>
      </c>
    </row>
    <row r="11812" spans="1:2" x14ac:dyDescent="0.25">
      <c r="A11812" s="2">
        <v>11807</v>
      </c>
      <c r="B11812" s="3" t="str">
        <f>"00543690"</f>
        <v>00543690</v>
      </c>
    </row>
    <row r="11813" spans="1:2" x14ac:dyDescent="0.25">
      <c r="A11813" s="2">
        <v>11808</v>
      </c>
      <c r="B11813" s="3" t="str">
        <f>"00543920"</f>
        <v>00543920</v>
      </c>
    </row>
    <row r="11814" spans="1:2" x14ac:dyDescent="0.25">
      <c r="A11814" s="2">
        <v>11809</v>
      </c>
      <c r="B11814" s="3" t="str">
        <f>"00543926"</f>
        <v>00543926</v>
      </c>
    </row>
    <row r="11815" spans="1:2" x14ac:dyDescent="0.25">
      <c r="A11815" s="2">
        <v>11810</v>
      </c>
      <c r="B11815" s="3" t="str">
        <f>"00543958"</f>
        <v>00543958</v>
      </c>
    </row>
    <row r="11816" spans="1:2" x14ac:dyDescent="0.25">
      <c r="A11816" s="2">
        <v>11811</v>
      </c>
      <c r="B11816" s="3" t="str">
        <f>"00543984"</f>
        <v>00543984</v>
      </c>
    </row>
    <row r="11817" spans="1:2" x14ac:dyDescent="0.25">
      <c r="A11817" s="2">
        <v>11812</v>
      </c>
      <c r="B11817" s="3" t="str">
        <f>"00543990"</f>
        <v>00543990</v>
      </c>
    </row>
    <row r="11818" spans="1:2" x14ac:dyDescent="0.25">
      <c r="A11818" s="2">
        <v>11813</v>
      </c>
      <c r="B11818" s="3" t="str">
        <f>"00544056"</f>
        <v>00544056</v>
      </c>
    </row>
    <row r="11819" spans="1:2" x14ac:dyDescent="0.25">
      <c r="A11819" s="2">
        <v>11814</v>
      </c>
      <c r="B11819" s="3" t="str">
        <f>"00544103"</f>
        <v>00544103</v>
      </c>
    </row>
    <row r="11820" spans="1:2" x14ac:dyDescent="0.25">
      <c r="A11820" s="2">
        <v>11815</v>
      </c>
      <c r="B11820" s="3" t="str">
        <f>"00544172"</f>
        <v>00544172</v>
      </c>
    </row>
    <row r="11821" spans="1:2" x14ac:dyDescent="0.25">
      <c r="A11821" s="2">
        <v>11816</v>
      </c>
      <c r="B11821" s="3" t="str">
        <f>"00544372"</f>
        <v>00544372</v>
      </c>
    </row>
    <row r="11822" spans="1:2" x14ac:dyDescent="0.25">
      <c r="A11822" s="2">
        <v>11817</v>
      </c>
      <c r="B11822" s="3" t="str">
        <f>"00544377"</f>
        <v>00544377</v>
      </c>
    </row>
    <row r="11823" spans="1:2" x14ac:dyDescent="0.25">
      <c r="A11823" s="2">
        <v>11818</v>
      </c>
      <c r="B11823" s="3" t="str">
        <f>"00544389"</f>
        <v>00544389</v>
      </c>
    </row>
    <row r="11824" spans="1:2" x14ac:dyDescent="0.25">
      <c r="A11824" s="2">
        <v>11819</v>
      </c>
      <c r="B11824" s="3" t="str">
        <f>"00544397"</f>
        <v>00544397</v>
      </c>
    </row>
    <row r="11825" spans="1:2" x14ac:dyDescent="0.25">
      <c r="A11825" s="2">
        <v>11820</v>
      </c>
      <c r="B11825" s="3" t="str">
        <f>"00544413"</f>
        <v>00544413</v>
      </c>
    </row>
    <row r="11826" spans="1:2" x14ac:dyDescent="0.25">
      <c r="A11826" s="2">
        <v>11821</v>
      </c>
      <c r="B11826" s="3" t="str">
        <f>"00544545"</f>
        <v>00544545</v>
      </c>
    </row>
    <row r="11827" spans="1:2" x14ac:dyDescent="0.25">
      <c r="A11827" s="2">
        <v>11822</v>
      </c>
      <c r="B11827" s="3" t="str">
        <f>"00544584"</f>
        <v>00544584</v>
      </c>
    </row>
    <row r="11828" spans="1:2" x14ac:dyDescent="0.25">
      <c r="A11828" s="2">
        <v>11823</v>
      </c>
      <c r="B11828" s="3" t="str">
        <f>"00544606"</f>
        <v>00544606</v>
      </c>
    </row>
    <row r="11829" spans="1:2" x14ac:dyDescent="0.25">
      <c r="A11829" s="2">
        <v>11824</v>
      </c>
      <c r="B11829" s="3" t="str">
        <f>"00544670"</f>
        <v>00544670</v>
      </c>
    </row>
    <row r="11830" spans="1:2" x14ac:dyDescent="0.25">
      <c r="A11830" s="2">
        <v>11825</v>
      </c>
      <c r="B11830" s="3" t="str">
        <f>"00544695"</f>
        <v>00544695</v>
      </c>
    </row>
    <row r="11831" spans="1:2" x14ac:dyDescent="0.25">
      <c r="A11831" s="2">
        <v>11826</v>
      </c>
      <c r="B11831" s="3" t="str">
        <f>"00544746"</f>
        <v>00544746</v>
      </c>
    </row>
    <row r="11832" spans="1:2" x14ac:dyDescent="0.25">
      <c r="A11832" s="2">
        <v>11827</v>
      </c>
      <c r="B11832" s="3" t="str">
        <f>"00544786"</f>
        <v>00544786</v>
      </c>
    </row>
    <row r="11833" spans="1:2" x14ac:dyDescent="0.25">
      <c r="A11833" s="2">
        <v>11828</v>
      </c>
      <c r="B11833" s="3" t="str">
        <f>"00544791"</f>
        <v>00544791</v>
      </c>
    </row>
    <row r="11834" spans="1:2" x14ac:dyDescent="0.25">
      <c r="A11834" s="2">
        <v>11829</v>
      </c>
      <c r="B11834" s="3" t="str">
        <f>"00544842"</f>
        <v>00544842</v>
      </c>
    </row>
    <row r="11835" spans="1:2" x14ac:dyDescent="0.25">
      <c r="A11835" s="2">
        <v>11830</v>
      </c>
      <c r="B11835" s="3" t="str">
        <f>"00544845"</f>
        <v>00544845</v>
      </c>
    </row>
    <row r="11836" spans="1:2" x14ac:dyDescent="0.25">
      <c r="A11836" s="2">
        <v>11831</v>
      </c>
      <c r="B11836" s="3" t="str">
        <f>"00544877"</f>
        <v>00544877</v>
      </c>
    </row>
    <row r="11837" spans="1:2" x14ac:dyDescent="0.25">
      <c r="A11837" s="2">
        <v>11832</v>
      </c>
      <c r="B11837" s="3" t="str">
        <f>"00544894"</f>
        <v>00544894</v>
      </c>
    </row>
    <row r="11838" spans="1:2" x14ac:dyDescent="0.25">
      <c r="A11838" s="2">
        <v>11833</v>
      </c>
      <c r="B11838" s="3" t="str">
        <f>"00544905"</f>
        <v>00544905</v>
      </c>
    </row>
    <row r="11839" spans="1:2" x14ac:dyDescent="0.25">
      <c r="A11839" s="2">
        <v>11834</v>
      </c>
      <c r="B11839" s="3" t="str">
        <f>"00544915"</f>
        <v>00544915</v>
      </c>
    </row>
    <row r="11840" spans="1:2" x14ac:dyDescent="0.25">
      <c r="A11840" s="2">
        <v>11835</v>
      </c>
      <c r="B11840" s="3" t="str">
        <f>"00544947"</f>
        <v>00544947</v>
      </c>
    </row>
    <row r="11841" spans="1:2" x14ac:dyDescent="0.25">
      <c r="A11841" s="2">
        <v>11836</v>
      </c>
      <c r="B11841" s="3" t="str">
        <f>"00544986"</f>
        <v>00544986</v>
      </c>
    </row>
    <row r="11842" spans="1:2" x14ac:dyDescent="0.25">
      <c r="A11842" s="2">
        <v>11837</v>
      </c>
      <c r="B11842" s="3" t="str">
        <f>"00544991"</f>
        <v>00544991</v>
      </c>
    </row>
    <row r="11843" spans="1:2" x14ac:dyDescent="0.25">
      <c r="A11843" s="2">
        <v>11838</v>
      </c>
      <c r="B11843" s="3" t="str">
        <f>"00545029"</f>
        <v>00545029</v>
      </c>
    </row>
    <row r="11844" spans="1:2" x14ac:dyDescent="0.25">
      <c r="A11844" s="2">
        <v>11839</v>
      </c>
      <c r="B11844" s="3" t="str">
        <f>"00545217"</f>
        <v>00545217</v>
      </c>
    </row>
    <row r="11845" spans="1:2" x14ac:dyDescent="0.25">
      <c r="A11845" s="2">
        <v>11840</v>
      </c>
      <c r="B11845" s="3" t="str">
        <f>"00545251"</f>
        <v>00545251</v>
      </c>
    </row>
    <row r="11846" spans="1:2" x14ac:dyDescent="0.25">
      <c r="A11846" s="2">
        <v>11841</v>
      </c>
      <c r="B11846" s="3" t="str">
        <f>"00545334"</f>
        <v>00545334</v>
      </c>
    </row>
    <row r="11847" spans="1:2" x14ac:dyDescent="0.25">
      <c r="A11847" s="2">
        <v>11842</v>
      </c>
      <c r="B11847" s="3" t="str">
        <f>"00545390"</f>
        <v>00545390</v>
      </c>
    </row>
    <row r="11848" spans="1:2" x14ac:dyDescent="0.25">
      <c r="A11848" s="2">
        <v>11843</v>
      </c>
      <c r="B11848" s="3" t="str">
        <f>"00545426"</f>
        <v>00545426</v>
      </c>
    </row>
    <row r="11849" spans="1:2" x14ac:dyDescent="0.25">
      <c r="A11849" s="2">
        <v>11844</v>
      </c>
      <c r="B11849" s="3" t="str">
        <f>"00545500"</f>
        <v>00545500</v>
      </c>
    </row>
    <row r="11850" spans="1:2" x14ac:dyDescent="0.25">
      <c r="A11850" s="2">
        <v>11845</v>
      </c>
      <c r="B11850" s="3" t="str">
        <f>"00545511"</f>
        <v>00545511</v>
      </c>
    </row>
    <row r="11851" spans="1:2" x14ac:dyDescent="0.25">
      <c r="A11851" s="2">
        <v>11846</v>
      </c>
      <c r="B11851" s="3" t="str">
        <f>"00545518"</f>
        <v>00545518</v>
      </c>
    </row>
    <row r="11852" spans="1:2" x14ac:dyDescent="0.25">
      <c r="A11852" s="2">
        <v>11847</v>
      </c>
      <c r="B11852" s="3" t="str">
        <f>"00545539"</f>
        <v>00545539</v>
      </c>
    </row>
    <row r="11853" spans="1:2" x14ac:dyDescent="0.25">
      <c r="A11853" s="2">
        <v>11848</v>
      </c>
      <c r="B11853" s="3" t="str">
        <f>"00545622"</f>
        <v>00545622</v>
      </c>
    </row>
    <row r="11854" spans="1:2" x14ac:dyDescent="0.25">
      <c r="A11854" s="2">
        <v>11849</v>
      </c>
      <c r="B11854" s="3" t="str">
        <f>"00545711"</f>
        <v>00545711</v>
      </c>
    </row>
    <row r="11855" spans="1:2" x14ac:dyDescent="0.25">
      <c r="A11855" s="2">
        <v>11850</v>
      </c>
      <c r="B11855" s="3" t="str">
        <f>"00545758"</f>
        <v>00545758</v>
      </c>
    </row>
    <row r="11856" spans="1:2" x14ac:dyDescent="0.25">
      <c r="A11856" s="2">
        <v>11851</v>
      </c>
      <c r="B11856" s="3" t="str">
        <f>"00545770"</f>
        <v>00545770</v>
      </c>
    </row>
    <row r="11857" spans="1:2" x14ac:dyDescent="0.25">
      <c r="A11857" s="2">
        <v>11852</v>
      </c>
      <c r="B11857" s="3" t="str">
        <f>"00545807"</f>
        <v>00545807</v>
      </c>
    </row>
    <row r="11858" spans="1:2" x14ac:dyDescent="0.25">
      <c r="A11858" s="2">
        <v>11853</v>
      </c>
      <c r="B11858" s="3" t="str">
        <f>"00545817"</f>
        <v>00545817</v>
      </c>
    </row>
    <row r="11859" spans="1:2" x14ac:dyDescent="0.25">
      <c r="A11859" s="2">
        <v>11854</v>
      </c>
      <c r="B11859" s="3" t="str">
        <f>"00545820"</f>
        <v>00545820</v>
      </c>
    </row>
    <row r="11860" spans="1:2" x14ac:dyDescent="0.25">
      <c r="A11860" s="2">
        <v>11855</v>
      </c>
      <c r="B11860" s="3" t="str">
        <f>"00545833"</f>
        <v>00545833</v>
      </c>
    </row>
    <row r="11861" spans="1:2" x14ac:dyDescent="0.25">
      <c r="A11861" s="2">
        <v>11856</v>
      </c>
      <c r="B11861" s="3" t="str">
        <f>"00545834"</f>
        <v>00545834</v>
      </c>
    </row>
    <row r="11862" spans="1:2" x14ac:dyDescent="0.25">
      <c r="A11862" s="2">
        <v>11857</v>
      </c>
      <c r="B11862" s="3" t="str">
        <f>"00545859"</f>
        <v>00545859</v>
      </c>
    </row>
    <row r="11863" spans="1:2" x14ac:dyDescent="0.25">
      <c r="A11863" s="2">
        <v>11858</v>
      </c>
      <c r="B11863" s="3" t="str">
        <f>"00545918"</f>
        <v>00545918</v>
      </c>
    </row>
    <row r="11864" spans="1:2" x14ac:dyDescent="0.25">
      <c r="A11864" s="2">
        <v>11859</v>
      </c>
      <c r="B11864" s="3" t="str">
        <f>"00545974"</f>
        <v>00545974</v>
      </c>
    </row>
    <row r="11865" spans="1:2" x14ac:dyDescent="0.25">
      <c r="A11865" s="2">
        <v>11860</v>
      </c>
      <c r="B11865" s="3" t="str">
        <f>"00545994"</f>
        <v>00545994</v>
      </c>
    </row>
    <row r="11866" spans="1:2" x14ac:dyDescent="0.25">
      <c r="A11866" s="2">
        <v>11861</v>
      </c>
      <c r="B11866" s="3" t="str">
        <f>"00546021"</f>
        <v>00546021</v>
      </c>
    </row>
    <row r="11867" spans="1:2" x14ac:dyDescent="0.25">
      <c r="A11867" s="2">
        <v>11862</v>
      </c>
      <c r="B11867" s="3" t="str">
        <f>"00546067"</f>
        <v>00546067</v>
      </c>
    </row>
    <row r="11868" spans="1:2" x14ac:dyDescent="0.25">
      <c r="A11868" s="2">
        <v>11863</v>
      </c>
      <c r="B11868" s="3" t="str">
        <f>"00546136"</f>
        <v>00546136</v>
      </c>
    </row>
    <row r="11869" spans="1:2" x14ac:dyDescent="0.25">
      <c r="A11869" s="2">
        <v>11864</v>
      </c>
      <c r="B11869" s="3" t="str">
        <f>"00546142"</f>
        <v>00546142</v>
      </c>
    </row>
    <row r="11870" spans="1:2" x14ac:dyDescent="0.25">
      <c r="A11870" s="2">
        <v>11865</v>
      </c>
      <c r="B11870" s="3" t="str">
        <f>"00546150"</f>
        <v>00546150</v>
      </c>
    </row>
    <row r="11871" spans="1:2" x14ac:dyDescent="0.25">
      <c r="A11871" s="2">
        <v>11866</v>
      </c>
      <c r="B11871" s="3" t="str">
        <f>"00546151"</f>
        <v>00546151</v>
      </c>
    </row>
    <row r="11872" spans="1:2" x14ac:dyDescent="0.25">
      <c r="A11872" s="2">
        <v>11867</v>
      </c>
      <c r="B11872" s="3" t="str">
        <f>"00546181"</f>
        <v>00546181</v>
      </c>
    </row>
    <row r="11873" spans="1:2" x14ac:dyDescent="0.25">
      <c r="A11873" s="2">
        <v>11868</v>
      </c>
      <c r="B11873" s="3" t="str">
        <f>"00546259"</f>
        <v>00546259</v>
      </c>
    </row>
    <row r="11874" spans="1:2" x14ac:dyDescent="0.25">
      <c r="A11874" s="2">
        <v>11869</v>
      </c>
      <c r="B11874" s="3" t="str">
        <f>"00546285"</f>
        <v>00546285</v>
      </c>
    </row>
    <row r="11875" spans="1:2" x14ac:dyDescent="0.25">
      <c r="A11875" s="2">
        <v>11870</v>
      </c>
      <c r="B11875" s="3" t="str">
        <f>"00546297"</f>
        <v>00546297</v>
      </c>
    </row>
    <row r="11876" spans="1:2" x14ac:dyDescent="0.25">
      <c r="A11876" s="2">
        <v>11871</v>
      </c>
      <c r="B11876" s="3" t="str">
        <f>"00546305"</f>
        <v>00546305</v>
      </c>
    </row>
    <row r="11877" spans="1:2" x14ac:dyDescent="0.25">
      <c r="A11877" s="2">
        <v>11872</v>
      </c>
      <c r="B11877" s="3" t="str">
        <f>"00546307"</f>
        <v>00546307</v>
      </c>
    </row>
    <row r="11878" spans="1:2" x14ac:dyDescent="0.25">
      <c r="A11878" s="2">
        <v>11873</v>
      </c>
      <c r="B11878" s="3" t="str">
        <f>"00546384"</f>
        <v>00546384</v>
      </c>
    </row>
    <row r="11879" spans="1:2" x14ac:dyDescent="0.25">
      <c r="A11879" s="2">
        <v>11874</v>
      </c>
      <c r="B11879" s="3" t="str">
        <f>"00546391"</f>
        <v>00546391</v>
      </c>
    </row>
    <row r="11880" spans="1:2" x14ac:dyDescent="0.25">
      <c r="A11880" s="2">
        <v>11875</v>
      </c>
      <c r="B11880" s="3" t="str">
        <f>"00546432"</f>
        <v>00546432</v>
      </c>
    </row>
    <row r="11881" spans="1:2" x14ac:dyDescent="0.25">
      <c r="A11881" s="2">
        <v>11876</v>
      </c>
      <c r="B11881" s="3" t="str">
        <f>"00546468"</f>
        <v>00546468</v>
      </c>
    </row>
    <row r="11882" spans="1:2" x14ac:dyDescent="0.25">
      <c r="A11882" s="2">
        <v>11877</v>
      </c>
      <c r="B11882" s="3" t="str">
        <f>"00546555"</f>
        <v>00546555</v>
      </c>
    </row>
    <row r="11883" spans="1:2" x14ac:dyDescent="0.25">
      <c r="A11883" s="2">
        <v>11878</v>
      </c>
      <c r="B11883" s="3" t="str">
        <f>"00546573"</f>
        <v>00546573</v>
      </c>
    </row>
    <row r="11884" spans="1:2" x14ac:dyDescent="0.25">
      <c r="A11884" s="2">
        <v>11879</v>
      </c>
      <c r="B11884" s="3" t="str">
        <f>"00546594"</f>
        <v>00546594</v>
      </c>
    </row>
    <row r="11885" spans="1:2" x14ac:dyDescent="0.25">
      <c r="A11885" s="2">
        <v>11880</v>
      </c>
      <c r="B11885" s="3" t="str">
        <f>"00546614"</f>
        <v>00546614</v>
      </c>
    </row>
    <row r="11886" spans="1:2" x14ac:dyDescent="0.25">
      <c r="A11886" s="2">
        <v>11881</v>
      </c>
      <c r="B11886" s="3" t="str">
        <f>"00546650"</f>
        <v>00546650</v>
      </c>
    </row>
    <row r="11887" spans="1:2" x14ac:dyDescent="0.25">
      <c r="A11887" s="2">
        <v>11882</v>
      </c>
      <c r="B11887" s="3" t="str">
        <f>"00546651"</f>
        <v>00546651</v>
      </c>
    </row>
    <row r="11888" spans="1:2" x14ac:dyDescent="0.25">
      <c r="A11888" s="2">
        <v>11883</v>
      </c>
      <c r="B11888" s="3" t="str">
        <f>"00546669"</f>
        <v>00546669</v>
      </c>
    </row>
    <row r="11889" spans="1:2" x14ac:dyDescent="0.25">
      <c r="A11889" s="2">
        <v>11884</v>
      </c>
      <c r="B11889" s="3" t="str">
        <f>"00546671"</f>
        <v>00546671</v>
      </c>
    </row>
    <row r="11890" spans="1:2" x14ac:dyDescent="0.25">
      <c r="A11890" s="2">
        <v>11885</v>
      </c>
      <c r="B11890" s="3" t="str">
        <f>"00546691"</f>
        <v>00546691</v>
      </c>
    </row>
    <row r="11891" spans="1:2" x14ac:dyDescent="0.25">
      <c r="A11891" s="2">
        <v>11886</v>
      </c>
      <c r="B11891" s="3" t="str">
        <f>"00546698"</f>
        <v>00546698</v>
      </c>
    </row>
    <row r="11892" spans="1:2" x14ac:dyDescent="0.25">
      <c r="A11892" s="2">
        <v>11887</v>
      </c>
      <c r="B11892" s="3" t="str">
        <f>"00546699"</f>
        <v>00546699</v>
      </c>
    </row>
    <row r="11893" spans="1:2" x14ac:dyDescent="0.25">
      <c r="A11893" s="2">
        <v>11888</v>
      </c>
      <c r="B11893" s="3" t="str">
        <f>"00546728"</f>
        <v>00546728</v>
      </c>
    </row>
    <row r="11894" spans="1:2" x14ac:dyDescent="0.25">
      <c r="A11894" s="2">
        <v>11889</v>
      </c>
      <c r="B11894" s="3" t="str">
        <f>"00546732"</f>
        <v>00546732</v>
      </c>
    </row>
    <row r="11895" spans="1:2" x14ac:dyDescent="0.25">
      <c r="A11895" s="2">
        <v>11890</v>
      </c>
      <c r="B11895" s="3" t="str">
        <f>"00546783"</f>
        <v>00546783</v>
      </c>
    </row>
    <row r="11896" spans="1:2" x14ac:dyDescent="0.25">
      <c r="A11896" s="2">
        <v>11891</v>
      </c>
      <c r="B11896" s="3" t="str">
        <f>"00546801"</f>
        <v>00546801</v>
      </c>
    </row>
    <row r="11897" spans="1:2" x14ac:dyDescent="0.25">
      <c r="A11897" s="2">
        <v>11892</v>
      </c>
      <c r="B11897" s="3" t="str">
        <f>"00546821"</f>
        <v>00546821</v>
      </c>
    </row>
    <row r="11898" spans="1:2" x14ac:dyDescent="0.25">
      <c r="A11898" s="2">
        <v>11893</v>
      </c>
      <c r="B11898" s="3" t="str">
        <f>"00546856"</f>
        <v>00546856</v>
      </c>
    </row>
    <row r="11899" spans="1:2" x14ac:dyDescent="0.25">
      <c r="A11899" s="2">
        <v>11894</v>
      </c>
      <c r="B11899" s="3" t="str">
        <f>"00546858"</f>
        <v>00546858</v>
      </c>
    </row>
    <row r="11900" spans="1:2" x14ac:dyDescent="0.25">
      <c r="A11900" s="2">
        <v>11895</v>
      </c>
      <c r="B11900" s="3" t="str">
        <f>"00546860"</f>
        <v>00546860</v>
      </c>
    </row>
    <row r="11901" spans="1:2" x14ac:dyDescent="0.25">
      <c r="A11901" s="2">
        <v>11896</v>
      </c>
      <c r="B11901" s="3" t="str">
        <f>"00546866"</f>
        <v>00546866</v>
      </c>
    </row>
    <row r="11902" spans="1:2" x14ac:dyDescent="0.25">
      <c r="A11902" s="2">
        <v>11897</v>
      </c>
      <c r="B11902" s="3" t="str">
        <f>"00546889"</f>
        <v>00546889</v>
      </c>
    </row>
    <row r="11903" spans="1:2" x14ac:dyDescent="0.25">
      <c r="A11903" s="2">
        <v>11898</v>
      </c>
      <c r="B11903" s="3" t="str">
        <f>"00546909"</f>
        <v>00546909</v>
      </c>
    </row>
    <row r="11904" spans="1:2" x14ac:dyDescent="0.25">
      <c r="A11904" s="2">
        <v>11899</v>
      </c>
      <c r="B11904" s="3" t="str">
        <f>"00546944"</f>
        <v>00546944</v>
      </c>
    </row>
    <row r="11905" spans="1:2" x14ac:dyDescent="0.25">
      <c r="A11905" s="2">
        <v>11900</v>
      </c>
      <c r="B11905" s="3" t="str">
        <f>"00546970"</f>
        <v>00546970</v>
      </c>
    </row>
    <row r="11906" spans="1:2" x14ac:dyDescent="0.25">
      <c r="A11906" s="2">
        <v>11901</v>
      </c>
      <c r="B11906" s="3" t="str">
        <f>"00546981"</f>
        <v>00546981</v>
      </c>
    </row>
    <row r="11907" spans="1:2" x14ac:dyDescent="0.25">
      <c r="A11907" s="2">
        <v>11902</v>
      </c>
      <c r="B11907" s="3" t="str">
        <f>"00547008"</f>
        <v>00547008</v>
      </c>
    </row>
    <row r="11908" spans="1:2" x14ac:dyDescent="0.25">
      <c r="A11908" s="2">
        <v>11903</v>
      </c>
      <c r="B11908" s="3" t="str">
        <f>"00547047"</f>
        <v>00547047</v>
      </c>
    </row>
    <row r="11909" spans="1:2" x14ac:dyDescent="0.25">
      <c r="A11909" s="2">
        <v>11904</v>
      </c>
      <c r="B11909" s="3" t="str">
        <f>"00547051"</f>
        <v>00547051</v>
      </c>
    </row>
    <row r="11910" spans="1:2" x14ac:dyDescent="0.25">
      <c r="A11910" s="2">
        <v>11905</v>
      </c>
      <c r="B11910" s="3" t="str">
        <f>"00547076"</f>
        <v>00547076</v>
      </c>
    </row>
    <row r="11911" spans="1:2" x14ac:dyDescent="0.25">
      <c r="A11911" s="2">
        <v>11906</v>
      </c>
      <c r="B11911" s="3" t="str">
        <f>"00547085"</f>
        <v>00547085</v>
      </c>
    </row>
    <row r="11912" spans="1:2" x14ac:dyDescent="0.25">
      <c r="A11912" s="2">
        <v>11907</v>
      </c>
      <c r="B11912" s="3" t="str">
        <f>"00547182"</f>
        <v>00547182</v>
      </c>
    </row>
    <row r="11913" spans="1:2" x14ac:dyDescent="0.25">
      <c r="A11913" s="2">
        <v>11908</v>
      </c>
      <c r="B11913" s="3" t="str">
        <f>"00547197"</f>
        <v>00547197</v>
      </c>
    </row>
    <row r="11914" spans="1:2" x14ac:dyDescent="0.25">
      <c r="A11914" s="2">
        <v>11909</v>
      </c>
      <c r="B11914" s="3" t="str">
        <f>"00547286"</f>
        <v>00547286</v>
      </c>
    </row>
    <row r="11915" spans="1:2" x14ac:dyDescent="0.25">
      <c r="A11915" s="2">
        <v>11910</v>
      </c>
      <c r="B11915" s="3" t="str">
        <f>"00547301"</f>
        <v>00547301</v>
      </c>
    </row>
    <row r="11916" spans="1:2" x14ac:dyDescent="0.25">
      <c r="A11916" s="2">
        <v>11911</v>
      </c>
      <c r="B11916" s="3" t="str">
        <f>"00547364"</f>
        <v>00547364</v>
      </c>
    </row>
    <row r="11917" spans="1:2" x14ac:dyDescent="0.25">
      <c r="A11917" s="2">
        <v>11912</v>
      </c>
      <c r="B11917" s="3" t="str">
        <f>"00547369"</f>
        <v>00547369</v>
      </c>
    </row>
    <row r="11918" spans="1:2" x14ac:dyDescent="0.25">
      <c r="A11918" s="2">
        <v>11913</v>
      </c>
      <c r="B11918" s="3" t="str">
        <f>"00547382"</f>
        <v>00547382</v>
      </c>
    </row>
    <row r="11919" spans="1:2" x14ac:dyDescent="0.25">
      <c r="A11919" s="2">
        <v>11914</v>
      </c>
      <c r="B11919" s="3" t="str">
        <f>"00547417"</f>
        <v>00547417</v>
      </c>
    </row>
    <row r="11920" spans="1:2" x14ac:dyDescent="0.25">
      <c r="A11920" s="2">
        <v>11915</v>
      </c>
      <c r="B11920" s="3" t="str">
        <f>"00547434"</f>
        <v>00547434</v>
      </c>
    </row>
    <row r="11921" spans="1:2" x14ac:dyDescent="0.25">
      <c r="A11921" s="2">
        <v>11916</v>
      </c>
      <c r="B11921" s="3" t="str">
        <f>"00547438"</f>
        <v>00547438</v>
      </c>
    </row>
    <row r="11922" spans="1:2" x14ac:dyDescent="0.25">
      <c r="A11922" s="2">
        <v>11917</v>
      </c>
      <c r="B11922" s="3" t="str">
        <f>"00547500"</f>
        <v>00547500</v>
      </c>
    </row>
    <row r="11923" spans="1:2" x14ac:dyDescent="0.25">
      <c r="A11923" s="2">
        <v>11918</v>
      </c>
      <c r="B11923" s="3" t="str">
        <f>"00547545"</f>
        <v>00547545</v>
      </c>
    </row>
    <row r="11924" spans="1:2" x14ac:dyDescent="0.25">
      <c r="A11924" s="2">
        <v>11919</v>
      </c>
      <c r="B11924" s="3" t="str">
        <f>"00547558"</f>
        <v>00547558</v>
      </c>
    </row>
    <row r="11925" spans="1:2" x14ac:dyDescent="0.25">
      <c r="A11925" s="2">
        <v>11920</v>
      </c>
      <c r="B11925" s="3" t="str">
        <f>"00547610"</f>
        <v>00547610</v>
      </c>
    </row>
    <row r="11926" spans="1:2" x14ac:dyDescent="0.25">
      <c r="A11926" s="2">
        <v>11921</v>
      </c>
      <c r="B11926" s="3" t="str">
        <f>"00547647"</f>
        <v>00547647</v>
      </c>
    </row>
    <row r="11927" spans="1:2" x14ac:dyDescent="0.25">
      <c r="A11927" s="2">
        <v>11922</v>
      </c>
      <c r="B11927" s="3" t="str">
        <f>"00547696"</f>
        <v>00547696</v>
      </c>
    </row>
    <row r="11928" spans="1:2" x14ac:dyDescent="0.25">
      <c r="A11928" s="2">
        <v>11923</v>
      </c>
      <c r="B11928" s="3" t="str">
        <f>"00547728"</f>
        <v>00547728</v>
      </c>
    </row>
    <row r="11929" spans="1:2" x14ac:dyDescent="0.25">
      <c r="A11929" s="2">
        <v>11924</v>
      </c>
      <c r="B11929" s="3" t="str">
        <f>"00547731"</f>
        <v>00547731</v>
      </c>
    </row>
    <row r="11930" spans="1:2" x14ac:dyDescent="0.25">
      <c r="A11930" s="2">
        <v>11925</v>
      </c>
      <c r="B11930" s="3" t="str">
        <f>"00547789"</f>
        <v>00547789</v>
      </c>
    </row>
    <row r="11931" spans="1:2" x14ac:dyDescent="0.25">
      <c r="A11931" s="2">
        <v>11926</v>
      </c>
      <c r="B11931" s="3" t="str">
        <f>"00547814"</f>
        <v>00547814</v>
      </c>
    </row>
    <row r="11932" spans="1:2" x14ac:dyDescent="0.25">
      <c r="A11932" s="2">
        <v>11927</v>
      </c>
      <c r="B11932" s="3" t="str">
        <f>"00547823"</f>
        <v>00547823</v>
      </c>
    </row>
    <row r="11933" spans="1:2" x14ac:dyDescent="0.25">
      <c r="A11933" s="2">
        <v>11928</v>
      </c>
      <c r="B11933" s="3" t="str">
        <f>"00547832"</f>
        <v>00547832</v>
      </c>
    </row>
    <row r="11934" spans="1:2" x14ac:dyDescent="0.25">
      <c r="A11934" s="2">
        <v>11929</v>
      </c>
      <c r="B11934" s="3" t="str">
        <f>"00547861"</f>
        <v>00547861</v>
      </c>
    </row>
    <row r="11935" spans="1:2" x14ac:dyDescent="0.25">
      <c r="A11935" s="2">
        <v>11930</v>
      </c>
      <c r="B11935" s="3" t="str">
        <f>"00547893"</f>
        <v>00547893</v>
      </c>
    </row>
    <row r="11936" spans="1:2" x14ac:dyDescent="0.25">
      <c r="A11936" s="2">
        <v>11931</v>
      </c>
      <c r="B11936" s="3" t="str">
        <f>"00547894"</f>
        <v>00547894</v>
      </c>
    </row>
    <row r="11937" spans="1:2" x14ac:dyDescent="0.25">
      <c r="A11937" s="2">
        <v>11932</v>
      </c>
      <c r="B11937" s="3" t="str">
        <f>"00547895"</f>
        <v>00547895</v>
      </c>
    </row>
    <row r="11938" spans="1:2" x14ac:dyDescent="0.25">
      <c r="A11938" s="2">
        <v>11933</v>
      </c>
      <c r="B11938" s="3" t="str">
        <f>"00547914"</f>
        <v>00547914</v>
      </c>
    </row>
    <row r="11939" spans="1:2" x14ac:dyDescent="0.25">
      <c r="A11939" s="2">
        <v>11934</v>
      </c>
      <c r="B11939" s="3" t="str">
        <f>"00547946"</f>
        <v>00547946</v>
      </c>
    </row>
    <row r="11940" spans="1:2" x14ac:dyDescent="0.25">
      <c r="A11940" s="2">
        <v>11935</v>
      </c>
      <c r="B11940" s="3" t="str">
        <f>"00547947"</f>
        <v>00547947</v>
      </c>
    </row>
    <row r="11941" spans="1:2" x14ac:dyDescent="0.25">
      <c r="A11941" s="2">
        <v>11936</v>
      </c>
      <c r="B11941" s="3" t="str">
        <f>"00547995"</f>
        <v>00547995</v>
      </c>
    </row>
    <row r="11942" spans="1:2" x14ac:dyDescent="0.25">
      <c r="A11942" s="2">
        <v>11937</v>
      </c>
      <c r="B11942" s="3" t="str">
        <f>"00548042"</f>
        <v>00548042</v>
      </c>
    </row>
    <row r="11943" spans="1:2" x14ac:dyDescent="0.25">
      <c r="A11943" s="2">
        <v>11938</v>
      </c>
      <c r="B11943" s="3" t="str">
        <f>"00548068"</f>
        <v>00548068</v>
      </c>
    </row>
    <row r="11944" spans="1:2" x14ac:dyDescent="0.25">
      <c r="A11944" s="2">
        <v>11939</v>
      </c>
      <c r="B11944" s="3" t="str">
        <f>"00548074"</f>
        <v>00548074</v>
      </c>
    </row>
    <row r="11945" spans="1:2" x14ac:dyDescent="0.25">
      <c r="A11945" s="2">
        <v>11940</v>
      </c>
      <c r="B11945" s="3" t="str">
        <f>"00548081"</f>
        <v>00548081</v>
      </c>
    </row>
    <row r="11946" spans="1:2" x14ac:dyDescent="0.25">
      <c r="A11946" s="2">
        <v>11941</v>
      </c>
      <c r="B11946" s="3" t="str">
        <f>"00548086"</f>
        <v>00548086</v>
      </c>
    </row>
    <row r="11947" spans="1:2" x14ac:dyDescent="0.25">
      <c r="A11947" s="2">
        <v>11942</v>
      </c>
      <c r="B11947" s="3" t="str">
        <f>"00548095"</f>
        <v>00548095</v>
      </c>
    </row>
    <row r="11948" spans="1:2" x14ac:dyDescent="0.25">
      <c r="A11948" s="2">
        <v>11943</v>
      </c>
      <c r="B11948" s="3" t="str">
        <f>"00548148"</f>
        <v>00548148</v>
      </c>
    </row>
    <row r="11949" spans="1:2" x14ac:dyDescent="0.25">
      <c r="A11949" s="2">
        <v>11944</v>
      </c>
      <c r="B11949" s="3" t="str">
        <f>"00548161"</f>
        <v>00548161</v>
      </c>
    </row>
    <row r="11950" spans="1:2" x14ac:dyDescent="0.25">
      <c r="A11950" s="2">
        <v>11945</v>
      </c>
      <c r="B11950" s="3" t="str">
        <f>"00548166"</f>
        <v>00548166</v>
      </c>
    </row>
    <row r="11951" spans="1:2" x14ac:dyDescent="0.25">
      <c r="A11951" s="2">
        <v>11946</v>
      </c>
      <c r="B11951" s="3" t="str">
        <f>"00548169"</f>
        <v>00548169</v>
      </c>
    </row>
    <row r="11952" spans="1:2" x14ac:dyDescent="0.25">
      <c r="A11952" s="2">
        <v>11947</v>
      </c>
      <c r="B11952" s="3" t="str">
        <f>"00548194"</f>
        <v>00548194</v>
      </c>
    </row>
    <row r="11953" spans="1:2" x14ac:dyDescent="0.25">
      <c r="A11953" s="2">
        <v>11948</v>
      </c>
      <c r="B11953" s="3" t="str">
        <f>"00548197"</f>
        <v>00548197</v>
      </c>
    </row>
    <row r="11954" spans="1:2" x14ac:dyDescent="0.25">
      <c r="A11954" s="2">
        <v>11949</v>
      </c>
      <c r="B11954" s="3" t="str">
        <f>"00548216"</f>
        <v>00548216</v>
      </c>
    </row>
    <row r="11955" spans="1:2" x14ac:dyDescent="0.25">
      <c r="A11955" s="2">
        <v>11950</v>
      </c>
      <c r="B11955" s="3" t="str">
        <f>"00548222"</f>
        <v>00548222</v>
      </c>
    </row>
    <row r="11956" spans="1:2" x14ac:dyDescent="0.25">
      <c r="A11956" s="2">
        <v>11951</v>
      </c>
      <c r="B11956" s="3" t="str">
        <f>"00548249"</f>
        <v>00548249</v>
      </c>
    </row>
    <row r="11957" spans="1:2" x14ac:dyDescent="0.25">
      <c r="A11957" s="2">
        <v>11952</v>
      </c>
      <c r="B11957" s="3" t="str">
        <f>"00548265"</f>
        <v>00548265</v>
      </c>
    </row>
    <row r="11958" spans="1:2" x14ac:dyDescent="0.25">
      <c r="A11958" s="2">
        <v>11953</v>
      </c>
      <c r="B11958" s="3" t="str">
        <f>"00548288"</f>
        <v>00548288</v>
      </c>
    </row>
    <row r="11959" spans="1:2" x14ac:dyDescent="0.25">
      <c r="A11959" s="2">
        <v>11954</v>
      </c>
      <c r="B11959" s="3" t="str">
        <f>"00548300"</f>
        <v>00548300</v>
      </c>
    </row>
    <row r="11960" spans="1:2" x14ac:dyDescent="0.25">
      <c r="A11960" s="2">
        <v>11955</v>
      </c>
      <c r="B11960" s="3" t="str">
        <f>"00548321"</f>
        <v>00548321</v>
      </c>
    </row>
    <row r="11961" spans="1:2" x14ac:dyDescent="0.25">
      <c r="A11961" s="2">
        <v>11956</v>
      </c>
      <c r="B11961" s="3" t="str">
        <f>"00548333"</f>
        <v>00548333</v>
      </c>
    </row>
    <row r="11962" spans="1:2" x14ac:dyDescent="0.25">
      <c r="A11962" s="2">
        <v>11957</v>
      </c>
      <c r="B11962" s="3" t="str">
        <f>"00548364"</f>
        <v>00548364</v>
      </c>
    </row>
    <row r="11963" spans="1:2" x14ac:dyDescent="0.25">
      <c r="A11963" s="2">
        <v>11958</v>
      </c>
      <c r="B11963" s="3" t="str">
        <f>"00548373"</f>
        <v>00548373</v>
      </c>
    </row>
    <row r="11964" spans="1:2" x14ac:dyDescent="0.25">
      <c r="A11964" s="2">
        <v>11959</v>
      </c>
      <c r="B11964" s="3" t="str">
        <f>"00548393"</f>
        <v>00548393</v>
      </c>
    </row>
    <row r="11965" spans="1:2" x14ac:dyDescent="0.25">
      <c r="A11965" s="2">
        <v>11960</v>
      </c>
      <c r="B11965" s="3" t="str">
        <f>"00548399"</f>
        <v>00548399</v>
      </c>
    </row>
    <row r="11966" spans="1:2" x14ac:dyDescent="0.25">
      <c r="A11966" s="2">
        <v>11961</v>
      </c>
      <c r="B11966" s="3" t="str">
        <f>"00548407"</f>
        <v>00548407</v>
      </c>
    </row>
    <row r="11967" spans="1:2" x14ac:dyDescent="0.25">
      <c r="A11967" s="2">
        <v>11962</v>
      </c>
      <c r="B11967" s="3" t="str">
        <f>"00548409"</f>
        <v>00548409</v>
      </c>
    </row>
    <row r="11968" spans="1:2" x14ac:dyDescent="0.25">
      <c r="A11968" s="2">
        <v>11963</v>
      </c>
      <c r="B11968" s="3" t="str">
        <f>"00548414"</f>
        <v>00548414</v>
      </c>
    </row>
    <row r="11969" spans="1:2" x14ac:dyDescent="0.25">
      <c r="A11969" s="2">
        <v>11964</v>
      </c>
      <c r="B11969" s="3" t="str">
        <f>"00548415"</f>
        <v>00548415</v>
      </c>
    </row>
    <row r="11970" spans="1:2" x14ac:dyDescent="0.25">
      <c r="A11970" s="2">
        <v>11965</v>
      </c>
      <c r="B11970" s="3" t="str">
        <f>"00548472"</f>
        <v>00548472</v>
      </c>
    </row>
    <row r="11971" spans="1:2" x14ac:dyDescent="0.25">
      <c r="A11971" s="2">
        <v>11966</v>
      </c>
      <c r="B11971" s="3" t="str">
        <f>"00548501"</f>
        <v>00548501</v>
      </c>
    </row>
    <row r="11972" spans="1:2" x14ac:dyDescent="0.25">
      <c r="A11972" s="2">
        <v>11967</v>
      </c>
      <c r="B11972" s="3" t="str">
        <f>"00548509"</f>
        <v>00548509</v>
      </c>
    </row>
    <row r="11973" spans="1:2" x14ac:dyDescent="0.25">
      <c r="A11973" s="2">
        <v>11968</v>
      </c>
      <c r="B11973" s="3" t="str">
        <f>"00548527"</f>
        <v>00548527</v>
      </c>
    </row>
    <row r="11974" spans="1:2" x14ac:dyDescent="0.25">
      <c r="A11974" s="2">
        <v>11969</v>
      </c>
      <c r="B11974" s="3" t="str">
        <f>"00548528"</f>
        <v>00548528</v>
      </c>
    </row>
    <row r="11975" spans="1:2" x14ac:dyDescent="0.25">
      <c r="A11975" s="2">
        <v>11970</v>
      </c>
      <c r="B11975" s="3" t="str">
        <f>"00548604"</f>
        <v>00548604</v>
      </c>
    </row>
    <row r="11976" spans="1:2" x14ac:dyDescent="0.25">
      <c r="A11976" s="2">
        <v>11971</v>
      </c>
      <c r="B11976" s="3" t="str">
        <f>"00548626"</f>
        <v>00548626</v>
      </c>
    </row>
    <row r="11977" spans="1:2" x14ac:dyDescent="0.25">
      <c r="A11977" s="2">
        <v>11972</v>
      </c>
      <c r="B11977" s="3" t="str">
        <f>"00548687"</f>
        <v>00548687</v>
      </c>
    </row>
    <row r="11978" spans="1:2" x14ac:dyDescent="0.25">
      <c r="A11978" s="2">
        <v>11973</v>
      </c>
      <c r="B11978" s="3" t="str">
        <f>"00548699"</f>
        <v>00548699</v>
      </c>
    </row>
    <row r="11979" spans="1:2" x14ac:dyDescent="0.25">
      <c r="A11979" s="2">
        <v>11974</v>
      </c>
      <c r="B11979" s="3" t="str">
        <f>"00548704"</f>
        <v>00548704</v>
      </c>
    </row>
    <row r="11980" spans="1:2" x14ac:dyDescent="0.25">
      <c r="A11980" s="2">
        <v>11975</v>
      </c>
      <c r="B11980" s="3" t="str">
        <f>"00548711"</f>
        <v>00548711</v>
      </c>
    </row>
    <row r="11981" spans="1:2" x14ac:dyDescent="0.25">
      <c r="A11981" s="2">
        <v>11976</v>
      </c>
      <c r="B11981" s="3" t="str">
        <f>"00548717"</f>
        <v>00548717</v>
      </c>
    </row>
    <row r="11982" spans="1:2" x14ac:dyDescent="0.25">
      <c r="A11982" s="2">
        <v>11977</v>
      </c>
      <c r="B11982" s="3" t="str">
        <f>"00548728"</f>
        <v>00548728</v>
      </c>
    </row>
    <row r="11983" spans="1:2" x14ac:dyDescent="0.25">
      <c r="A11983" s="2">
        <v>11978</v>
      </c>
      <c r="B11983" s="3" t="str">
        <f>"00548763"</f>
        <v>00548763</v>
      </c>
    </row>
    <row r="11984" spans="1:2" x14ac:dyDescent="0.25">
      <c r="A11984" s="2">
        <v>11979</v>
      </c>
      <c r="B11984" s="3" t="str">
        <f>"00548771"</f>
        <v>00548771</v>
      </c>
    </row>
    <row r="11985" spans="1:2" x14ac:dyDescent="0.25">
      <c r="A11985" s="2">
        <v>11980</v>
      </c>
      <c r="B11985" s="3" t="str">
        <f>"00548772"</f>
        <v>00548772</v>
      </c>
    </row>
    <row r="11986" spans="1:2" x14ac:dyDescent="0.25">
      <c r="A11986" s="2">
        <v>11981</v>
      </c>
      <c r="B11986" s="3" t="str">
        <f>"00548787"</f>
        <v>00548787</v>
      </c>
    </row>
    <row r="11987" spans="1:2" x14ac:dyDescent="0.25">
      <c r="A11987" s="2">
        <v>11982</v>
      </c>
      <c r="B11987" s="3" t="str">
        <f>"00548796"</f>
        <v>00548796</v>
      </c>
    </row>
    <row r="11988" spans="1:2" x14ac:dyDescent="0.25">
      <c r="A11988" s="2">
        <v>11983</v>
      </c>
      <c r="B11988" s="3" t="str">
        <f>"00548829"</f>
        <v>00548829</v>
      </c>
    </row>
    <row r="11989" spans="1:2" x14ac:dyDescent="0.25">
      <c r="A11989" s="2">
        <v>11984</v>
      </c>
      <c r="B11989" s="3" t="str">
        <f>"00548865"</f>
        <v>00548865</v>
      </c>
    </row>
    <row r="11990" spans="1:2" x14ac:dyDescent="0.25">
      <c r="A11990" s="2">
        <v>11985</v>
      </c>
      <c r="B11990" s="3" t="str">
        <f>"00548901"</f>
        <v>00548901</v>
      </c>
    </row>
    <row r="11991" spans="1:2" x14ac:dyDescent="0.25">
      <c r="A11991" s="2">
        <v>11986</v>
      </c>
      <c r="B11991" s="3" t="str">
        <f>"00549132"</f>
        <v>00549132</v>
      </c>
    </row>
    <row r="11992" spans="1:2" x14ac:dyDescent="0.25">
      <c r="A11992" s="2">
        <v>11987</v>
      </c>
      <c r="B11992" s="3" t="str">
        <f>"00549138"</f>
        <v>00549138</v>
      </c>
    </row>
    <row r="11993" spans="1:2" x14ac:dyDescent="0.25">
      <c r="A11993" s="2">
        <v>11988</v>
      </c>
      <c r="B11993" s="3" t="str">
        <f>"00549140"</f>
        <v>00549140</v>
      </c>
    </row>
    <row r="11994" spans="1:2" x14ac:dyDescent="0.25">
      <c r="A11994" s="2">
        <v>11989</v>
      </c>
      <c r="B11994" s="3" t="str">
        <f>"00549208"</f>
        <v>00549208</v>
      </c>
    </row>
    <row r="11995" spans="1:2" x14ac:dyDescent="0.25">
      <c r="A11995" s="2">
        <v>11990</v>
      </c>
      <c r="B11995" s="3" t="str">
        <f>"00549266"</f>
        <v>00549266</v>
      </c>
    </row>
    <row r="11996" spans="1:2" x14ac:dyDescent="0.25">
      <c r="A11996" s="2">
        <v>11991</v>
      </c>
      <c r="B11996" s="3" t="str">
        <f>"00549319"</f>
        <v>00549319</v>
      </c>
    </row>
    <row r="11997" spans="1:2" x14ac:dyDescent="0.25">
      <c r="A11997" s="2">
        <v>11992</v>
      </c>
      <c r="B11997" s="3" t="str">
        <f>"00549331"</f>
        <v>00549331</v>
      </c>
    </row>
    <row r="11998" spans="1:2" x14ac:dyDescent="0.25">
      <c r="A11998" s="2">
        <v>11993</v>
      </c>
      <c r="B11998" s="3" t="str">
        <f>"00549374"</f>
        <v>00549374</v>
      </c>
    </row>
    <row r="11999" spans="1:2" x14ac:dyDescent="0.25">
      <c r="A11999" s="2">
        <v>11994</v>
      </c>
      <c r="B11999" s="3" t="str">
        <f>"00549387"</f>
        <v>00549387</v>
      </c>
    </row>
    <row r="12000" spans="1:2" x14ac:dyDescent="0.25">
      <c r="A12000" s="2">
        <v>11995</v>
      </c>
      <c r="B12000" s="3" t="str">
        <f>"00549397"</f>
        <v>00549397</v>
      </c>
    </row>
    <row r="12001" spans="1:2" x14ac:dyDescent="0.25">
      <c r="A12001" s="2">
        <v>11996</v>
      </c>
      <c r="B12001" s="3" t="str">
        <f>"00549421"</f>
        <v>00549421</v>
      </c>
    </row>
    <row r="12002" spans="1:2" x14ac:dyDescent="0.25">
      <c r="A12002" s="2">
        <v>11997</v>
      </c>
      <c r="B12002" s="3" t="str">
        <f>"00549500"</f>
        <v>00549500</v>
      </c>
    </row>
    <row r="12003" spans="1:2" x14ac:dyDescent="0.25">
      <c r="A12003" s="2">
        <v>11998</v>
      </c>
      <c r="B12003" s="3" t="str">
        <f>"00549513"</f>
        <v>00549513</v>
      </c>
    </row>
    <row r="12004" spans="1:2" x14ac:dyDescent="0.25">
      <c r="A12004" s="2">
        <v>11999</v>
      </c>
      <c r="B12004" s="3" t="str">
        <f>"00549549"</f>
        <v>00549549</v>
      </c>
    </row>
    <row r="12005" spans="1:2" x14ac:dyDescent="0.25">
      <c r="A12005" s="2">
        <v>12000</v>
      </c>
      <c r="B12005" s="3" t="str">
        <f>"00549554"</f>
        <v>00549554</v>
      </c>
    </row>
    <row r="12006" spans="1:2" x14ac:dyDescent="0.25">
      <c r="A12006" s="2">
        <v>12001</v>
      </c>
      <c r="B12006" s="3" t="str">
        <f>"00549560"</f>
        <v>00549560</v>
      </c>
    </row>
    <row r="12007" spans="1:2" x14ac:dyDescent="0.25">
      <c r="A12007" s="2">
        <v>12002</v>
      </c>
      <c r="B12007" s="3" t="str">
        <f>"00549596"</f>
        <v>00549596</v>
      </c>
    </row>
    <row r="12008" spans="1:2" x14ac:dyDescent="0.25">
      <c r="A12008" s="2">
        <v>12003</v>
      </c>
      <c r="B12008" s="3" t="str">
        <f>"00549633"</f>
        <v>00549633</v>
      </c>
    </row>
    <row r="12009" spans="1:2" x14ac:dyDescent="0.25">
      <c r="A12009" s="2">
        <v>12004</v>
      </c>
      <c r="B12009" s="3" t="str">
        <f>"00549712"</f>
        <v>00549712</v>
      </c>
    </row>
    <row r="12010" spans="1:2" x14ac:dyDescent="0.25">
      <c r="A12010" s="2">
        <v>12005</v>
      </c>
      <c r="B12010" s="3" t="str">
        <f>"00549721"</f>
        <v>00549721</v>
      </c>
    </row>
    <row r="12011" spans="1:2" x14ac:dyDescent="0.25">
      <c r="A12011" s="2">
        <v>12006</v>
      </c>
      <c r="B12011" s="3" t="str">
        <f>"00549730"</f>
        <v>00549730</v>
      </c>
    </row>
    <row r="12012" spans="1:2" x14ac:dyDescent="0.25">
      <c r="A12012" s="2">
        <v>12007</v>
      </c>
      <c r="B12012" s="3" t="str">
        <f>"00549737"</f>
        <v>00549737</v>
      </c>
    </row>
    <row r="12013" spans="1:2" x14ac:dyDescent="0.25">
      <c r="A12013" s="2">
        <v>12008</v>
      </c>
      <c r="B12013" s="3" t="str">
        <f>"00549773"</f>
        <v>00549773</v>
      </c>
    </row>
    <row r="12014" spans="1:2" x14ac:dyDescent="0.25">
      <c r="A12014" s="2">
        <v>12009</v>
      </c>
      <c r="B12014" s="3" t="str">
        <f>"00549782"</f>
        <v>00549782</v>
      </c>
    </row>
    <row r="12015" spans="1:2" x14ac:dyDescent="0.25">
      <c r="A12015" s="2">
        <v>12010</v>
      </c>
      <c r="B12015" s="3" t="str">
        <f>"00549810"</f>
        <v>00549810</v>
      </c>
    </row>
    <row r="12016" spans="1:2" x14ac:dyDescent="0.25">
      <c r="A12016" s="2">
        <v>12011</v>
      </c>
      <c r="B12016" s="3" t="str">
        <f>"00549844"</f>
        <v>00549844</v>
      </c>
    </row>
    <row r="12017" spans="1:2" x14ac:dyDescent="0.25">
      <c r="A12017" s="2">
        <v>12012</v>
      </c>
      <c r="B12017" s="3" t="str">
        <f>"00549866"</f>
        <v>00549866</v>
      </c>
    </row>
    <row r="12018" spans="1:2" x14ac:dyDescent="0.25">
      <c r="A12018" s="2">
        <v>12013</v>
      </c>
      <c r="B12018" s="3" t="str">
        <f>"00549906"</f>
        <v>00549906</v>
      </c>
    </row>
    <row r="12019" spans="1:2" x14ac:dyDescent="0.25">
      <c r="A12019" s="2">
        <v>12014</v>
      </c>
      <c r="B12019" s="3" t="str">
        <f>"00549951"</f>
        <v>00549951</v>
      </c>
    </row>
    <row r="12020" spans="1:2" x14ac:dyDescent="0.25">
      <c r="A12020" s="2">
        <v>12015</v>
      </c>
      <c r="B12020" s="3" t="str">
        <f>"00549952"</f>
        <v>00549952</v>
      </c>
    </row>
    <row r="12021" spans="1:2" x14ac:dyDescent="0.25">
      <c r="A12021" s="2">
        <v>12016</v>
      </c>
      <c r="B12021" s="3" t="str">
        <f>"00550036"</f>
        <v>00550036</v>
      </c>
    </row>
    <row r="12022" spans="1:2" x14ac:dyDescent="0.25">
      <c r="A12022" s="2">
        <v>12017</v>
      </c>
      <c r="B12022" s="3" t="str">
        <f>"00550069"</f>
        <v>00550069</v>
      </c>
    </row>
    <row r="12023" spans="1:2" x14ac:dyDescent="0.25">
      <c r="A12023" s="2">
        <v>12018</v>
      </c>
      <c r="B12023" s="3" t="str">
        <f>"00550096"</f>
        <v>00550096</v>
      </c>
    </row>
    <row r="12024" spans="1:2" x14ac:dyDescent="0.25">
      <c r="A12024" s="2">
        <v>12019</v>
      </c>
      <c r="B12024" s="3" t="str">
        <f>"00550097"</f>
        <v>00550097</v>
      </c>
    </row>
    <row r="12025" spans="1:2" x14ac:dyDescent="0.25">
      <c r="A12025" s="2">
        <v>12020</v>
      </c>
      <c r="B12025" s="3" t="str">
        <f>"00550156"</f>
        <v>00550156</v>
      </c>
    </row>
    <row r="12026" spans="1:2" x14ac:dyDescent="0.25">
      <c r="A12026" s="2">
        <v>12021</v>
      </c>
      <c r="B12026" s="3" t="str">
        <f>"00550167"</f>
        <v>00550167</v>
      </c>
    </row>
    <row r="12027" spans="1:2" x14ac:dyDescent="0.25">
      <c r="A12027" s="2">
        <v>12022</v>
      </c>
      <c r="B12027" s="3" t="str">
        <f>"00550204"</f>
        <v>00550204</v>
      </c>
    </row>
    <row r="12028" spans="1:2" x14ac:dyDescent="0.25">
      <c r="A12028" s="2">
        <v>12023</v>
      </c>
      <c r="B12028" s="3" t="str">
        <f>"00550216"</f>
        <v>00550216</v>
      </c>
    </row>
    <row r="12029" spans="1:2" x14ac:dyDescent="0.25">
      <c r="A12029" s="2">
        <v>12024</v>
      </c>
      <c r="B12029" s="3" t="str">
        <f>"00550233"</f>
        <v>00550233</v>
      </c>
    </row>
    <row r="12030" spans="1:2" x14ac:dyDescent="0.25">
      <c r="A12030" s="2">
        <v>12025</v>
      </c>
      <c r="B12030" s="3" t="str">
        <f>"00550240"</f>
        <v>00550240</v>
      </c>
    </row>
    <row r="12031" spans="1:2" x14ac:dyDescent="0.25">
      <c r="A12031" s="2">
        <v>12026</v>
      </c>
      <c r="B12031" s="3" t="str">
        <f>"00550273"</f>
        <v>00550273</v>
      </c>
    </row>
    <row r="12032" spans="1:2" x14ac:dyDescent="0.25">
      <c r="A12032" s="2">
        <v>12027</v>
      </c>
      <c r="B12032" s="3" t="str">
        <f>"00550284"</f>
        <v>00550284</v>
      </c>
    </row>
    <row r="12033" spans="1:2" x14ac:dyDescent="0.25">
      <c r="A12033" s="2">
        <v>12028</v>
      </c>
      <c r="B12033" s="3" t="str">
        <f>"00550310"</f>
        <v>00550310</v>
      </c>
    </row>
    <row r="12034" spans="1:2" x14ac:dyDescent="0.25">
      <c r="A12034" s="2">
        <v>12029</v>
      </c>
      <c r="B12034" s="3" t="str">
        <f>"00550344"</f>
        <v>00550344</v>
      </c>
    </row>
    <row r="12035" spans="1:2" x14ac:dyDescent="0.25">
      <c r="A12035" s="2">
        <v>12030</v>
      </c>
      <c r="B12035" s="3" t="str">
        <f>"00550348"</f>
        <v>00550348</v>
      </c>
    </row>
    <row r="12036" spans="1:2" x14ac:dyDescent="0.25">
      <c r="A12036" s="2">
        <v>12031</v>
      </c>
      <c r="B12036" s="3" t="str">
        <f>"00550359"</f>
        <v>00550359</v>
      </c>
    </row>
    <row r="12037" spans="1:2" x14ac:dyDescent="0.25">
      <c r="A12037" s="2">
        <v>12032</v>
      </c>
      <c r="B12037" s="3" t="str">
        <f>"00550382"</f>
        <v>00550382</v>
      </c>
    </row>
    <row r="12038" spans="1:2" x14ac:dyDescent="0.25">
      <c r="A12038" s="2">
        <v>12033</v>
      </c>
      <c r="B12038" s="3" t="str">
        <f>"00550421"</f>
        <v>00550421</v>
      </c>
    </row>
    <row r="12039" spans="1:2" x14ac:dyDescent="0.25">
      <c r="A12039" s="2">
        <v>12034</v>
      </c>
      <c r="B12039" s="3" t="str">
        <f>"00550446"</f>
        <v>00550446</v>
      </c>
    </row>
    <row r="12040" spans="1:2" x14ac:dyDescent="0.25">
      <c r="A12040" s="2">
        <v>12035</v>
      </c>
      <c r="B12040" s="3" t="str">
        <f>"00550521"</f>
        <v>00550521</v>
      </c>
    </row>
    <row r="12041" spans="1:2" x14ac:dyDescent="0.25">
      <c r="A12041" s="2">
        <v>12036</v>
      </c>
      <c r="B12041" s="3" t="str">
        <f>"00550615"</f>
        <v>00550615</v>
      </c>
    </row>
    <row r="12042" spans="1:2" x14ac:dyDescent="0.25">
      <c r="A12042" s="2">
        <v>12037</v>
      </c>
      <c r="B12042" s="3" t="str">
        <f>"00550622"</f>
        <v>00550622</v>
      </c>
    </row>
    <row r="12043" spans="1:2" x14ac:dyDescent="0.25">
      <c r="A12043" s="2">
        <v>12038</v>
      </c>
      <c r="B12043" s="3" t="str">
        <f>"00550654"</f>
        <v>00550654</v>
      </c>
    </row>
    <row r="12044" spans="1:2" x14ac:dyDescent="0.25">
      <c r="A12044" s="2">
        <v>12039</v>
      </c>
      <c r="B12044" s="3" t="str">
        <f>"00550663"</f>
        <v>00550663</v>
      </c>
    </row>
    <row r="12045" spans="1:2" x14ac:dyDescent="0.25">
      <c r="A12045" s="2">
        <v>12040</v>
      </c>
      <c r="B12045" s="3" t="str">
        <f>"00550675"</f>
        <v>00550675</v>
      </c>
    </row>
    <row r="12046" spans="1:2" x14ac:dyDescent="0.25">
      <c r="A12046" s="2">
        <v>12041</v>
      </c>
      <c r="B12046" s="3" t="str">
        <f>"00550702"</f>
        <v>00550702</v>
      </c>
    </row>
    <row r="12047" spans="1:2" x14ac:dyDescent="0.25">
      <c r="A12047" s="2">
        <v>12042</v>
      </c>
      <c r="B12047" s="3" t="str">
        <f>"00550707"</f>
        <v>00550707</v>
      </c>
    </row>
    <row r="12048" spans="1:2" x14ac:dyDescent="0.25">
      <c r="A12048" s="2">
        <v>12043</v>
      </c>
      <c r="B12048" s="3" t="str">
        <f>"00550715"</f>
        <v>00550715</v>
      </c>
    </row>
    <row r="12049" spans="1:2" x14ac:dyDescent="0.25">
      <c r="A12049" s="2">
        <v>12044</v>
      </c>
      <c r="B12049" s="3" t="str">
        <f>"00550743"</f>
        <v>00550743</v>
      </c>
    </row>
    <row r="12050" spans="1:2" x14ac:dyDescent="0.25">
      <c r="A12050" s="2">
        <v>12045</v>
      </c>
      <c r="B12050" s="3" t="str">
        <f>"00550778"</f>
        <v>00550778</v>
      </c>
    </row>
    <row r="12051" spans="1:2" x14ac:dyDescent="0.25">
      <c r="A12051" s="2">
        <v>12046</v>
      </c>
      <c r="B12051" s="3" t="str">
        <f>"00550791"</f>
        <v>00550791</v>
      </c>
    </row>
    <row r="12052" spans="1:2" x14ac:dyDescent="0.25">
      <c r="A12052" s="2">
        <v>12047</v>
      </c>
      <c r="B12052" s="3" t="str">
        <f>"00550797"</f>
        <v>00550797</v>
      </c>
    </row>
    <row r="12053" spans="1:2" x14ac:dyDescent="0.25">
      <c r="A12053" s="2">
        <v>12048</v>
      </c>
      <c r="B12053" s="3" t="str">
        <f>"00550823"</f>
        <v>00550823</v>
      </c>
    </row>
    <row r="12054" spans="1:2" x14ac:dyDescent="0.25">
      <c r="A12054" s="2">
        <v>12049</v>
      </c>
      <c r="B12054" s="3" t="str">
        <f>"00550831"</f>
        <v>00550831</v>
      </c>
    </row>
    <row r="12055" spans="1:2" x14ac:dyDescent="0.25">
      <c r="A12055" s="2">
        <v>12050</v>
      </c>
      <c r="B12055" s="3" t="str">
        <f>"00550960"</f>
        <v>00550960</v>
      </c>
    </row>
    <row r="12056" spans="1:2" x14ac:dyDescent="0.25">
      <c r="A12056" s="2">
        <v>12051</v>
      </c>
      <c r="B12056" s="3" t="str">
        <f>"00550991"</f>
        <v>00550991</v>
      </c>
    </row>
    <row r="12057" spans="1:2" x14ac:dyDescent="0.25">
      <c r="A12057" s="2">
        <v>12052</v>
      </c>
      <c r="B12057" s="3" t="str">
        <f>"00551014"</f>
        <v>00551014</v>
      </c>
    </row>
    <row r="12058" spans="1:2" x14ac:dyDescent="0.25">
      <c r="A12058" s="2">
        <v>12053</v>
      </c>
      <c r="B12058" s="3" t="str">
        <f>"00551020"</f>
        <v>00551020</v>
      </c>
    </row>
    <row r="12059" spans="1:2" x14ac:dyDescent="0.25">
      <c r="A12059" s="2">
        <v>12054</v>
      </c>
      <c r="B12059" s="3" t="str">
        <f>"00551033"</f>
        <v>00551033</v>
      </c>
    </row>
    <row r="12060" spans="1:2" x14ac:dyDescent="0.25">
      <c r="A12060" s="2">
        <v>12055</v>
      </c>
      <c r="B12060" s="3" t="str">
        <f>"00551068"</f>
        <v>00551068</v>
      </c>
    </row>
    <row r="12061" spans="1:2" x14ac:dyDescent="0.25">
      <c r="A12061" s="2">
        <v>12056</v>
      </c>
      <c r="B12061" s="3" t="str">
        <f>"00551070"</f>
        <v>00551070</v>
      </c>
    </row>
    <row r="12062" spans="1:2" x14ac:dyDescent="0.25">
      <c r="A12062" s="2">
        <v>12057</v>
      </c>
      <c r="B12062" s="3" t="str">
        <f>"00551082"</f>
        <v>00551082</v>
      </c>
    </row>
    <row r="12063" spans="1:2" x14ac:dyDescent="0.25">
      <c r="A12063" s="2">
        <v>12058</v>
      </c>
      <c r="B12063" s="3" t="str">
        <f>"00551090"</f>
        <v>00551090</v>
      </c>
    </row>
    <row r="12064" spans="1:2" x14ac:dyDescent="0.25">
      <c r="A12064" s="2">
        <v>12059</v>
      </c>
      <c r="B12064" s="3" t="str">
        <f>"00551100"</f>
        <v>00551100</v>
      </c>
    </row>
    <row r="12065" spans="1:2" x14ac:dyDescent="0.25">
      <c r="A12065" s="2">
        <v>12060</v>
      </c>
      <c r="B12065" s="3" t="str">
        <f>"00551123"</f>
        <v>00551123</v>
      </c>
    </row>
    <row r="12066" spans="1:2" x14ac:dyDescent="0.25">
      <c r="A12066" s="2">
        <v>12061</v>
      </c>
      <c r="B12066" s="3" t="str">
        <f>"00551169"</f>
        <v>00551169</v>
      </c>
    </row>
    <row r="12067" spans="1:2" x14ac:dyDescent="0.25">
      <c r="A12067" s="2">
        <v>12062</v>
      </c>
      <c r="B12067" s="3" t="str">
        <f>"00551179"</f>
        <v>00551179</v>
      </c>
    </row>
    <row r="12068" spans="1:2" x14ac:dyDescent="0.25">
      <c r="A12068" s="2">
        <v>12063</v>
      </c>
      <c r="B12068" s="3" t="str">
        <f>"00551182"</f>
        <v>00551182</v>
      </c>
    </row>
    <row r="12069" spans="1:2" x14ac:dyDescent="0.25">
      <c r="A12069" s="2">
        <v>12064</v>
      </c>
      <c r="B12069" s="3" t="str">
        <f>"00551195"</f>
        <v>00551195</v>
      </c>
    </row>
    <row r="12070" spans="1:2" x14ac:dyDescent="0.25">
      <c r="A12070" s="2">
        <v>12065</v>
      </c>
      <c r="B12070" s="3" t="str">
        <f>"00551199"</f>
        <v>00551199</v>
      </c>
    </row>
    <row r="12071" spans="1:2" x14ac:dyDescent="0.25">
      <c r="A12071" s="2">
        <v>12066</v>
      </c>
      <c r="B12071" s="3" t="str">
        <f>"00551255"</f>
        <v>00551255</v>
      </c>
    </row>
    <row r="12072" spans="1:2" x14ac:dyDescent="0.25">
      <c r="A12072" s="2">
        <v>12067</v>
      </c>
      <c r="B12072" s="3" t="str">
        <f>"00551267"</f>
        <v>00551267</v>
      </c>
    </row>
    <row r="12073" spans="1:2" x14ac:dyDescent="0.25">
      <c r="A12073" s="2">
        <v>12068</v>
      </c>
      <c r="B12073" s="3" t="str">
        <f>"00551272"</f>
        <v>00551272</v>
      </c>
    </row>
    <row r="12074" spans="1:2" x14ac:dyDescent="0.25">
      <c r="A12074" s="2">
        <v>12069</v>
      </c>
      <c r="B12074" s="3" t="str">
        <f>"00551304"</f>
        <v>00551304</v>
      </c>
    </row>
    <row r="12075" spans="1:2" x14ac:dyDescent="0.25">
      <c r="A12075" s="2">
        <v>12070</v>
      </c>
      <c r="B12075" s="3" t="str">
        <f>"00551330"</f>
        <v>00551330</v>
      </c>
    </row>
    <row r="12076" spans="1:2" x14ac:dyDescent="0.25">
      <c r="A12076" s="2">
        <v>12071</v>
      </c>
      <c r="B12076" s="3" t="str">
        <f>"00551338"</f>
        <v>00551338</v>
      </c>
    </row>
    <row r="12077" spans="1:2" x14ac:dyDescent="0.25">
      <c r="A12077" s="2">
        <v>12072</v>
      </c>
      <c r="B12077" s="3" t="str">
        <f>"00551350"</f>
        <v>00551350</v>
      </c>
    </row>
    <row r="12078" spans="1:2" x14ac:dyDescent="0.25">
      <c r="A12078" s="2">
        <v>12073</v>
      </c>
      <c r="B12078" s="3" t="str">
        <f>"00551363"</f>
        <v>00551363</v>
      </c>
    </row>
    <row r="12079" spans="1:2" x14ac:dyDescent="0.25">
      <c r="A12079" s="2">
        <v>12074</v>
      </c>
      <c r="B12079" s="3" t="str">
        <f>"00551386"</f>
        <v>00551386</v>
      </c>
    </row>
    <row r="12080" spans="1:2" x14ac:dyDescent="0.25">
      <c r="A12080" s="2">
        <v>12075</v>
      </c>
      <c r="B12080" s="3" t="str">
        <f>"00551393"</f>
        <v>00551393</v>
      </c>
    </row>
    <row r="12081" spans="1:2" x14ac:dyDescent="0.25">
      <c r="A12081" s="2">
        <v>12076</v>
      </c>
      <c r="B12081" s="3" t="str">
        <f>"00551399"</f>
        <v>00551399</v>
      </c>
    </row>
    <row r="12082" spans="1:2" x14ac:dyDescent="0.25">
      <c r="A12082" s="2">
        <v>12077</v>
      </c>
      <c r="B12082" s="3" t="str">
        <f>"00551414"</f>
        <v>00551414</v>
      </c>
    </row>
    <row r="12083" spans="1:2" x14ac:dyDescent="0.25">
      <c r="A12083" s="2">
        <v>12078</v>
      </c>
      <c r="B12083" s="3" t="str">
        <f>"00551464"</f>
        <v>00551464</v>
      </c>
    </row>
    <row r="12084" spans="1:2" x14ac:dyDescent="0.25">
      <c r="A12084" s="2">
        <v>12079</v>
      </c>
      <c r="B12084" s="3" t="str">
        <f>"00551472"</f>
        <v>00551472</v>
      </c>
    </row>
    <row r="12085" spans="1:2" x14ac:dyDescent="0.25">
      <c r="A12085" s="2">
        <v>12080</v>
      </c>
      <c r="B12085" s="3" t="str">
        <f>"00551483"</f>
        <v>00551483</v>
      </c>
    </row>
    <row r="12086" spans="1:2" x14ac:dyDescent="0.25">
      <c r="A12086" s="2">
        <v>12081</v>
      </c>
      <c r="B12086" s="3" t="str">
        <f>"00551501"</f>
        <v>00551501</v>
      </c>
    </row>
    <row r="12087" spans="1:2" x14ac:dyDescent="0.25">
      <c r="A12087" s="2">
        <v>12082</v>
      </c>
      <c r="B12087" s="3" t="str">
        <f>"00551513"</f>
        <v>00551513</v>
      </c>
    </row>
    <row r="12088" spans="1:2" x14ac:dyDescent="0.25">
      <c r="A12088" s="2">
        <v>12083</v>
      </c>
      <c r="B12088" s="3" t="str">
        <f>"00551525"</f>
        <v>00551525</v>
      </c>
    </row>
    <row r="12089" spans="1:2" x14ac:dyDescent="0.25">
      <c r="A12089" s="2">
        <v>12084</v>
      </c>
      <c r="B12089" s="3" t="str">
        <f>"00551565"</f>
        <v>00551565</v>
      </c>
    </row>
    <row r="12090" spans="1:2" x14ac:dyDescent="0.25">
      <c r="A12090" s="2">
        <v>12085</v>
      </c>
      <c r="B12090" s="3" t="str">
        <f>"00551589"</f>
        <v>00551589</v>
      </c>
    </row>
    <row r="12091" spans="1:2" x14ac:dyDescent="0.25">
      <c r="A12091" s="2">
        <v>12086</v>
      </c>
      <c r="B12091" s="3" t="str">
        <f>"00551598"</f>
        <v>00551598</v>
      </c>
    </row>
    <row r="12092" spans="1:2" x14ac:dyDescent="0.25">
      <c r="A12092" s="2">
        <v>12087</v>
      </c>
      <c r="B12092" s="3" t="str">
        <f>"00551629"</f>
        <v>00551629</v>
      </c>
    </row>
    <row r="12093" spans="1:2" x14ac:dyDescent="0.25">
      <c r="A12093" s="2">
        <v>12088</v>
      </c>
      <c r="B12093" s="3" t="str">
        <f>"00551684"</f>
        <v>00551684</v>
      </c>
    </row>
    <row r="12094" spans="1:2" x14ac:dyDescent="0.25">
      <c r="A12094" s="2">
        <v>12089</v>
      </c>
      <c r="B12094" s="3" t="str">
        <f>"00551685"</f>
        <v>00551685</v>
      </c>
    </row>
    <row r="12095" spans="1:2" x14ac:dyDescent="0.25">
      <c r="A12095" s="2">
        <v>12090</v>
      </c>
      <c r="B12095" s="3" t="str">
        <f>"00551688"</f>
        <v>00551688</v>
      </c>
    </row>
    <row r="12096" spans="1:2" x14ac:dyDescent="0.25">
      <c r="A12096" s="2">
        <v>12091</v>
      </c>
      <c r="B12096" s="3" t="str">
        <f>"00551728"</f>
        <v>00551728</v>
      </c>
    </row>
    <row r="12097" spans="1:2" x14ac:dyDescent="0.25">
      <c r="A12097" s="2">
        <v>12092</v>
      </c>
      <c r="B12097" s="3" t="str">
        <f>"00551849"</f>
        <v>00551849</v>
      </c>
    </row>
    <row r="12098" spans="1:2" x14ac:dyDescent="0.25">
      <c r="A12098" s="2">
        <v>12093</v>
      </c>
      <c r="B12098" s="3" t="str">
        <f>"00551857"</f>
        <v>00551857</v>
      </c>
    </row>
    <row r="12099" spans="1:2" x14ac:dyDescent="0.25">
      <c r="A12099" s="2">
        <v>12094</v>
      </c>
      <c r="B12099" s="3" t="str">
        <f>"00551878"</f>
        <v>00551878</v>
      </c>
    </row>
    <row r="12100" spans="1:2" x14ac:dyDescent="0.25">
      <c r="A12100" s="2">
        <v>12095</v>
      </c>
      <c r="B12100" s="3" t="str">
        <f>"00551890"</f>
        <v>00551890</v>
      </c>
    </row>
    <row r="12101" spans="1:2" x14ac:dyDescent="0.25">
      <c r="A12101" s="2">
        <v>12096</v>
      </c>
      <c r="B12101" s="3" t="str">
        <f>"00551892"</f>
        <v>00551892</v>
      </c>
    </row>
    <row r="12102" spans="1:2" x14ac:dyDescent="0.25">
      <c r="A12102" s="2">
        <v>12097</v>
      </c>
      <c r="B12102" s="3" t="str">
        <f>"00551922"</f>
        <v>00551922</v>
      </c>
    </row>
    <row r="12103" spans="1:2" x14ac:dyDescent="0.25">
      <c r="A12103" s="2">
        <v>12098</v>
      </c>
      <c r="B12103" s="3" t="str">
        <f>"00551923"</f>
        <v>00551923</v>
      </c>
    </row>
    <row r="12104" spans="1:2" x14ac:dyDescent="0.25">
      <c r="A12104" s="2">
        <v>12099</v>
      </c>
      <c r="B12104" s="3" t="str">
        <f>"00551937"</f>
        <v>00551937</v>
      </c>
    </row>
    <row r="12105" spans="1:2" x14ac:dyDescent="0.25">
      <c r="A12105" s="2">
        <v>12100</v>
      </c>
      <c r="B12105" s="3" t="str">
        <f>"00551959"</f>
        <v>00551959</v>
      </c>
    </row>
    <row r="12106" spans="1:2" x14ac:dyDescent="0.25">
      <c r="A12106" s="2">
        <v>12101</v>
      </c>
      <c r="B12106" s="3" t="str">
        <f>"00551995"</f>
        <v>00551995</v>
      </c>
    </row>
    <row r="12107" spans="1:2" x14ac:dyDescent="0.25">
      <c r="A12107" s="2">
        <v>12102</v>
      </c>
      <c r="B12107" s="3" t="str">
        <f>"00552027"</f>
        <v>00552027</v>
      </c>
    </row>
    <row r="12108" spans="1:2" x14ac:dyDescent="0.25">
      <c r="A12108" s="2">
        <v>12103</v>
      </c>
      <c r="B12108" s="3" t="str">
        <f>"00552048"</f>
        <v>00552048</v>
      </c>
    </row>
    <row r="12109" spans="1:2" x14ac:dyDescent="0.25">
      <c r="A12109" s="2">
        <v>12104</v>
      </c>
      <c r="B12109" s="3" t="str">
        <f>"00552072"</f>
        <v>00552072</v>
      </c>
    </row>
    <row r="12110" spans="1:2" x14ac:dyDescent="0.25">
      <c r="A12110" s="2">
        <v>12105</v>
      </c>
      <c r="B12110" s="3" t="str">
        <f>"00552081"</f>
        <v>00552081</v>
      </c>
    </row>
    <row r="12111" spans="1:2" x14ac:dyDescent="0.25">
      <c r="A12111" s="2">
        <v>12106</v>
      </c>
      <c r="B12111" s="3" t="str">
        <f>"00552091"</f>
        <v>00552091</v>
      </c>
    </row>
    <row r="12112" spans="1:2" x14ac:dyDescent="0.25">
      <c r="A12112" s="2">
        <v>12107</v>
      </c>
      <c r="B12112" s="3" t="str">
        <f>"00552114"</f>
        <v>00552114</v>
      </c>
    </row>
    <row r="12113" spans="1:2" x14ac:dyDescent="0.25">
      <c r="A12113" s="2">
        <v>12108</v>
      </c>
      <c r="B12113" s="3" t="str">
        <f>"00552129"</f>
        <v>00552129</v>
      </c>
    </row>
    <row r="12114" spans="1:2" x14ac:dyDescent="0.25">
      <c r="A12114" s="2">
        <v>12109</v>
      </c>
      <c r="B12114" s="3" t="str">
        <f>"00552183"</f>
        <v>00552183</v>
      </c>
    </row>
    <row r="12115" spans="1:2" x14ac:dyDescent="0.25">
      <c r="A12115" s="2">
        <v>12110</v>
      </c>
      <c r="B12115" s="3" t="str">
        <f>"00552321"</f>
        <v>00552321</v>
      </c>
    </row>
    <row r="12116" spans="1:2" x14ac:dyDescent="0.25">
      <c r="A12116" s="2">
        <v>12111</v>
      </c>
      <c r="B12116" s="3" t="str">
        <f>"00552339"</f>
        <v>00552339</v>
      </c>
    </row>
    <row r="12117" spans="1:2" x14ac:dyDescent="0.25">
      <c r="A12117" s="2">
        <v>12112</v>
      </c>
      <c r="B12117" s="3" t="str">
        <f>"00552351"</f>
        <v>00552351</v>
      </c>
    </row>
    <row r="12118" spans="1:2" x14ac:dyDescent="0.25">
      <c r="A12118" s="2">
        <v>12113</v>
      </c>
      <c r="B12118" s="3" t="str">
        <f>"00552415"</f>
        <v>00552415</v>
      </c>
    </row>
    <row r="12119" spans="1:2" x14ac:dyDescent="0.25">
      <c r="A12119" s="2">
        <v>12114</v>
      </c>
      <c r="B12119" s="3" t="str">
        <f>"00552436"</f>
        <v>00552436</v>
      </c>
    </row>
    <row r="12120" spans="1:2" x14ac:dyDescent="0.25">
      <c r="A12120" s="2">
        <v>12115</v>
      </c>
      <c r="B12120" s="3" t="str">
        <f>"00552437"</f>
        <v>00552437</v>
      </c>
    </row>
    <row r="12121" spans="1:2" x14ac:dyDescent="0.25">
      <c r="A12121" s="2">
        <v>12116</v>
      </c>
      <c r="B12121" s="3" t="str">
        <f>"00552449"</f>
        <v>00552449</v>
      </c>
    </row>
    <row r="12122" spans="1:2" x14ac:dyDescent="0.25">
      <c r="A12122" s="2">
        <v>12117</v>
      </c>
      <c r="B12122" s="3" t="str">
        <f>"00552476"</f>
        <v>00552476</v>
      </c>
    </row>
    <row r="12123" spans="1:2" x14ac:dyDescent="0.25">
      <c r="A12123" s="2">
        <v>12118</v>
      </c>
      <c r="B12123" s="3" t="str">
        <f>"00552619"</f>
        <v>00552619</v>
      </c>
    </row>
    <row r="12124" spans="1:2" x14ac:dyDescent="0.25">
      <c r="A12124" s="2">
        <v>12119</v>
      </c>
      <c r="B12124" s="3" t="str">
        <f>"00552643"</f>
        <v>00552643</v>
      </c>
    </row>
    <row r="12125" spans="1:2" x14ac:dyDescent="0.25">
      <c r="A12125" s="2">
        <v>12120</v>
      </c>
      <c r="B12125" s="3" t="str">
        <f>"00552689"</f>
        <v>00552689</v>
      </c>
    </row>
    <row r="12126" spans="1:2" x14ac:dyDescent="0.25">
      <c r="A12126" s="2">
        <v>12121</v>
      </c>
      <c r="B12126" s="3" t="str">
        <f>"00552781"</f>
        <v>00552781</v>
      </c>
    </row>
    <row r="12127" spans="1:2" x14ac:dyDescent="0.25">
      <c r="A12127" s="2">
        <v>12122</v>
      </c>
      <c r="B12127" s="3" t="str">
        <f>"00553008"</f>
        <v>00553008</v>
      </c>
    </row>
    <row r="12128" spans="1:2" x14ac:dyDescent="0.25">
      <c r="A12128" s="2">
        <v>12123</v>
      </c>
      <c r="B12128" s="3" t="str">
        <f>"00553033"</f>
        <v>00553033</v>
      </c>
    </row>
    <row r="12129" spans="1:2" x14ac:dyDescent="0.25">
      <c r="A12129" s="2">
        <v>12124</v>
      </c>
      <c r="B12129" s="3" t="str">
        <f>"00553119"</f>
        <v>00553119</v>
      </c>
    </row>
    <row r="12130" spans="1:2" x14ac:dyDescent="0.25">
      <c r="A12130" s="2">
        <v>12125</v>
      </c>
      <c r="B12130" s="3" t="str">
        <f>"00553137"</f>
        <v>00553137</v>
      </c>
    </row>
    <row r="12131" spans="1:2" x14ac:dyDescent="0.25">
      <c r="A12131" s="2">
        <v>12126</v>
      </c>
      <c r="B12131" s="3" t="str">
        <f>"00553290"</f>
        <v>00553290</v>
      </c>
    </row>
    <row r="12132" spans="1:2" x14ac:dyDescent="0.25">
      <c r="A12132" s="2">
        <v>12127</v>
      </c>
      <c r="B12132" s="3" t="str">
        <f>"00553307"</f>
        <v>00553307</v>
      </c>
    </row>
    <row r="12133" spans="1:2" x14ac:dyDescent="0.25">
      <c r="A12133" s="2">
        <v>12128</v>
      </c>
      <c r="B12133" s="3" t="str">
        <f>"00553320"</f>
        <v>00553320</v>
      </c>
    </row>
    <row r="12134" spans="1:2" x14ac:dyDescent="0.25">
      <c r="A12134" s="2">
        <v>12129</v>
      </c>
      <c r="B12134" s="3" t="str">
        <f>"00553337"</f>
        <v>00553337</v>
      </c>
    </row>
    <row r="12135" spans="1:2" x14ac:dyDescent="0.25">
      <c r="A12135" s="2">
        <v>12130</v>
      </c>
      <c r="B12135" s="3" t="str">
        <f>"00553358"</f>
        <v>00553358</v>
      </c>
    </row>
    <row r="12136" spans="1:2" x14ac:dyDescent="0.25">
      <c r="A12136" s="2">
        <v>12131</v>
      </c>
      <c r="B12136" s="3" t="str">
        <f>"00553360"</f>
        <v>00553360</v>
      </c>
    </row>
    <row r="12137" spans="1:2" x14ac:dyDescent="0.25">
      <c r="A12137" s="2">
        <v>12132</v>
      </c>
      <c r="B12137" s="3" t="str">
        <f>"00553388"</f>
        <v>00553388</v>
      </c>
    </row>
    <row r="12138" spans="1:2" x14ac:dyDescent="0.25">
      <c r="A12138" s="2">
        <v>12133</v>
      </c>
      <c r="B12138" s="3" t="str">
        <f>"00553435"</f>
        <v>00553435</v>
      </c>
    </row>
    <row r="12139" spans="1:2" x14ac:dyDescent="0.25">
      <c r="A12139" s="2">
        <v>12134</v>
      </c>
      <c r="B12139" s="3" t="str">
        <f>"00553438"</f>
        <v>00553438</v>
      </c>
    </row>
    <row r="12140" spans="1:2" x14ac:dyDescent="0.25">
      <c r="A12140" s="2">
        <v>12135</v>
      </c>
      <c r="B12140" s="3" t="str">
        <f>"00553442"</f>
        <v>00553442</v>
      </c>
    </row>
    <row r="12141" spans="1:2" x14ac:dyDescent="0.25">
      <c r="A12141" s="2">
        <v>12136</v>
      </c>
      <c r="B12141" s="3" t="str">
        <f>"00553472"</f>
        <v>00553472</v>
      </c>
    </row>
    <row r="12142" spans="1:2" x14ac:dyDescent="0.25">
      <c r="A12142" s="2">
        <v>12137</v>
      </c>
      <c r="B12142" s="3" t="str">
        <f>"00553478"</f>
        <v>00553478</v>
      </c>
    </row>
    <row r="12143" spans="1:2" x14ac:dyDescent="0.25">
      <c r="A12143" s="2">
        <v>12138</v>
      </c>
      <c r="B12143" s="3" t="str">
        <f>"00553496"</f>
        <v>00553496</v>
      </c>
    </row>
    <row r="12144" spans="1:2" x14ac:dyDescent="0.25">
      <c r="A12144" s="2">
        <v>12139</v>
      </c>
      <c r="B12144" s="3" t="str">
        <f>"00553571"</f>
        <v>00553571</v>
      </c>
    </row>
    <row r="12145" spans="1:2" x14ac:dyDescent="0.25">
      <c r="A12145" s="2">
        <v>12140</v>
      </c>
      <c r="B12145" s="3" t="str">
        <f>"00553603"</f>
        <v>00553603</v>
      </c>
    </row>
    <row r="12146" spans="1:2" x14ac:dyDescent="0.25">
      <c r="A12146" s="2">
        <v>12141</v>
      </c>
      <c r="B12146" s="3" t="str">
        <f>"00553668"</f>
        <v>00553668</v>
      </c>
    </row>
    <row r="12147" spans="1:2" x14ac:dyDescent="0.25">
      <c r="A12147" s="2">
        <v>12142</v>
      </c>
      <c r="B12147" s="3" t="str">
        <f>"00553683"</f>
        <v>00553683</v>
      </c>
    </row>
    <row r="12148" spans="1:2" x14ac:dyDescent="0.25">
      <c r="A12148" s="2">
        <v>12143</v>
      </c>
      <c r="B12148" s="3" t="str">
        <f>"00553695"</f>
        <v>00553695</v>
      </c>
    </row>
    <row r="12149" spans="1:2" x14ac:dyDescent="0.25">
      <c r="A12149" s="2">
        <v>12144</v>
      </c>
      <c r="B12149" s="3" t="str">
        <f>"00553716"</f>
        <v>00553716</v>
      </c>
    </row>
    <row r="12150" spans="1:2" x14ac:dyDescent="0.25">
      <c r="A12150" s="2">
        <v>12145</v>
      </c>
      <c r="B12150" s="3" t="str">
        <f>"00553738"</f>
        <v>00553738</v>
      </c>
    </row>
    <row r="12151" spans="1:2" x14ac:dyDescent="0.25">
      <c r="A12151" s="2">
        <v>12146</v>
      </c>
      <c r="B12151" s="3" t="str">
        <f>"00553815"</f>
        <v>00553815</v>
      </c>
    </row>
    <row r="12152" spans="1:2" x14ac:dyDescent="0.25">
      <c r="A12152" s="2">
        <v>12147</v>
      </c>
      <c r="B12152" s="3" t="str">
        <f>"00553891"</f>
        <v>00553891</v>
      </c>
    </row>
    <row r="12153" spans="1:2" x14ac:dyDescent="0.25">
      <c r="A12153" s="2">
        <v>12148</v>
      </c>
      <c r="B12153" s="3" t="str">
        <f>"00553957"</f>
        <v>00553957</v>
      </c>
    </row>
    <row r="12154" spans="1:2" x14ac:dyDescent="0.25">
      <c r="A12154" s="2">
        <v>12149</v>
      </c>
      <c r="B12154" s="3" t="str">
        <f>"00553975"</f>
        <v>00553975</v>
      </c>
    </row>
    <row r="12155" spans="1:2" x14ac:dyDescent="0.25">
      <c r="A12155" s="2">
        <v>12150</v>
      </c>
      <c r="B12155" s="3" t="str">
        <f>"00553986"</f>
        <v>00553986</v>
      </c>
    </row>
    <row r="12156" spans="1:2" x14ac:dyDescent="0.25">
      <c r="A12156" s="2">
        <v>12151</v>
      </c>
      <c r="B12156" s="3" t="str">
        <f>"00554012"</f>
        <v>00554012</v>
      </c>
    </row>
    <row r="12157" spans="1:2" x14ac:dyDescent="0.25">
      <c r="A12157" s="2">
        <v>12152</v>
      </c>
      <c r="B12157" s="3" t="str">
        <f>"00554073"</f>
        <v>00554073</v>
      </c>
    </row>
    <row r="12158" spans="1:2" x14ac:dyDescent="0.25">
      <c r="A12158" s="2">
        <v>12153</v>
      </c>
      <c r="B12158" s="3" t="str">
        <f>"00554097"</f>
        <v>00554097</v>
      </c>
    </row>
    <row r="12159" spans="1:2" x14ac:dyDescent="0.25">
      <c r="A12159" s="2">
        <v>12154</v>
      </c>
      <c r="B12159" s="3" t="str">
        <f>"00554145"</f>
        <v>00554145</v>
      </c>
    </row>
    <row r="12160" spans="1:2" x14ac:dyDescent="0.25">
      <c r="A12160" s="2">
        <v>12155</v>
      </c>
      <c r="B12160" s="3" t="str">
        <f>"00554157"</f>
        <v>00554157</v>
      </c>
    </row>
    <row r="12161" spans="1:2" x14ac:dyDescent="0.25">
      <c r="A12161" s="2">
        <v>12156</v>
      </c>
      <c r="B12161" s="3" t="str">
        <f>"00554175"</f>
        <v>00554175</v>
      </c>
    </row>
    <row r="12162" spans="1:2" x14ac:dyDescent="0.25">
      <c r="A12162" s="2">
        <v>12157</v>
      </c>
      <c r="B12162" s="3" t="str">
        <f>"00554239"</f>
        <v>00554239</v>
      </c>
    </row>
    <row r="12163" spans="1:2" x14ac:dyDescent="0.25">
      <c r="A12163" s="2">
        <v>12158</v>
      </c>
      <c r="B12163" s="3" t="str">
        <f>"00554269"</f>
        <v>00554269</v>
      </c>
    </row>
    <row r="12164" spans="1:2" x14ac:dyDescent="0.25">
      <c r="A12164" s="2">
        <v>12159</v>
      </c>
      <c r="B12164" s="3" t="str">
        <f>"00554293"</f>
        <v>00554293</v>
      </c>
    </row>
    <row r="12165" spans="1:2" x14ac:dyDescent="0.25">
      <c r="A12165" s="2">
        <v>12160</v>
      </c>
      <c r="B12165" s="3" t="str">
        <f>"00554348"</f>
        <v>00554348</v>
      </c>
    </row>
    <row r="12166" spans="1:2" x14ac:dyDescent="0.25">
      <c r="A12166" s="2">
        <v>12161</v>
      </c>
      <c r="B12166" s="3" t="str">
        <f>"00554360"</f>
        <v>00554360</v>
      </c>
    </row>
    <row r="12167" spans="1:2" x14ac:dyDescent="0.25">
      <c r="A12167" s="2">
        <v>12162</v>
      </c>
      <c r="B12167" s="3" t="str">
        <f>"00554389"</f>
        <v>00554389</v>
      </c>
    </row>
    <row r="12168" spans="1:2" x14ac:dyDescent="0.25">
      <c r="A12168" s="2">
        <v>12163</v>
      </c>
      <c r="B12168" s="3" t="str">
        <f>"00554442"</f>
        <v>00554442</v>
      </c>
    </row>
    <row r="12169" spans="1:2" x14ac:dyDescent="0.25">
      <c r="A12169" s="2">
        <v>12164</v>
      </c>
      <c r="B12169" s="3" t="str">
        <f>"00554456"</f>
        <v>00554456</v>
      </c>
    </row>
    <row r="12170" spans="1:2" x14ac:dyDescent="0.25">
      <c r="A12170" s="2">
        <v>12165</v>
      </c>
      <c r="B12170" s="3" t="str">
        <f>"00554467"</f>
        <v>00554467</v>
      </c>
    </row>
    <row r="12171" spans="1:2" x14ac:dyDescent="0.25">
      <c r="A12171" s="2">
        <v>12166</v>
      </c>
      <c r="B12171" s="3" t="str">
        <f>"00554522"</f>
        <v>00554522</v>
      </c>
    </row>
    <row r="12172" spans="1:2" x14ac:dyDescent="0.25">
      <c r="A12172" s="2">
        <v>12167</v>
      </c>
      <c r="B12172" s="3" t="str">
        <f>"00554525"</f>
        <v>00554525</v>
      </c>
    </row>
    <row r="12173" spans="1:2" x14ac:dyDescent="0.25">
      <c r="A12173" s="2">
        <v>12168</v>
      </c>
      <c r="B12173" s="3" t="str">
        <f>"00554526"</f>
        <v>00554526</v>
      </c>
    </row>
    <row r="12174" spans="1:2" x14ac:dyDescent="0.25">
      <c r="A12174" s="2">
        <v>12169</v>
      </c>
      <c r="B12174" s="3" t="str">
        <f>"00554540"</f>
        <v>00554540</v>
      </c>
    </row>
    <row r="12175" spans="1:2" x14ac:dyDescent="0.25">
      <c r="A12175" s="2">
        <v>12170</v>
      </c>
      <c r="B12175" s="3" t="str">
        <f>"00554565"</f>
        <v>00554565</v>
      </c>
    </row>
    <row r="12176" spans="1:2" x14ac:dyDescent="0.25">
      <c r="A12176" s="2">
        <v>12171</v>
      </c>
      <c r="B12176" s="3" t="str">
        <f>"00554579"</f>
        <v>00554579</v>
      </c>
    </row>
    <row r="12177" spans="1:2" x14ac:dyDescent="0.25">
      <c r="A12177" s="2">
        <v>12172</v>
      </c>
      <c r="B12177" s="3" t="str">
        <f>"00554606"</f>
        <v>00554606</v>
      </c>
    </row>
    <row r="12178" spans="1:2" x14ac:dyDescent="0.25">
      <c r="A12178" s="2">
        <v>12173</v>
      </c>
      <c r="B12178" s="3" t="str">
        <f>"00554620"</f>
        <v>00554620</v>
      </c>
    </row>
    <row r="12179" spans="1:2" x14ac:dyDescent="0.25">
      <c r="A12179" s="2">
        <v>12174</v>
      </c>
      <c r="B12179" s="3" t="str">
        <f>"00554661"</f>
        <v>00554661</v>
      </c>
    </row>
    <row r="12180" spans="1:2" x14ac:dyDescent="0.25">
      <c r="A12180" s="2">
        <v>12175</v>
      </c>
      <c r="B12180" s="3" t="str">
        <f>"00554684"</f>
        <v>00554684</v>
      </c>
    </row>
    <row r="12181" spans="1:2" x14ac:dyDescent="0.25">
      <c r="A12181" s="2">
        <v>12176</v>
      </c>
      <c r="B12181" s="3" t="str">
        <f>"00554734"</f>
        <v>00554734</v>
      </c>
    </row>
    <row r="12182" spans="1:2" x14ac:dyDescent="0.25">
      <c r="A12182" s="2">
        <v>12177</v>
      </c>
      <c r="B12182" s="3" t="str">
        <f>"00554852"</f>
        <v>00554852</v>
      </c>
    </row>
    <row r="12183" spans="1:2" x14ac:dyDescent="0.25">
      <c r="A12183" s="2">
        <v>12178</v>
      </c>
      <c r="B12183" s="3" t="str">
        <f>"00554856"</f>
        <v>00554856</v>
      </c>
    </row>
    <row r="12184" spans="1:2" x14ac:dyDescent="0.25">
      <c r="A12184" s="2">
        <v>12179</v>
      </c>
      <c r="B12184" s="3" t="str">
        <f>"00554893"</f>
        <v>00554893</v>
      </c>
    </row>
    <row r="12185" spans="1:2" x14ac:dyDescent="0.25">
      <c r="A12185" s="2">
        <v>12180</v>
      </c>
      <c r="B12185" s="3" t="str">
        <f>"00554950"</f>
        <v>00554950</v>
      </c>
    </row>
    <row r="12186" spans="1:2" x14ac:dyDescent="0.25">
      <c r="A12186" s="2">
        <v>12181</v>
      </c>
      <c r="B12186" s="3" t="str">
        <f>"00554962"</f>
        <v>00554962</v>
      </c>
    </row>
    <row r="12187" spans="1:2" x14ac:dyDescent="0.25">
      <c r="A12187" s="2">
        <v>12182</v>
      </c>
      <c r="B12187" s="3" t="str">
        <f>"00554979"</f>
        <v>00554979</v>
      </c>
    </row>
    <row r="12188" spans="1:2" x14ac:dyDescent="0.25">
      <c r="A12188" s="2">
        <v>12183</v>
      </c>
      <c r="B12188" s="3" t="str">
        <f>"00555011"</f>
        <v>00555011</v>
      </c>
    </row>
    <row r="12189" spans="1:2" x14ac:dyDescent="0.25">
      <c r="A12189" s="2">
        <v>12184</v>
      </c>
      <c r="B12189" s="3" t="str">
        <f>"00555054"</f>
        <v>00555054</v>
      </c>
    </row>
    <row r="12190" spans="1:2" x14ac:dyDescent="0.25">
      <c r="A12190" s="2">
        <v>12185</v>
      </c>
      <c r="B12190" s="3" t="str">
        <f>"00555067"</f>
        <v>00555067</v>
      </c>
    </row>
    <row r="12191" spans="1:2" x14ac:dyDescent="0.25">
      <c r="A12191" s="2">
        <v>12186</v>
      </c>
      <c r="B12191" s="3" t="str">
        <f>"00555080"</f>
        <v>00555080</v>
      </c>
    </row>
    <row r="12192" spans="1:2" x14ac:dyDescent="0.25">
      <c r="A12192" s="2">
        <v>12187</v>
      </c>
      <c r="B12192" s="3" t="str">
        <f>"00555094"</f>
        <v>00555094</v>
      </c>
    </row>
    <row r="12193" spans="1:2" x14ac:dyDescent="0.25">
      <c r="A12193" s="2">
        <v>12188</v>
      </c>
      <c r="B12193" s="3" t="str">
        <f>"00555101"</f>
        <v>00555101</v>
      </c>
    </row>
    <row r="12194" spans="1:2" x14ac:dyDescent="0.25">
      <c r="A12194" s="2">
        <v>12189</v>
      </c>
      <c r="B12194" s="3" t="str">
        <f>"00555128"</f>
        <v>00555128</v>
      </c>
    </row>
    <row r="12195" spans="1:2" x14ac:dyDescent="0.25">
      <c r="A12195" s="2">
        <v>12190</v>
      </c>
      <c r="B12195" s="3" t="str">
        <f>"00555199"</f>
        <v>00555199</v>
      </c>
    </row>
    <row r="12196" spans="1:2" x14ac:dyDescent="0.25">
      <c r="A12196" s="2">
        <v>12191</v>
      </c>
      <c r="B12196" s="3" t="str">
        <f>"00555236"</f>
        <v>00555236</v>
      </c>
    </row>
    <row r="12197" spans="1:2" x14ac:dyDescent="0.25">
      <c r="A12197" s="2">
        <v>12192</v>
      </c>
      <c r="B12197" s="3" t="str">
        <f>"00555243"</f>
        <v>00555243</v>
      </c>
    </row>
    <row r="12198" spans="1:2" x14ac:dyDescent="0.25">
      <c r="A12198" s="2">
        <v>12193</v>
      </c>
      <c r="B12198" s="3" t="str">
        <f>"00555247"</f>
        <v>00555247</v>
      </c>
    </row>
    <row r="12199" spans="1:2" x14ac:dyDescent="0.25">
      <c r="A12199" s="2">
        <v>12194</v>
      </c>
      <c r="B12199" s="3" t="str">
        <f>"00555276"</f>
        <v>00555276</v>
      </c>
    </row>
    <row r="12200" spans="1:2" x14ac:dyDescent="0.25">
      <c r="A12200" s="2">
        <v>12195</v>
      </c>
      <c r="B12200" s="3" t="str">
        <f>"00555283"</f>
        <v>00555283</v>
      </c>
    </row>
    <row r="12201" spans="1:2" x14ac:dyDescent="0.25">
      <c r="A12201" s="2">
        <v>12196</v>
      </c>
      <c r="B12201" s="3" t="str">
        <f>"00555305"</f>
        <v>00555305</v>
      </c>
    </row>
    <row r="12202" spans="1:2" x14ac:dyDescent="0.25">
      <c r="A12202" s="2">
        <v>12197</v>
      </c>
      <c r="B12202" s="3" t="str">
        <f>"00555315"</f>
        <v>00555315</v>
      </c>
    </row>
    <row r="12203" spans="1:2" x14ac:dyDescent="0.25">
      <c r="A12203" s="2">
        <v>12198</v>
      </c>
      <c r="B12203" s="3" t="str">
        <f>"00555377"</f>
        <v>00555377</v>
      </c>
    </row>
    <row r="12204" spans="1:2" x14ac:dyDescent="0.25">
      <c r="A12204" s="2">
        <v>12199</v>
      </c>
      <c r="B12204" s="3" t="str">
        <f>"00555380"</f>
        <v>00555380</v>
      </c>
    </row>
    <row r="12205" spans="1:2" x14ac:dyDescent="0.25">
      <c r="A12205" s="2">
        <v>12200</v>
      </c>
      <c r="B12205" s="3" t="str">
        <f>"00555390"</f>
        <v>00555390</v>
      </c>
    </row>
    <row r="12206" spans="1:2" x14ac:dyDescent="0.25">
      <c r="A12206" s="2">
        <v>12201</v>
      </c>
      <c r="B12206" s="3" t="str">
        <f>"00555401"</f>
        <v>00555401</v>
      </c>
    </row>
    <row r="12207" spans="1:2" x14ac:dyDescent="0.25">
      <c r="A12207" s="2">
        <v>12202</v>
      </c>
      <c r="B12207" s="3" t="str">
        <f>"00555432"</f>
        <v>00555432</v>
      </c>
    </row>
    <row r="12208" spans="1:2" x14ac:dyDescent="0.25">
      <c r="A12208" s="2">
        <v>12203</v>
      </c>
      <c r="B12208" s="3" t="str">
        <f>"00555439"</f>
        <v>00555439</v>
      </c>
    </row>
    <row r="12209" spans="1:2" x14ac:dyDescent="0.25">
      <c r="A12209" s="2">
        <v>12204</v>
      </c>
      <c r="B12209" s="3" t="str">
        <f>"00555468"</f>
        <v>00555468</v>
      </c>
    </row>
    <row r="12210" spans="1:2" x14ac:dyDescent="0.25">
      <c r="A12210" s="2">
        <v>12205</v>
      </c>
      <c r="B12210" s="3" t="str">
        <f>"00555519"</f>
        <v>00555519</v>
      </c>
    </row>
    <row r="12211" spans="1:2" x14ac:dyDescent="0.25">
      <c r="A12211" s="2">
        <v>12206</v>
      </c>
      <c r="B12211" s="3" t="str">
        <f>"00555523"</f>
        <v>00555523</v>
      </c>
    </row>
    <row r="12212" spans="1:2" x14ac:dyDescent="0.25">
      <c r="A12212" s="2">
        <v>12207</v>
      </c>
      <c r="B12212" s="3" t="str">
        <f>"00555571"</f>
        <v>00555571</v>
      </c>
    </row>
    <row r="12213" spans="1:2" x14ac:dyDescent="0.25">
      <c r="A12213" s="2">
        <v>12208</v>
      </c>
      <c r="B12213" s="3" t="str">
        <f>"00555590"</f>
        <v>00555590</v>
      </c>
    </row>
    <row r="12214" spans="1:2" x14ac:dyDescent="0.25">
      <c r="A12214" s="2">
        <v>12209</v>
      </c>
      <c r="B12214" s="3" t="str">
        <f>"00555661"</f>
        <v>00555661</v>
      </c>
    </row>
    <row r="12215" spans="1:2" x14ac:dyDescent="0.25">
      <c r="A12215" s="2">
        <v>12210</v>
      </c>
      <c r="B12215" s="3" t="str">
        <f>"00555693"</f>
        <v>00555693</v>
      </c>
    </row>
    <row r="12216" spans="1:2" x14ac:dyDescent="0.25">
      <c r="A12216" s="2">
        <v>12211</v>
      </c>
      <c r="B12216" s="3" t="str">
        <f>"00555740"</f>
        <v>00555740</v>
      </c>
    </row>
    <row r="12217" spans="1:2" x14ac:dyDescent="0.25">
      <c r="A12217" s="2">
        <v>12212</v>
      </c>
      <c r="B12217" s="3" t="str">
        <f>"00555754"</f>
        <v>00555754</v>
      </c>
    </row>
    <row r="12218" spans="1:2" x14ac:dyDescent="0.25">
      <c r="A12218" s="2">
        <v>12213</v>
      </c>
      <c r="B12218" s="3" t="str">
        <f>"00555756"</f>
        <v>00555756</v>
      </c>
    </row>
    <row r="12219" spans="1:2" x14ac:dyDescent="0.25">
      <c r="A12219" s="2">
        <v>12214</v>
      </c>
      <c r="B12219" s="3" t="str">
        <f>"00555783"</f>
        <v>00555783</v>
      </c>
    </row>
    <row r="12220" spans="1:2" x14ac:dyDescent="0.25">
      <c r="A12220" s="2">
        <v>12215</v>
      </c>
      <c r="B12220" s="3" t="str">
        <f>"00555789"</f>
        <v>00555789</v>
      </c>
    </row>
    <row r="12221" spans="1:2" x14ac:dyDescent="0.25">
      <c r="A12221" s="2">
        <v>12216</v>
      </c>
      <c r="B12221" s="3" t="str">
        <f>"00555875"</f>
        <v>00555875</v>
      </c>
    </row>
    <row r="12222" spans="1:2" x14ac:dyDescent="0.25">
      <c r="A12222" s="2">
        <v>12217</v>
      </c>
      <c r="B12222" s="3" t="str">
        <f>"00555889"</f>
        <v>00555889</v>
      </c>
    </row>
    <row r="12223" spans="1:2" x14ac:dyDescent="0.25">
      <c r="A12223" s="2">
        <v>12218</v>
      </c>
      <c r="B12223" s="3" t="str">
        <f>"00555968"</f>
        <v>00555968</v>
      </c>
    </row>
    <row r="12224" spans="1:2" x14ac:dyDescent="0.25">
      <c r="A12224" s="2">
        <v>12219</v>
      </c>
      <c r="B12224" s="3" t="str">
        <f>"00555971"</f>
        <v>00555971</v>
      </c>
    </row>
    <row r="12225" spans="1:2" x14ac:dyDescent="0.25">
      <c r="A12225" s="2">
        <v>12220</v>
      </c>
      <c r="B12225" s="3" t="str">
        <f>"00556133"</f>
        <v>00556133</v>
      </c>
    </row>
    <row r="12226" spans="1:2" x14ac:dyDescent="0.25">
      <c r="A12226" s="2">
        <v>12221</v>
      </c>
      <c r="B12226" s="3" t="str">
        <f>"00556142"</f>
        <v>00556142</v>
      </c>
    </row>
    <row r="12227" spans="1:2" x14ac:dyDescent="0.25">
      <c r="A12227" s="2">
        <v>12222</v>
      </c>
      <c r="B12227" s="3" t="str">
        <f>"00556146"</f>
        <v>00556146</v>
      </c>
    </row>
    <row r="12228" spans="1:2" x14ac:dyDescent="0.25">
      <c r="A12228" s="2">
        <v>12223</v>
      </c>
      <c r="B12228" s="3" t="str">
        <f>"00556240"</f>
        <v>00556240</v>
      </c>
    </row>
    <row r="12229" spans="1:2" x14ac:dyDescent="0.25">
      <c r="A12229" s="2">
        <v>12224</v>
      </c>
      <c r="B12229" s="3" t="str">
        <f>"00556268"</f>
        <v>00556268</v>
      </c>
    </row>
    <row r="12230" spans="1:2" x14ac:dyDescent="0.25">
      <c r="A12230" s="2">
        <v>12225</v>
      </c>
      <c r="B12230" s="3" t="str">
        <f>"00556336"</f>
        <v>00556336</v>
      </c>
    </row>
    <row r="12231" spans="1:2" x14ac:dyDescent="0.25">
      <c r="A12231" s="2">
        <v>12226</v>
      </c>
      <c r="B12231" s="3" t="str">
        <f>"00556423"</f>
        <v>00556423</v>
      </c>
    </row>
    <row r="12232" spans="1:2" x14ac:dyDescent="0.25">
      <c r="A12232" s="2">
        <v>12227</v>
      </c>
      <c r="B12232" s="3" t="str">
        <f>"00556504"</f>
        <v>00556504</v>
      </c>
    </row>
    <row r="12233" spans="1:2" x14ac:dyDescent="0.25">
      <c r="A12233" s="2">
        <v>12228</v>
      </c>
      <c r="B12233" s="3" t="str">
        <f>"00556507"</f>
        <v>00556507</v>
      </c>
    </row>
    <row r="12234" spans="1:2" x14ac:dyDescent="0.25">
      <c r="A12234" s="2">
        <v>12229</v>
      </c>
      <c r="B12234" s="3" t="str">
        <f>"00556529"</f>
        <v>00556529</v>
      </c>
    </row>
    <row r="12235" spans="1:2" x14ac:dyDescent="0.25">
      <c r="A12235" s="2">
        <v>12230</v>
      </c>
      <c r="B12235" s="3" t="str">
        <f>"00556540"</f>
        <v>00556540</v>
      </c>
    </row>
    <row r="12236" spans="1:2" x14ac:dyDescent="0.25">
      <c r="A12236" s="2">
        <v>12231</v>
      </c>
      <c r="B12236" s="3" t="str">
        <f>"00556610"</f>
        <v>00556610</v>
      </c>
    </row>
    <row r="12237" spans="1:2" x14ac:dyDescent="0.25">
      <c r="A12237" s="2">
        <v>12232</v>
      </c>
      <c r="B12237" s="3" t="str">
        <f>"00556651"</f>
        <v>00556651</v>
      </c>
    </row>
    <row r="12238" spans="1:2" x14ac:dyDescent="0.25">
      <c r="A12238" s="2">
        <v>12233</v>
      </c>
      <c r="B12238" s="3" t="str">
        <f>"00556707"</f>
        <v>00556707</v>
      </c>
    </row>
    <row r="12239" spans="1:2" x14ac:dyDescent="0.25">
      <c r="A12239" s="2">
        <v>12234</v>
      </c>
      <c r="B12239" s="3" t="str">
        <f>"00556724"</f>
        <v>00556724</v>
      </c>
    </row>
    <row r="12240" spans="1:2" x14ac:dyDescent="0.25">
      <c r="A12240" s="2">
        <v>12235</v>
      </c>
      <c r="B12240" s="3" t="str">
        <f>"00556769"</f>
        <v>00556769</v>
      </c>
    </row>
    <row r="12241" spans="1:2" x14ac:dyDescent="0.25">
      <c r="A12241" s="2">
        <v>12236</v>
      </c>
      <c r="B12241" s="3" t="str">
        <f>"00556795"</f>
        <v>00556795</v>
      </c>
    </row>
    <row r="12242" spans="1:2" x14ac:dyDescent="0.25">
      <c r="A12242" s="2">
        <v>12237</v>
      </c>
      <c r="B12242" s="3" t="str">
        <f>"00556805"</f>
        <v>00556805</v>
      </c>
    </row>
    <row r="12243" spans="1:2" x14ac:dyDescent="0.25">
      <c r="A12243" s="2">
        <v>12238</v>
      </c>
      <c r="B12243" s="3" t="str">
        <f>"00556845"</f>
        <v>00556845</v>
      </c>
    </row>
    <row r="12244" spans="1:2" x14ac:dyDescent="0.25">
      <c r="A12244" s="2">
        <v>12239</v>
      </c>
      <c r="B12244" s="3" t="str">
        <f>"00556918"</f>
        <v>00556918</v>
      </c>
    </row>
    <row r="12245" spans="1:2" x14ac:dyDescent="0.25">
      <c r="A12245" s="2">
        <v>12240</v>
      </c>
      <c r="B12245" s="3" t="str">
        <f>"00556953"</f>
        <v>00556953</v>
      </c>
    </row>
    <row r="12246" spans="1:2" x14ac:dyDescent="0.25">
      <c r="A12246" s="2">
        <v>12241</v>
      </c>
      <c r="B12246" s="3" t="str">
        <f>"00556978"</f>
        <v>00556978</v>
      </c>
    </row>
    <row r="12247" spans="1:2" x14ac:dyDescent="0.25">
      <c r="A12247" s="2">
        <v>12242</v>
      </c>
      <c r="B12247" s="3" t="str">
        <f>"00556979"</f>
        <v>00556979</v>
      </c>
    </row>
    <row r="12248" spans="1:2" x14ac:dyDescent="0.25">
      <c r="A12248" s="2">
        <v>12243</v>
      </c>
      <c r="B12248" s="3" t="str">
        <f>"00556986"</f>
        <v>00556986</v>
      </c>
    </row>
    <row r="12249" spans="1:2" x14ac:dyDescent="0.25">
      <c r="A12249" s="2">
        <v>12244</v>
      </c>
      <c r="B12249" s="3" t="str">
        <f>"00556993"</f>
        <v>00556993</v>
      </c>
    </row>
    <row r="12250" spans="1:2" x14ac:dyDescent="0.25">
      <c r="A12250" s="2">
        <v>12245</v>
      </c>
      <c r="B12250" s="3" t="str">
        <f>"00557060"</f>
        <v>00557060</v>
      </c>
    </row>
    <row r="12251" spans="1:2" x14ac:dyDescent="0.25">
      <c r="A12251" s="2">
        <v>12246</v>
      </c>
      <c r="B12251" s="3" t="str">
        <f>"00557074"</f>
        <v>00557074</v>
      </c>
    </row>
    <row r="12252" spans="1:2" x14ac:dyDescent="0.25">
      <c r="A12252" s="2">
        <v>12247</v>
      </c>
      <c r="B12252" s="3" t="str">
        <f>"00557075"</f>
        <v>00557075</v>
      </c>
    </row>
    <row r="12253" spans="1:2" x14ac:dyDescent="0.25">
      <c r="A12253" s="2">
        <v>12248</v>
      </c>
      <c r="B12253" s="3" t="str">
        <f>"00557088"</f>
        <v>00557088</v>
      </c>
    </row>
    <row r="12254" spans="1:2" x14ac:dyDescent="0.25">
      <c r="A12254" s="2">
        <v>12249</v>
      </c>
      <c r="B12254" s="3" t="str">
        <f>"00557145"</f>
        <v>00557145</v>
      </c>
    </row>
    <row r="12255" spans="1:2" x14ac:dyDescent="0.25">
      <c r="A12255" s="2">
        <v>12250</v>
      </c>
      <c r="B12255" s="3" t="str">
        <f>"00557154"</f>
        <v>00557154</v>
      </c>
    </row>
    <row r="12256" spans="1:2" x14ac:dyDescent="0.25">
      <c r="A12256" s="2">
        <v>12251</v>
      </c>
      <c r="B12256" s="3" t="str">
        <f>"00557209"</f>
        <v>00557209</v>
      </c>
    </row>
    <row r="12257" spans="1:2" x14ac:dyDescent="0.25">
      <c r="A12257" s="2">
        <v>12252</v>
      </c>
      <c r="B12257" s="3" t="str">
        <f>"00557247"</f>
        <v>00557247</v>
      </c>
    </row>
    <row r="12258" spans="1:2" x14ac:dyDescent="0.25">
      <c r="A12258" s="2">
        <v>12253</v>
      </c>
      <c r="B12258" s="3" t="str">
        <f>"00557425"</f>
        <v>00557425</v>
      </c>
    </row>
    <row r="12259" spans="1:2" x14ac:dyDescent="0.25">
      <c r="A12259" s="2">
        <v>12254</v>
      </c>
      <c r="B12259" s="3" t="str">
        <f>"00557443"</f>
        <v>00557443</v>
      </c>
    </row>
    <row r="12260" spans="1:2" x14ac:dyDescent="0.25">
      <c r="A12260" s="2">
        <v>12255</v>
      </c>
      <c r="B12260" s="3" t="str">
        <f>"00557473"</f>
        <v>00557473</v>
      </c>
    </row>
    <row r="12261" spans="1:2" x14ac:dyDescent="0.25">
      <c r="A12261" s="2">
        <v>12256</v>
      </c>
      <c r="B12261" s="3" t="str">
        <f>"00557551"</f>
        <v>00557551</v>
      </c>
    </row>
    <row r="12262" spans="1:2" x14ac:dyDescent="0.25">
      <c r="A12262" s="2">
        <v>12257</v>
      </c>
      <c r="B12262" s="3" t="str">
        <f>"00557574"</f>
        <v>00557574</v>
      </c>
    </row>
    <row r="12263" spans="1:2" x14ac:dyDescent="0.25">
      <c r="A12263" s="2">
        <v>12258</v>
      </c>
      <c r="B12263" s="3" t="str">
        <f>"00557584"</f>
        <v>00557584</v>
      </c>
    </row>
    <row r="12264" spans="1:2" x14ac:dyDescent="0.25">
      <c r="A12264" s="2">
        <v>12259</v>
      </c>
      <c r="B12264" s="3" t="str">
        <f>"00557621"</f>
        <v>00557621</v>
      </c>
    </row>
    <row r="12265" spans="1:2" x14ac:dyDescent="0.25">
      <c r="A12265" s="2">
        <v>12260</v>
      </c>
      <c r="B12265" s="3" t="str">
        <f>"00557744"</f>
        <v>00557744</v>
      </c>
    </row>
    <row r="12266" spans="1:2" x14ac:dyDescent="0.25">
      <c r="A12266" s="2">
        <v>12261</v>
      </c>
      <c r="B12266" s="3" t="str">
        <f>"00557747"</f>
        <v>00557747</v>
      </c>
    </row>
    <row r="12267" spans="1:2" x14ac:dyDescent="0.25">
      <c r="A12267" s="2">
        <v>12262</v>
      </c>
      <c r="B12267" s="3" t="str">
        <f>"00557759"</f>
        <v>00557759</v>
      </c>
    </row>
    <row r="12268" spans="1:2" x14ac:dyDescent="0.25">
      <c r="A12268" s="2">
        <v>12263</v>
      </c>
      <c r="B12268" s="3" t="str">
        <f>"00557805"</f>
        <v>00557805</v>
      </c>
    </row>
    <row r="12269" spans="1:2" x14ac:dyDescent="0.25">
      <c r="A12269" s="2">
        <v>12264</v>
      </c>
      <c r="B12269" s="3" t="str">
        <f>"00557809"</f>
        <v>00557809</v>
      </c>
    </row>
    <row r="12270" spans="1:2" x14ac:dyDescent="0.25">
      <c r="A12270" s="2">
        <v>12265</v>
      </c>
      <c r="B12270" s="3" t="str">
        <f>"00557819"</f>
        <v>00557819</v>
      </c>
    </row>
    <row r="12271" spans="1:2" x14ac:dyDescent="0.25">
      <c r="A12271" s="2">
        <v>12266</v>
      </c>
      <c r="B12271" s="3" t="str">
        <f>"00557820"</f>
        <v>00557820</v>
      </c>
    </row>
    <row r="12272" spans="1:2" x14ac:dyDescent="0.25">
      <c r="A12272" s="2">
        <v>12267</v>
      </c>
      <c r="B12272" s="3" t="str">
        <f>"00557856"</f>
        <v>00557856</v>
      </c>
    </row>
    <row r="12273" spans="1:2" x14ac:dyDescent="0.25">
      <c r="A12273" s="2">
        <v>12268</v>
      </c>
      <c r="B12273" s="3" t="str">
        <f>"00557893"</f>
        <v>00557893</v>
      </c>
    </row>
    <row r="12274" spans="1:2" x14ac:dyDescent="0.25">
      <c r="A12274" s="2">
        <v>12269</v>
      </c>
      <c r="B12274" s="3" t="str">
        <f>"00557908"</f>
        <v>00557908</v>
      </c>
    </row>
    <row r="12275" spans="1:2" x14ac:dyDescent="0.25">
      <c r="A12275" s="2">
        <v>12270</v>
      </c>
      <c r="B12275" s="3" t="str">
        <f>"00557959"</f>
        <v>00557959</v>
      </c>
    </row>
    <row r="12276" spans="1:2" x14ac:dyDescent="0.25">
      <c r="A12276" s="2">
        <v>12271</v>
      </c>
      <c r="B12276" s="3" t="str">
        <f>"00557972"</f>
        <v>00557972</v>
      </c>
    </row>
    <row r="12277" spans="1:2" x14ac:dyDescent="0.25">
      <c r="A12277" s="2">
        <v>12272</v>
      </c>
      <c r="B12277" s="3" t="str">
        <f>"00557999"</f>
        <v>00557999</v>
      </c>
    </row>
    <row r="12278" spans="1:2" x14ac:dyDescent="0.25">
      <c r="A12278" s="2">
        <v>12273</v>
      </c>
      <c r="B12278" s="3" t="str">
        <f>"00558025"</f>
        <v>00558025</v>
      </c>
    </row>
    <row r="12279" spans="1:2" x14ac:dyDescent="0.25">
      <c r="A12279" s="2">
        <v>12274</v>
      </c>
      <c r="B12279" s="3" t="str">
        <f>"00558061"</f>
        <v>00558061</v>
      </c>
    </row>
    <row r="12280" spans="1:2" x14ac:dyDescent="0.25">
      <c r="A12280" s="2">
        <v>12275</v>
      </c>
      <c r="B12280" s="3" t="str">
        <f>"00558085"</f>
        <v>00558085</v>
      </c>
    </row>
    <row r="12281" spans="1:2" x14ac:dyDescent="0.25">
      <c r="A12281" s="2">
        <v>12276</v>
      </c>
      <c r="B12281" s="3" t="str">
        <f>"00558096"</f>
        <v>00558096</v>
      </c>
    </row>
    <row r="12282" spans="1:2" x14ac:dyDescent="0.25">
      <c r="A12282" s="2">
        <v>12277</v>
      </c>
      <c r="B12282" s="3" t="str">
        <f>"00558112"</f>
        <v>00558112</v>
      </c>
    </row>
    <row r="12283" spans="1:2" x14ac:dyDescent="0.25">
      <c r="A12283" s="2">
        <v>12278</v>
      </c>
      <c r="B12283" s="3" t="str">
        <f>"00558135"</f>
        <v>00558135</v>
      </c>
    </row>
    <row r="12284" spans="1:2" x14ac:dyDescent="0.25">
      <c r="A12284" s="2">
        <v>12279</v>
      </c>
      <c r="B12284" s="3" t="str">
        <f>"00558149"</f>
        <v>00558149</v>
      </c>
    </row>
    <row r="12285" spans="1:2" x14ac:dyDescent="0.25">
      <c r="A12285" s="2">
        <v>12280</v>
      </c>
      <c r="B12285" s="3" t="str">
        <f>"00558181"</f>
        <v>00558181</v>
      </c>
    </row>
    <row r="12286" spans="1:2" x14ac:dyDescent="0.25">
      <c r="A12286" s="2">
        <v>12281</v>
      </c>
      <c r="B12286" s="3" t="str">
        <f>"00558186"</f>
        <v>00558186</v>
      </c>
    </row>
    <row r="12287" spans="1:2" x14ac:dyDescent="0.25">
      <c r="A12287" s="2">
        <v>12282</v>
      </c>
      <c r="B12287" s="3" t="str">
        <f>"00558207"</f>
        <v>00558207</v>
      </c>
    </row>
    <row r="12288" spans="1:2" x14ac:dyDescent="0.25">
      <c r="A12288" s="2">
        <v>12283</v>
      </c>
      <c r="B12288" s="3" t="str">
        <f>"00558266"</f>
        <v>00558266</v>
      </c>
    </row>
    <row r="12289" spans="1:2" x14ac:dyDescent="0.25">
      <c r="A12289" s="2">
        <v>12284</v>
      </c>
      <c r="B12289" s="3" t="str">
        <f>"00558317"</f>
        <v>00558317</v>
      </c>
    </row>
    <row r="12290" spans="1:2" x14ac:dyDescent="0.25">
      <c r="A12290" s="2">
        <v>12285</v>
      </c>
      <c r="B12290" s="3" t="str">
        <f>"00558393"</f>
        <v>00558393</v>
      </c>
    </row>
    <row r="12291" spans="1:2" x14ac:dyDescent="0.25">
      <c r="A12291" s="2">
        <v>12286</v>
      </c>
      <c r="B12291" s="3" t="str">
        <f>"00558400"</f>
        <v>00558400</v>
      </c>
    </row>
    <row r="12292" spans="1:2" x14ac:dyDescent="0.25">
      <c r="A12292" s="2">
        <v>12287</v>
      </c>
      <c r="B12292" s="3" t="str">
        <f>"00558455"</f>
        <v>00558455</v>
      </c>
    </row>
    <row r="12293" spans="1:2" x14ac:dyDescent="0.25">
      <c r="A12293" s="2">
        <v>12288</v>
      </c>
      <c r="B12293" s="3" t="str">
        <f>"00558472"</f>
        <v>00558472</v>
      </c>
    </row>
    <row r="12294" spans="1:2" x14ac:dyDescent="0.25">
      <c r="A12294" s="2">
        <v>12289</v>
      </c>
      <c r="B12294" s="3" t="str">
        <f>"00558488"</f>
        <v>00558488</v>
      </c>
    </row>
    <row r="12295" spans="1:2" x14ac:dyDescent="0.25">
      <c r="A12295" s="2">
        <v>12290</v>
      </c>
      <c r="B12295" s="3" t="str">
        <f>"00558493"</f>
        <v>00558493</v>
      </c>
    </row>
    <row r="12296" spans="1:2" x14ac:dyDescent="0.25">
      <c r="A12296" s="2">
        <v>12291</v>
      </c>
      <c r="B12296" s="3" t="str">
        <f>"00558516"</f>
        <v>00558516</v>
      </c>
    </row>
    <row r="12297" spans="1:2" x14ac:dyDescent="0.25">
      <c r="A12297" s="2">
        <v>12292</v>
      </c>
      <c r="B12297" s="3" t="str">
        <f>"00558574"</f>
        <v>00558574</v>
      </c>
    </row>
    <row r="12298" spans="1:2" x14ac:dyDescent="0.25">
      <c r="A12298" s="2">
        <v>12293</v>
      </c>
      <c r="B12298" s="3" t="str">
        <f>"00558595"</f>
        <v>00558595</v>
      </c>
    </row>
    <row r="12299" spans="1:2" x14ac:dyDescent="0.25">
      <c r="A12299" s="2">
        <v>12294</v>
      </c>
      <c r="B12299" s="3" t="str">
        <f>"00558677"</f>
        <v>00558677</v>
      </c>
    </row>
    <row r="12300" spans="1:2" x14ac:dyDescent="0.25">
      <c r="A12300" s="2">
        <v>12295</v>
      </c>
      <c r="B12300" s="3" t="str">
        <f>"00558683"</f>
        <v>00558683</v>
      </c>
    </row>
    <row r="12301" spans="1:2" x14ac:dyDescent="0.25">
      <c r="A12301" s="2">
        <v>12296</v>
      </c>
      <c r="B12301" s="3" t="str">
        <f>"00558703"</f>
        <v>00558703</v>
      </c>
    </row>
    <row r="12302" spans="1:2" x14ac:dyDescent="0.25">
      <c r="A12302" s="2">
        <v>12297</v>
      </c>
      <c r="B12302" s="3" t="str">
        <f>"00558712"</f>
        <v>00558712</v>
      </c>
    </row>
    <row r="12303" spans="1:2" x14ac:dyDescent="0.25">
      <c r="A12303" s="2">
        <v>12298</v>
      </c>
      <c r="B12303" s="3" t="str">
        <f>"00558719"</f>
        <v>00558719</v>
      </c>
    </row>
    <row r="12304" spans="1:2" x14ac:dyDescent="0.25">
      <c r="A12304" s="2">
        <v>12299</v>
      </c>
      <c r="B12304" s="3" t="str">
        <f>"00558775"</f>
        <v>00558775</v>
      </c>
    </row>
    <row r="12305" spans="1:2" x14ac:dyDescent="0.25">
      <c r="A12305" s="2">
        <v>12300</v>
      </c>
      <c r="B12305" s="3" t="str">
        <f>"00558789"</f>
        <v>00558789</v>
      </c>
    </row>
    <row r="12306" spans="1:2" x14ac:dyDescent="0.25">
      <c r="A12306" s="2">
        <v>12301</v>
      </c>
      <c r="B12306" s="3" t="str">
        <f>"00558845"</f>
        <v>00558845</v>
      </c>
    </row>
    <row r="12307" spans="1:2" x14ac:dyDescent="0.25">
      <c r="A12307" s="2">
        <v>12302</v>
      </c>
      <c r="B12307" s="3" t="str">
        <f>"00558897"</f>
        <v>00558897</v>
      </c>
    </row>
    <row r="12308" spans="1:2" x14ac:dyDescent="0.25">
      <c r="A12308" s="2">
        <v>12303</v>
      </c>
      <c r="B12308" s="3" t="str">
        <f>"00558916"</f>
        <v>00558916</v>
      </c>
    </row>
    <row r="12309" spans="1:2" x14ac:dyDescent="0.25">
      <c r="A12309" s="2">
        <v>12304</v>
      </c>
      <c r="B12309" s="3" t="str">
        <f>"00558918"</f>
        <v>00558918</v>
      </c>
    </row>
    <row r="12310" spans="1:2" x14ac:dyDescent="0.25">
      <c r="A12310" s="2">
        <v>12305</v>
      </c>
      <c r="B12310" s="3" t="str">
        <f>"00558936"</f>
        <v>00558936</v>
      </c>
    </row>
    <row r="12311" spans="1:2" x14ac:dyDescent="0.25">
      <c r="A12311" s="2">
        <v>12306</v>
      </c>
      <c r="B12311" s="3" t="str">
        <f>"00558940"</f>
        <v>00558940</v>
      </c>
    </row>
    <row r="12312" spans="1:2" x14ac:dyDescent="0.25">
      <c r="A12312" s="2">
        <v>12307</v>
      </c>
      <c r="B12312" s="3" t="str">
        <f>"00558975"</f>
        <v>00558975</v>
      </c>
    </row>
    <row r="12313" spans="1:2" x14ac:dyDescent="0.25">
      <c r="A12313" s="2">
        <v>12308</v>
      </c>
      <c r="B12313" s="3" t="str">
        <f>"00558980"</f>
        <v>00558980</v>
      </c>
    </row>
    <row r="12314" spans="1:2" x14ac:dyDescent="0.25">
      <c r="A12314" s="2">
        <v>12309</v>
      </c>
      <c r="B12314" s="3" t="str">
        <f>"00559077"</f>
        <v>00559077</v>
      </c>
    </row>
    <row r="12315" spans="1:2" x14ac:dyDescent="0.25">
      <c r="A12315" s="2">
        <v>12310</v>
      </c>
      <c r="B12315" s="3" t="str">
        <f>"00559115"</f>
        <v>00559115</v>
      </c>
    </row>
    <row r="12316" spans="1:2" x14ac:dyDescent="0.25">
      <c r="A12316" s="2">
        <v>12311</v>
      </c>
      <c r="B12316" s="3" t="str">
        <f>"00559123"</f>
        <v>00559123</v>
      </c>
    </row>
    <row r="12317" spans="1:2" x14ac:dyDescent="0.25">
      <c r="A12317" s="2">
        <v>12312</v>
      </c>
      <c r="B12317" s="3" t="str">
        <f>"00559152"</f>
        <v>00559152</v>
      </c>
    </row>
    <row r="12318" spans="1:2" x14ac:dyDescent="0.25">
      <c r="A12318" s="2">
        <v>12313</v>
      </c>
      <c r="B12318" s="3" t="str">
        <f>"00559154"</f>
        <v>00559154</v>
      </c>
    </row>
    <row r="12319" spans="1:2" x14ac:dyDescent="0.25">
      <c r="A12319" s="2">
        <v>12314</v>
      </c>
      <c r="B12319" s="3" t="str">
        <f>"00559187"</f>
        <v>00559187</v>
      </c>
    </row>
    <row r="12320" spans="1:2" x14ac:dyDescent="0.25">
      <c r="A12320" s="2">
        <v>12315</v>
      </c>
      <c r="B12320" s="3" t="str">
        <f>"00559218"</f>
        <v>00559218</v>
      </c>
    </row>
    <row r="12321" spans="1:2" x14ac:dyDescent="0.25">
      <c r="A12321" s="2">
        <v>12316</v>
      </c>
      <c r="B12321" s="3" t="str">
        <f>"00559246"</f>
        <v>00559246</v>
      </c>
    </row>
    <row r="12322" spans="1:2" x14ac:dyDescent="0.25">
      <c r="A12322" s="2">
        <v>12317</v>
      </c>
      <c r="B12322" s="3" t="str">
        <f>"00559294"</f>
        <v>00559294</v>
      </c>
    </row>
    <row r="12323" spans="1:2" x14ac:dyDescent="0.25">
      <c r="A12323" s="2">
        <v>12318</v>
      </c>
      <c r="B12323" s="3" t="str">
        <f>"00559367"</f>
        <v>00559367</v>
      </c>
    </row>
    <row r="12324" spans="1:2" x14ac:dyDescent="0.25">
      <c r="A12324" s="2">
        <v>12319</v>
      </c>
      <c r="B12324" s="3" t="str">
        <f>"00559372"</f>
        <v>00559372</v>
      </c>
    </row>
    <row r="12325" spans="1:2" x14ac:dyDescent="0.25">
      <c r="A12325" s="2">
        <v>12320</v>
      </c>
      <c r="B12325" s="3" t="str">
        <f>"00559398"</f>
        <v>00559398</v>
      </c>
    </row>
    <row r="12326" spans="1:2" x14ac:dyDescent="0.25">
      <c r="A12326" s="2">
        <v>12321</v>
      </c>
      <c r="B12326" s="3" t="str">
        <f>"00559413"</f>
        <v>00559413</v>
      </c>
    </row>
    <row r="12327" spans="1:2" x14ac:dyDescent="0.25">
      <c r="A12327" s="2">
        <v>12322</v>
      </c>
      <c r="B12327" s="3" t="str">
        <f>"00559515"</f>
        <v>00559515</v>
      </c>
    </row>
    <row r="12328" spans="1:2" x14ac:dyDescent="0.25">
      <c r="A12328" s="2">
        <v>12323</v>
      </c>
      <c r="B12328" s="3" t="str">
        <f>"00559545"</f>
        <v>00559545</v>
      </c>
    </row>
    <row r="12329" spans="1:2" x14ac:dyDescent="0.25">
      <c r="A12329" s="2">
        <v>12324</v>
      </c>
      <c r="B12329" s="3" t="str">
        <f>"00559622"</f>
        <v>00559622</v>
      </c>
    </row>
    <row r="12330" spans="1:2" x14ac:dyDescent="0.25">
      <c r="A12330" s="2">
        <v>12325</v>
      </c>
      <c r="B12330" s="3" t="str">
        <f>"00559706"</f>
        <v>00559706</v>
      </c>
    </row>
    <row r="12331" spans="1:2" x14ac:dyDescent="0.25">
      <c r="A12331" s="2">
        <v>12326</v>
      </c>
      <c r="B12331" s="3" t="str">
        <f>"00559818"</f>
        <v>00559818</v>
      </c>
    </row>
    <row r="12332" spans="1:2" x14ac:dyDescent="0.25">
      <c r="A12332" s="2">
        <v>12327</v>
      </c>
      <c r="B12332" s="3" t="str">
        <f>"00559823"</f>
        <v>00559823</v>
      </c>
    </row>
    <row r="12333" spans="1:2" x14ac:dyDescent="0.25">
      <c r="A12333" s="2">
        <v>12328</v>
      </c>
      <c r="B12333" s="3" t="str">
        <f>"00559828"</f>
        <v>00559828</v>
      </c>
    </row>
    <row r="12334" spans="1:2" x14ac:dyDescent="0.25">
      <c r="A12334" s="2">
        <v>12329</v>
      </c>
      <c r="B12334" s="3" t="str">
        <f>"00559857"</f>
        <v>00559857</v>
      </c>
    </row>
    <row r="12335" spans="1:2" x14ac:dyDescent="0.25">
      <c r="A12335" s="2">
        <v>12330</v>
      </c>
      <c r="B12335" s="3" t="str">
        <f>"00559866"</f>
        <v>00559866</v>
      </c>
    </row>
    <row r="12336" spans="1:2" x14ac:dyDescent="0.25">
      <c r="A12336" s="2">
        <v>12331</v>
      </c>
      <c r="B12336" s="3" t="str">
        <f>"00559966"</f>
        <v>00559966</v>
      </c>
    </row>
    <row r="12337" spans="1:2" x14ac:dyDescent="0.25">
      <c r="A12337" s="2">
        <v>12332</v>
      </c>
      <c r="B12337" s="3" t="str">
        <f>"00560016"</f>
        <v>00560016</v>
      </c>
    </row>
    <row r="12338" spans="1:2" x14ac:dyDescent="0.25">
      <c r="A12338" s="2">
        <v>12333</v>
      </c>
      <c r="B12338" s="3" t="str">
        <f>"00560029"</f>
        <v>00560029</v>
      </c>
    </row>
    <row r="12339" spans="1:2" x14ac:dyDescent="0.25">
      <c r="A12339" s="2">
        <v>12334</v>
      </c>
      <c r="B12339" s="3" t="str">
        <f>"00560032"</f>
        <v>00560032</v>
      </c>
    </row>
    <row r="12340" spans="1:2" x14ac:dyDescent="0.25">
      <c r="A12340" s="2">
        <v>12335</v>
      </c>
      <c r="B12340" s="3" t="str">
        <f>"00560043"</f>
        <v>00560043</v>
      </c>
    </row>
    <row r="12341" spans="1:2" x14ac:dyDescent="0.25">
      <c r="A12341" s="2">
        <v>12336</v>
      </c>
      <c r="B12341" s="3" t="str">
        <f>"00560069"</f>
        <v>00560069</v>
      </c>
    </row>
    <row r="12342" spans="1:2" x14ac:dyDescent="0.25">
      <c r="A12342" s="2">
        <v>12337</v>
      </c>
      <c r="B12342" s="3" t="str">
        <f>"00560071"</f>
        <v>00560071</v>
      </c>
    </row>
    <row r="12343" spans="1:2" x14ac:dyDescent="0.25">
      <c r="A12343" s="2">
        <v>12338</v>
      </c>
      <c r="B12343" s="3" t="str">
        <f>"00560080"</f>
        <v>00560080</v>
      </c>
    </row>
    <row r="12344" spans="1:2" x14ac:dyDescent="0.25">
      <c r="A12344" s="2">
        <v>12339</v>
      </c>
      <c r="B12344" s="3" t="str">
        <f>"00560096"</f>
        <v>00560096</v>
      </c>
    </row>
    <row r="12345" spans="1:2" x14ac:dyDescent="0.25">
      <c r="A12345" s="2">
        <v>12340</v>
      </c>
      <c r="B12345" s="3" t="str">
        <f>"00560105"</f>
        <v>00560105</v>
      </c>
    </row>
    <row r="12346" spans="1:2" x14ac:dyDescent="0.25">
      <c r="A12346" s="2">
        <v>12341</v>
      </c>
      <c r="B12346" s="3" t="str">
        <f>"00560156"</f>
        <v>00560156</v>
      </c>
    </row>
    <row r="12347" spans="1:2" x14ac:dyDescent="0.25">
      <c r="A12347" s="2">
        <v>12342</v>
      </c>
      <c r="B12347" s="3" t="str">
        <f>"00560192"</f>
        <v>00560192</v>
      </c>
    </row>
    <row r="12348" spans="1:2" x14ac:dyDescent="0.25">
      <c r="A12348" s="2">
        <v>12343</v>
      </c>
      <c r="B12348" s="3" t="str">
        <f>"00560193"</f>
        <v>00560193</v>
      </c>
    </row>
    <row r="12349" spans="1:2" x14ac:dyDescent="0.25">
      <c r="A12349" s="2">
        <v>12344</v>
      </c>
      <c r="B12349" s="3" t="str">
        <f>"00560197"</f>
        <v>00560197</v>
      </c>
    </row>
    <row r="12350" spans="1:2" x14ac:dyDescent="0.25">
      <c r="A12350" s="2">
        <v>12345</v>
      </c>
      <c r="B12350" s="3" t="str">
        <f>"00560215"</f>
        <v>00560215</v>
      </c>
    </row>
    <row r="12351" spans="1:2" x14ac:dyDescent="0.25">
      <c r="A12351" s="2">
        <v>12346</v>
      </c>
      <c r="B12351" s="3" t="str">
        <f>"00560293"</f>
        <v>00560293</v>
      </c>
    </row>
    <row r="12352" spans="1:2" x14ac:dyDescent="0.25">
      <c r="A12352" s="2">
        <v>12347</v>
      </c>
      <c r="B12352" s="3" t="str">
        <f>"00560312"</f>
        <v>00560312</v>
      </c>
    </row>
    <row r="12353" spans="1:2" x14ac:dyDescent="0.25">
      <c r="A12353" s="2">
        <v>12348</v>
      </c>
      <c r="B12353" s="3" t="str">
        <f>"00560328"</f>
        <v>00560328</v>
      </c>
    </row>
    <row r="12354" spans="1:2" x14ac:dyDescent="0.25">
      <c r="A12354" s="2">
        <v>12349</v>
      </c>
      <c r="B12354" s="3" t="str">
        <f>"00560338"</f>
        <v>00560338</v>
      </c>
    </row>
    <row r="12355" spans="1:2" x14ac:dyDescent="0.25">
      <c r="A12355" s="2">
        <v>12350</v>
      </c>
      <c r="B12355" s="3" t="str">
        <f>"00560388"</f>
        <v>00560388</v>
      </c>
    </row>
    <row r="12356" spans="1:2" x14ac:dyDescent="0.25">
      <c r="A12356" s="2">
        <v>12351</v>
      </c>
      <c r="B12356" s="3" t="str">
        <f>"00560423"</f>
        <v>00560423</v>
      </c>
    </row>
    <row r="12357" spans="1:2" x14ac:dyDescent="0.25">
      <c r="A12357" s="2">
        <v>12352</v>
      </c>
      <c r="B12357" s="3" t="str">
        <f>"00560445"</f>
        <v>00560445</v>
      </c>
    </row>
    <row r="12358" spans="1:2" x14ac:dyDescent="0.25">
      <c r="A12358" s="2">
        <v>12353</v>
      </c>
      <c r="B12358" s="3" t="str">
        <f>"00560450"</f>
        <v>00560450</v>
      </c>
    </row>
    <row r="12359" spans="1:2" x14ac:dyDescent="0.25">
      <c r="A12359" s="2">
        <v>12354</v>
      </c>
      <c r="B12359" s="3" t="str">
        <f>"00560489"</f>
        <v>00560489</v>
      </c>
    </row>
    <row r="12360" spans="1:2" x14ac:dyDescent="0.25">
      <c r="A12360" s="2">
        <v>12355</v>
      </c>
      <c r="B12360" s="3" t="str">
        <f>"00560503"</f>
        <v>00560503</v>
      </c>
    </row>
    <row r="12361" spans="1:2" x14ac:dyDescent="0.25">
      <c r="A12361" s="2">
        <v>12356</v>
      </c>
      <c r="B12361" s="3" t="str">
        <f>"00560504"</f>
        <v>00560504</v>
      </c>
    </row>
    <row r="12362" spans="1:2" x14ac:dyDescent="0.25">
      <c r="A12362" s="2">
        <v>12357</v>
      </c>
      <c r="B12362" s="3" t="str">
        <f>"00560527"</f>
        <v>00560527</v>
      </c>
    </row>
    <row r="12363" spans="1:2" x14ac:dyDescent="0.25">
      <c r="A12363" s="2">
        <v>12358</v>
      </c>
      <c r="B12363" s="3" t="str">
        <f>"00560534"</f>
        <v>00560534</v>
      </c>
    </row>
    <row r="12364" spans="1:2" x14ac:dyDescent="0.25">
      <c r="A12364" s="2">
        <v>12359</v>
      </c>
      <c r="B12364" s="3" t="str">
        <f>"00560543"</f>
        <v>00560543</v>
      </c>
    </row>
    <row r="12365" spans="1:2" x14ac:dyDescent="0.25">
      <c r="A12365" s="2">
        <v>12360</v>
      </c>
      <c r="B12365" s="3" t="str">
        <f>"00560578"</f>
        <v>00560578</v>
      </c>
    </row>
    <row r="12366" spans="1:2" x14ac:dyDescent="0.25">
      <c r="A12366" s="2">
        <v>12361</v>
      </c>
      <c r="B12366" s="3" t="str">
        <f>"00560590"</f>
        <v>00560590</v>
      </c>
    </row>
    <row r="12367" spans="1:2" x14ac:dyDescent="0.25">
      <c r="A12367" s="2">
        <v>12362</v>
      </c>
      <c r="B12367" s="3" t="str">
        <f>"00560608"</f>
        <v>00560608</v>
      </c>
    </row>
    <row r="12368" spans="1:2" x14ac:dyDescent="0.25">
      <c r="A12368" s="2">
        <v>12363</v>
      </c>
      <c r="B12368" s="3" t="str">
        <f>"00560610"</f>
        <v>00560610</v>
      </c>
    </row>
    <row r="12369" spans="1:2" x14ac:dyDescent="0.25">
      <c r="A12369" s="2">
        <v>12364</v>
      </c>
      <c r="B12369" s="3" t="str">
        <f>"00560626"</f>
        <v>00560626</v>
      </c>
    </row>
    <row r="12370" spans="1:2" x14ac:dyDescent="0.25">
      <c r="A12370" s="2">
        <v>12365</v>
      </c>
      <c r="B12370" s="3" t="str">
        <f>"00560671"</f>
        <v>00560671</v>
      </c>
    </row>
    <row r="12371" spans="1:2" x14ac:dyDescent="0.25">
      <c r="A12371" s="2">
        <v>12366</v>
      </c>
      <c r="B12371" s="3" t="str">
        <f>"00560683"</f>
        <v>00560683</v>
      </c>
    </row>
    <row r="12372" spans="1:2" x14ac:dyDescent="0.25">
      <c r="A12372" s="2">
        <v>12367</v>
      </c>
      <c r="B12372" s="3" t="str">
        <f>"00560691"</f>
        <v>00560691</v>
      </c>
    </row>
    <row r="12373" spans="1:2" x14ac:dyDescent="0.25">
      <c r="A12373" s="2">
        <v>12368</v>
      </c>
      <c r="B12373" s="3" t="str">
        <f>"00560714"</f>
        <v>00560714</v>
      </c>
    </row>
    <row r="12374" spans="1:2" x14ac:dyDescent="0.25">
      <c r="A12374" s="2">
        <v>12369</v>
      </c>
      <c r="B12374" s="3" t="str">
        <f>"00560738"</f>
        <v>00560738</v>
      </c>
    </row>
    <row r="12375" spans="1:2" x14ac:dyDescent="0.25">
      <c r="A12375" s="2">
        <v>12370</v>
      </c>
      <c r="B12375" s="3" t="str">
        <f>"00560744"</f>
        <v>00560744</v>
      </c>
    </row>
    <row r="12376" spans="1:2" x14ac:dyDescent="0.25">
      <c r="A12376" s="2">
        <v>12371</v>
      </c>
      <c r="B12376" s="3" t="str">
        <f>"00560750"</f>
        <v>00560750</v>
      </c>
    </row>
    <row r="12377" spans="1:2" x14ac:dyDescent="0.25">
      <c r="A12377" s="2">
        <v>12372</v>
      </c>
      <c r="B12377" s="3" t="str">
        <f>"00560772"</f>
        <v>00560772</v>
      </c>
    </row>
    <row r="12378" spans="1:2" x14ac:dyDescent="0.25">
      <c r="A12378" s="2">
        <v>12373</v>
      </c>
      <c r="B12378" s="3" t="str">
        <f>"00560799"</f>
        <v>00560799</v>
      </c>
    </row>
    <row r="12379" spans="1:2" x14ac:dyDescent="0.25">
      <c r="A12379" s="2">
        <v>12374</v>
      </c>
      <c r="B12379" s="3" t="str">
        <f>"00560803"</f>
        <v>00560803</v>
      </c>
    </row>
    <row r="12380" spans="1:2" x14ac:dyDescent="0.25">
      <c r="A12380" s="2">
        <v>12375</v>
      </c>
      <c r="B12380" s="3" t="str">
        <f>"00560819"</f>
        <v>00560819</v>
      </c>
    </row>
    <row r="12381" spans="1:2" x14ac:dyDescent="0.25">
      <c r="A12381" s="2">
        <v>12376</v>
      </c>
      <c r="B12381" s="3" t="str">
        <f>"00560823"</f>
        <v>00560823</v>
      </c>
    </row>
    <row r="12382" spans="1:2" x14ac:dyDescent="0.25">
      <c r="A12382" s="2">
        <v>12377</v>
      </c>
      <c r="B12382" s="3" t="str">
        <f>"00560829"</f>
        <v>00560829</v>
      </c>
    </row>
    <row r="12383" spans="1:2" x14ac:dyDescent="0.25">
      <c r="A12383" s="2">
        <v>12378</v>
      </c>
      <c r="B12383" s="3" t="str">
        <f>"00560833"</f>
        <v>00560833</v>
      </c>
    </row>
    <row r="12384" spans="1:2" x14ac:dyDescent="0.25">
      <c r="A12384" s="2">
        <v>12379</v>
      </c>
      <c r="B12384" s="3" t="str">
        <f>"00560842"</f>
        <v>00560842</v>
      </c>
    </row>
    <row r="12385" spans="1:2" x14ac:dyDescent="0.25">
      <c r="A12385" s="2">
        <v>12380</v>
      </c>
      <c r="B12385" s="3" t="str">
        <f>"00560870"</f>
        <v>00560870</v>
      </c>
    </row>
    <row r="12386" spans="1:2" x14ac:dyDescent="0.25">
      <c r="A12386" s="2">
        <v>12381</v>
      </c>
      <c r="B12386" s="3" t="str">
        <f>"00560890"</f>
        <v>00560890</v>
      </c>
    </row>
    <row r="12387" spans="1:2" x14ac:dyDescent="0.25">
      <c r="A12387" s="2">
        <v>12382</v>
      </c>
      <c r="B12387" s="3" t="str">
        <f>"00560895"</f>
        <v>00560895</v>
      </c>
    </row>
    <row r="12388" spans="1:2" x14ac:dyDescent="0.25">
      <c r="A12388" s="2">
        <v>12383</v>
      </c>
      <c r="B12388" s="3" t="str">
        <f>"00560929"</f>
        <v>00560929</v>
      </c>
    </row>
    <row r="12389" spans="1:2" x14ac:dyDescent="0.25">
      <c r="A12389" s="2">
        <v>12384</v>
      </c>
      <c r="B12389" s="3" t="str">
        <f>"00560967"</f>
        <v>00560967</v>
      </c>
    </row>
    <row r="12390" spans="1:2" x14ac:dyDescent="0.25">
      <c r="A12390" s="2">
        <v>12385</v>
      </c>
      <c r="B12390" s="3" t="str">
        <f>"00561021"</f>
        <v>00561021</v>
      </c>
    </row>
    <row r="12391" spans="1:2" x14ac:dyDescent="0.25">
      <c r="A12391" s="2">
        <v>12386</v>
      </c>
      <c r="B12391" s="3" t="str">
        <f>"00561075"</f>
        <v>00561075</v>
      </c>
    </row>
    <row r="12392" spans="1:2" x14ac:dyDescent="0.25">
      <c r="A12392" s="2">
        <v>12387</v>
      </c>
      <c r="B12392" s="3" t="str">
        <f>"00561100"</f>
        <v>00561100</v>
      </c>
    </row>
    <row r="12393" spans="1:2" x14ac:dyDescent="0.25">
      <c r="A12393" s="2">
        <v>12388</v>
      </c>
      <c r="B12393" s="3" t="str">
        <f>"00561196"</f>
        <v>00561196</v>
      </c>
    </row>
    <row r="12394" spans="1:2" x14ac:dyDescent="0.25">
      <c r="A12394" s="2">
        <v>12389</v>
      </c>
      <c r="B12394" s="3" t="str">
        <f>"00561219"</f>
        <v>00561219</v>
      </c>
    </row>
    <row r="12395" spans="1:2" x14ac:dyDescent="0.25">
      <c r="A12395" s="2">
        <v>12390</v>
      </c>
      <c r="B12395" s="3" t="str">
        <f>"00561225"</f>
        <v>00561225</v>
      </c>
    </row>
    <row r="12396" spans="1:2" x14ac:dyDescent="0.25">
      <c r="A12396" s="2">
        <v>12391</v>
      </c>
      <c r="B12396" s="3" t="str">
        <f>"00561275"</f>
        <v>00561275</v>
      </c>
    </row>
    <row r="12397" spans="1:2" x14ac:dyDescent="0.25">
      <c r="A12397" s="2">
        <v>12392</v>
      </c>
      <c r="B12397" s="3" t="str">
        <f>"00561281"</f>
        <v>00561281</v>
      </c>
    </row>
    <row r="12398" spans="1:2" x14ac:dyDescent="0.25">
      <c r="A12398" s="2">
        <v>12393</v>
      </c>
      <c r="B12398" s="3" t="str">
        <f>"00561409"</f>
        <v>00561409</v>
      </c>
    </row>
    <row r="12399" spans="1:2" x14ac:dyDescent="0.25">
      <c r="A12399" s="2">
        <v>12394</v>
      </c>
      <c r="B12399" s="3" t="str">
        <f>"00561416"</f>
        <v>00561416</v>
      </c>
    </row>
    <row r="12400" spans="1:2" x14ac:dyDescent="0.25">
      <c r="A12400" s="2">
        <v>12395</v>
      </c>
      <c r="B12400" s="3" t="str">
        <f>"00561449"</f>
        <v>00561449</v>
      </c>
    </row>
    <row r="12401" spans="1:2" x14ac:dyDescent="0.25">
      <c r="A12401" s="2">
        <v>12396</v>
      </c>
      <c r="B12401" s="3" t="str">
        <f>"00561454"</f>
        <v>00561454</v>
      </c>
    </row>
    <row r="12402" spans="1:2" x14ac:dyDescent="0.25">
      <c r="A12402" s="2">
        <v>12397</v>
      </c>
      <c r="B12402" s="3" t="str">
        <f>"00561485"</f>
        <v>00561485</v>
      </c>
    </row>
    <row r="12403" spans="1:2" x14ac:dyDescent="0.25">
      <c r="A12403" s="2">
        <v>12398</v>
      </c>
      <c r="B12403" s="3" t="str">
        <f>"00561567"</f>
        <v>00561567</v>
      </c>
    </row>
    <row r="12404" spans="1:2" x14ac:dyDescent="0.25">
      <c r="A12404" s="2">
        <v>12399</v>
      </c>
      <c r="B12404" s="3" t="str">
        <f>"00561570"</f>
        <v>00561570</v>
      </c>
    </row>
    <row r="12405" spans="1:2" x14ac:dyDescent="0.25">
      <c r="A12405" s="2">
        <v>12400</v>
      </c>
      <c r="B12405" s="3" t="str">
        <f>"00561572"</f>
        <v>00561572</v>
      </c>
    </row>
    <row r="12406" spans="1:2" x14ac:dyDescent="0.25">
      <c r="A12406" s="2">
        <v>12401</v>
      </c>
      <c r="B12406" s="3" t="str">
        <f>"00561579"</f>
        <v>00561579</v>
      </c>
    </row>
    <row r="12407" spans="1:2" x14ac:dyDescent="0.25">
      <c r="A12407" s="2">
        <v>12402</v>
      </c>
      <c r="B12407" s="3" t="str">
        <f>"00561633"</f>
        <v>00561633</v>
      </c>
    </row>
    <row r="12408" spans="1:2" x14ac:dyDescent="0.25">
      <c r="A12408" s="2">
        <v>12403</v>
      </c>
      <c r="B12408" s="3" t="str">
        <f>"00561646"</f>
        <v>00561646</v>
      </c>
    </row>
    <row r="12409" spans="1:2" x14ac:dyDescent="0.25">
      <c r="A12409" s="2">
        <v>12404</v>
      </c>
      <c r="B12409" s="3" t="str">
        <f>"00561662"</f>
        <v>00561662</v>
      </c>
    </row>
    <row r="12410" spans="1:2" x14ac:dyDescent="0.25">
      <c r="A12410" s="2">
        <v>12405</v>
      </c>
      <c r="B12410" s="3" t="str">
        <f>"00561673"</f>
        <v>00561673</v>
      </c>
    </row>
    <row r="12411" spans="1:2" x14ac:dyDescent="0.25">
      <c r="A12411" s="2">
        <v>12406</v>
      </c>
      <c r="B12411" s="3" t="str">
        <f>"00561681"</f>
        <v>00561681</v>
      </c>
    </row>
    <row r="12412" spans="1:2" x14ac:dyDescent="0.25">
      <c r="A12412" s="2">
        <v>12407</v>
      </c>
      <c r="B12412" s="3" t="str">
        <f>"00561682"</f>
        <v>00561682</v>
      </c>
    </row>
    <row r="12413" spans="1:2" x14ac:dyDescent="0.25">
      <c r="A12413" s="2">
        <v>12408</v>
      </c>
      <c r="B12413" s="3" t="str">
        <f>"00561728"</f>
        <v>00561728</v>
      </c>
    </row>
    <row r="12414" spans="1:2" x14ac:dyDescent="0.25">
      <c r="A12414" s="2">
        <v>12409</v>
      </c>
      <c r="B12414" s="3" t="str">
        <f>"00561736"</f>
        <v>00561736</v>
      </c>
    </row>
    <row r="12415" spans="1:2" x14ac:dyDescent="0.25">
      <c r="A12415" s="2">
        <v>12410</v>
      </c>
      <c r="B12415" s="3" t="str">
        <f>"00561744"</f>
        <v>00561744</v>
      </c>
    </row>
    <row r="12416" spans="1:2" x14ac:dyDescent="0.25">
      <c r="A12416" s="2">
        <v>12411</v>
      </c>
      <c r="B12416" s="3" t="str">
        <f>"00561771"</f>
        <v>00561771</v>
      </c>
    </row>
    <row r="12417" spans="1:2" x14ac:dyDescent="0.25">
      <c r="A12417" s="2">
        <v>12412</v>
      </c>
      <c r="B12417" s="3" t="str">
        <f>"00561787"</f>
        <v>00561787</v>
      </c>
    </row>
    <row r="12418" spans="1:2" x14ac:dyDescent="0.25">
      <c r="A12418" s="2">
        <v>12413</v>
      </c>
      <c r="B12418" s="3" t="str">
        <f>"00561831"</f>
        <v>00561831</v>
      </c>
    </row>
    <row r="12419" spans="1:2" x14ac:dyDescent="0.25">
      <c r="A12419" s="2">
        <v>12414</v>
      </c>
      <c r="B12419" s="3" t="str">
        <f>"00561838"</f>
        <v>00561838</v>
      </c>
    </row>
    <row r="12420" spans="1:2" x14ac:dyDescent="0.25">
      <c r="A12420" s="2">
        <v>12415</v>
      </c>
      <c r="B12420" s="3" t="str">
        <f>"00561893"</f>
        <v>00561893</v>
      </c>
    </row>
    <row r="12421" spans="1:2" x14ac:dyDescent="0.25">
      <c r="A12421" s="2">
        <v>12416</v>
      </c>
      <c r="B12421" s="3" t="str">
        <f>"00561937"</f>
        <v>00561937</v>
      </c>
    </row>
    <row r="12422" spans="1:2" x14ac:dyDescent="0.25">
      <c r="A12422" s="2">
        <v>12417</v>
      </c>
      <c r="B12422" s="3" t="str">
        <f>"00561953"</f>
        <v>00561953</v>
      </c>
    </row>
    <row r="12423" spans="1:2" x14ac:dyDescent="0.25">
      <c r="A12423" s="2">
        <v>12418</v>
      </c>
      <c r="B12423" s="3" t="str">
        <f>"00561987"</f>
        <v>00561987</v>
      </c>
    </row>
    <row r="12424" spans="1:2" x14ac:dyDescent="0.25">
      <c r="A12424" s="2">
        <v>12419</v>
      </c>
      <c r="B12424" s="3" t="str">
        <f>"00562015"</f>
        <v>00562015</v>
      </c>
    </row>
    <row r="12425" spans="1:2" x14ac:dyDescent="0.25">
      <c r="A12425" s="2">
        <v>12420</v>
      </c>
      <c r="B12425" s="3" t="str">
        <f>"00562034"</f>
        <v>00562034</v>
      </c>
    </row>
    <row r="12426" spans="1:2" x14ac:dyDescent="0.25">
      <c r="A12426" s="2">
        <v>12421</v>
      </c>
      <c r="B12426" s="3" t="str">
        <f>"00562042"</f>
        <v>00562042</v>
      </c>
    </row>
    <row r="12427" spans="1:2" x14ac:dyDescent="0.25">
      <c r="A12427" s="2">
        <v>12422</v>
      </c>
      <c r="B12427" s="3" t="str">
        <f>"00562047"</f>
        <v>00562047</v>
      </c>
    </row>
    <row r="12428" spans="1:2" x14ac:dyDescent="0.25">
      <c r="A12428" s="2">
        <v>12423</v>
      </c>
      <c r="B12428" s="3" t="str">
        <f>"00562051"</f>
        <v>00562051</v>
      </c>
    </row>
    <row r="12429" spans="1:2" x14ac:dyDescent="0.25">
      <c r="A12429" s="2">
        <v>12424</v>
      </c>
      <c r="B12429" s="3" t="str">
        <f>"00562067"</f>
        <v>00562067</v>
      </c>
    </row>
    <row r="12430" spans="1:2" x14ac:dyDescent="0.25">
      <c r="A12430" s="2">
        <v>12425</v>
      </c>
      <c r="B12430" s="3" t="str">
        <f>"00562086"</f>
        <v>00562086</v>
      </c>
    </row>
    <row r="12431" spans="1:2" x14ac:dyDescent="0.25">
      <c r="A12431" s="2">
        <v>12426</v>
      </c>
      <c r="B12431" s="3" t="str">
        <f>"00562101"</f>
        <v>00562101</v>
      </c>
    </row>
    <row r="12432" spans="1:2" x14ac:dyDescent="0.25">
      <c r="A12432" s="2">
        <v>12427</v>
      </c>
      <c r="B12432" s="3" t="str">
        <f>"00562250"</f>
        <v>00562250</v>
      </c>
    </row>
    <row r="12433" spans="1:2" x14ac:dyDescent="0.25">
      <c r="A12433" s="2">
        <v>12428</v>
      </c>
      <c r="B12433" s="3" t="str">
        <f>"00562258"</f>
        <v>00562258</v>
      </c>
    </row>
    <row r="12434" spans="1:2" x14ac:dyDescent="0.25">
      <c r="A12434" s="2">
        <v>12429</v>
      </c>
      <c r="B12434" s="3" t="str">
        <f>"00562261"</f>
        <v>00562261</v>
      </c>
    </row>
    <row r="12435" spans="1:2" x14ac:dyDescent="0.25">
      <c r="A12435" s="2">
        <v>12430</v>
      </c>
      <c r="B12435" s="3" t="str">
        <f>"00562295"</f>
        <v>00562295</v>
      </c>
    </row>
    <row r="12436" spans="1:2" x14ac:dyDescent="0.25">
      <c r="A12436" s="2">
        <v>12431</v>
      </c>
      <c r="B12436" s="3" t="str">
        <f>"00562296"</f>
        <v>00562296</v>
      </c>
    </row>
    <row r="12437" spans="1:2" x14ac:dyDescent="0.25">
      <c r="A12437" s="2">
        <v>12432</v>
      </c>
      <c r="B12437" s="3" t="str">
        <f>"00562322"</f>
        <v>00562322</v>
      </c>
    </row>
    <row r="12438" spans="1:2" x14ac:dyDescent="0.25">
      <c r="A12438" s="2">
        <v>12433</v>
      </c>
      <c r="B12438" s="3" t="str">
        <f>"00562328"</f>
        <v>00562328</v>
      </c>
    </row>
    <row r="12439" spans="1:2" x14ac:dyDescent="0.25">
      <c r="A12439" s="2">
        <v>12434</v>
      </c>
      <c r="B12439" s="3" t="str">
        <f>"00562350"</f>
        <v>00562350</v>
      </c>
    </row>
    <row r="12440" spans="1:2" x14ac:dyDescent="0.25">
      <c r="A12440" s="2">
        <v>12435</v>
      </c>
      <c r="B12440" s="3" t="str">
        <f>"00562358"</f>
        <v>00562358</v>
      </c>
    </row>
    <row r="12441" spans="1:2" x14ac:dyDescent="0.25">
      <c r="A12441" s="2">
        <v>12436</v>
      </c>
      <c r="B12441" s="3" t="str">
        <f>"00562370"</f>
        <v>00562370</v>
      </c>
    </row>
    <row r="12442" spans="1:2" x14ac:dyDescent="0.25">
      <c r="A12442" s="2">
        <v>12437</v>
      </c>
      <c r="B12442" s="3" t="str">
        <f>"00562407"</f>
        <v>00562407</v>
      </c>
    </row>
    <row r="12443" spans="1:2" x14ac:dyDescent="0.25">
      <c r="A12443" s="2">
        <v>12438</v>
      </c>
      <c r="B12443" s="3" t="str">
        <f>"00562422"</f>
        <v>00562422</v>
      </c>
    </row>
    <row r="12444" spans="1:2" x14ac:dyDescent="0.25">
      <c r="A12444" s="2">
        <v>12439</v>
      </c>
      <c r="B12444" s="3" t="str">
        <f>"00562425"</f>
        <v>00562425</v>
      </c>
    </row>
    <row r="12445" spans="1:2" x14ac:dyDescent="0.25">
      <c r="A12445" s="2">
        <v>12440</v>
      </c>
      <c r="B12445" s="3" t="str">
        <f>"00562445"</f>
        <v>00562445</v>
      </c>
    </row>
    <row r="12446" spans="1:2" x14ac:dyDescent="0.25">
      <c r="A12446" s="2">
        <v>12441</v>
      </c>
      <c r="B12446" s="3" t="str">
        <f>"00562485"</f>
        <v>00562485</v>
      </c>
    </row>
    <row r="12447" spans="1:2" x14ac:dyDescent="0.25">
      <c r="A12447" s="2">
        <v>12442</v>
      </c>
      <c r="B12447" s="3" t="str">
        <f>"00562589"</f>
        <v>00562589</v>
      </c>
    </row>
    <row r="12448" spans="1:2" x14ac:dyDescent="0.25">
      <c r="A12448" s="2">
        <v>12443</v>
      </c>
      <c r="B12448" s="3" t="str">
        <f>"00562630"</f>
        <v>00562630</v>
      </c>
    </row>
    <row r="12449" spans="1:2" x14ac:dyDescent="0.25">
      <c r="A12449" s="2">
        <v>12444</v>
      </c>
      <c r="B12449" s="3" t="str">
        <f>"00562651"</f>
        <v>00562651</v>
      </c>
    </row>
    <row r="12450" spans="1:2" x14ac:dyDescent="0.25">
      <c r="A12450" s="2">
        <v>12445</v>
      </c>
      <c r="B12450" s="3" t="str">
        <f>"00562676"</f>
        <v>00562676</v>
      </c>
    </row>
    <row r="12451" spans="1:2" x14ac:dyDescent="0.25">
      <c r="A12451" s="2">
        <v>12446</v>
      </c>
      <c r="B12451" s="3" t="str">
        <f>"00562680"</f>
        <v>00562680</v>
      </c>
    </row>
    <row r="12452" spans="1:2" x14ac:dyDescent="0.25">
      <c r="A12452" s="2">
        <v>12447</v>
      </c>
      <c r="B12452" s="3" t="str">
        <f>"00562733"</f>
        <v>00562733</v>
      </c>
    </row>
    <row r="12453" spans="1:2" x14ac:dyDescent="0.25">
      <c r="A12453" s="2">
        <v>12448</v>
      </c>
      <c r="B12453" s="3" t="str">
        <f>"00562741"</f>
        <v>00562741</v>
      </c>
    </row>
    <row r="12454" spans="1:2" x14ac:dyDescent="0.25">
      <c r="A12454" s="2">
        <v>12449</v>
      </c>
      <c r="B12454" s="3" t="str">
        <f>"00562815"</f>
        <v>00562815</v>
      </c>
    </row>
    <row r="12455" spans="1:2" x14ac:dyDescent="0.25">
      <c r="A12455" s="2">
        <v>12450</v>
      </c>
      <c r="B12455" s="3" t="str">
        <f>"00562822"</f>
        <v>00562822</v>
      </c>
    </row>
    <row r="12456" spans="1:2" x14ac:dyDescent="0.25">
      <c r="A12456" s="2">
        <v>12451</v>
      </c>
      <c r="B12456" s="3" t="str">
        <f>"00562840"</f>
        <v>00562840</v>
      </c>
    </row>
    <row r="12457" spans="1:2" x14ac:dyDescent="0.25">
      <c r="A12457" s="2">
        <v>12452</v>
      </c>
      <c r="B12457" s="3" t="str">
        <f>"00562851"</f>
        <v>00562851</v>
      </c>
    </row>
    <row r="12458" spans="1:2" x14ac:dyDescent="0.25">
      <c r="A12458" s="2">
        <v>12453</v>
      </c>
      <c r="B12458" s="3" t="str">
        <f>"00562879"</f>
        <v>00562879</v>
      </c>
    </row>
    <row r="12459" spans="1:2" x14ac:dyDescent="0.25">
      <c r="A12459" s="2">
        <v>12454</v>
      </c>
      <c r="B12459" s="3" t="str">
        <f>"00562894"</f>
        <v>00562894</v>
      </c>
    </row>
    <row r="12460" spans="1:2" x14ac:dyDescent="0.25">
      <c r="A12460" s="2">
        <v>12455</v>
      </c>
      <c r="B12460" s="3" t="str">
        <f>"00562921"</f>
        <v>00562921</v>
      </c>
    </row>
    <row r="12461" spans="1:2" x14ac:dyDescent="0.25">
      <c r="A12461" s="2">
        <v>12456</v>
      </c>
      <c r="B12461" s="3" t="str">
        <f>"00563133"</f>
        <v>00563133</v>
      </c>
    </row>
    <row r="12462" spans="1:2" x14ac:dyDescent="0.25">
      <c r="A12462" s="2">
        <v>12457</v>
      </c>
      <c r="B12462" s="3" t="str">
        <f>"00563159"</f>
        <v>00563159</v>
      </c>
    </row>
    <row r="12463" spans="1:2" x14ac:dyDescent="0.25">
      <c r="A12463" s="2">
        <v>12458</v>
      </c>
      <c r="B12463" s="3" t="str">
        <f>"00563334"</f>
        <v>00563334</v>
      </c>
    </row>
    <row r="12464" spans="1:2" x14ac:dyDescent="0.25">
      <c r="A12464" s="2">
        <v>12459</v>
      </c>
      <c r="B12464" s="3" t="str">
        <f>"00563548"</f>
        <v>00563548</v>
      </c>
    </row>
    <row r="12465" spans="1:2" x14ac:dyDescent="0.25">
      <c r="A12465" s="2">
        <v>12460</v>
      </c>
      <c r="B12465" s="3" t="str">
        <f>"00563581"</f>
        <v>00563581</v>
      </c>
    </row>
    <row r="12466" spans="1:2" x14ac:dyDescent="0.25">
      <c r="A12466" s="2">
        <v>12461</v>
      </c>
      <c r="B12466" s="3" t="str">
        <f>"00563660"</f>
        <v>00563660</v>
      </c>
    </row>
    <row r="12467" spans="1:2" x14ac:dyDescent="0.25">
      <c r="A12467" s="2">
        <v>12462</v>
      </c>
      <c r="B12467" s="3" t="str">
        <f>"00563941"</f>
        <v>00563941</v>
      </c>
    </row>
    <row r="12468" spans="1:2" x14ac:dyDescent="0.25">
      <c r="A12468" s="2">
        <v>12463</v>
      </c>
      <c r="B12468" s="3" t="str">
        <f>"00563967"</f>
        <v>00563967</v>
      </c>
    </row>
    <row r="12469" spans="1:2" x14ac:dyDescent="0.25">
      <c r="A12469" s="2">
        <v>12464</v>
      </c>
      <c r="B12469" s="3" t="str">
        <f>"00564077"</f>
        <v>00564077</v>
      </c>
    </row>
    <row r="12470" spans="1:2" x14ac:dyDescent="0.25">
      <c r="A12470" s="2">
        <v>12465</v>
      </c>
      <c r="B12470" s="3" t="str">
        <f>"00564627"</f>
        <v>00564627</v>
      </c>
    </row>
    <row r="12471" spans="1:2" x14ac:dyDescent="0.25">
      <c r="A12471" s="2">
        <v>12466</v>
      </c>
      <c r="B12471" s="3" t="str">
        <f>"00564892"</f>
        <v>00564892</v>
      </c>
    </row>
    <row r="12472" spans="1:2" x14ac:dyDescent="0.25">
      <c r="A12472" s="2">
        <v>12467</v>
      </c>
      <c r="B12472" s="3" t="str">
        <f>"00565030"</f>
        <v>00565030</v>
      </c>
    </row>
    <row r="12473" spans="1:2" x14ac:dyDescent="0.25">
      <c r="A12473" s="2">
        <v>12468</v>
      </c>
      <c r="B12473" s="3" t="str">
        <f>"00565156"</f>
        <v>00565156</v>
      </c>
    </row>
    <row r="12474" spans="1:2" x14ac:dyDescent="0.25">
      <c r="A12474" s="2">
        <v>12469</v>
      </c>
      <c r="B12474" s="3" t="str">
        <f>"00565189"</f>
        <v>00565189</v>
      </c>
    </row>
    <row r="12475" spans="1:2" x14ac:dyDescent="0.25">
      <c r="A12475" s="2">
        <v>12470</v>
      </c>
      <c r="B12475" s="3" t="str">
        <f>"00565285"</f>
        <v>00565285</v>
      </c>
    </row>
    <row r="12476" spans="1:2" x14ac:dyDescent="0.25">
      <c r="A12476" s="2">
        <v>12471</v>
      </c>
      <c r="B12476" s="3" t="str">
        <f>"00565332"</f>
        <v>00565332</v>
      </c>
    </row>
    <row r="12477" spans="1:2" x14ac:dyDescent="0.25">
      <c r="A12477" s="2">
        <v>12472</v>
      </c>
      <c r="B12477" s="3" t="str">
        <f>"00565342"</f>
        <v>00565342</v>
      </c>
    </row>
    <row r="12478" spans="1:2" x14ac:dyDescent="0.25">
      <c r="A12478" s="2">
        <v>12473</v>
      </c>
      <c r="B12478" s="3" t="str">
        <f>"00565411"</f>
        <v>00565411</v>
      </c>
    </row>
    <row r="12479" spans="1:2" x14ac:dyDescent="0.25">
      <c r="A12479" s="2">
        <v>12474</v>
      </c>
      <c r="B12479" s="3" t="str">
        <f>"00565586"</f>
        <v>00565586</v>
      </c>
    </row>
    <row r="12480" spans="1:2" x14ac:dyDescent="0.25">
      <c r="A12480" s="2">
        <v>12475</v>
      </c>
      <c r="B12480" s="3" t="str">
        <f>"00566109"</f>
        <v>00566109</v>
      </c>
    </row>
    <row r="12481" spans="1:2" x14ac:dyDescent="0.25">
      <c r="A12481" s="2">
        <v>12476</v>
      </c>
      <c r="B12481" s="3" t="str">
        <f>"00566130"</f>
        <v>00566130</v>
      </c>
    </row>
    <row r="12482" spans="1:2" x14ac:dyDescent="0.25">
      <c r="A12482" s="2">
        <v>12477</v>
      </c>
      <c r="B12482" s="3" t="str">
        <f>"00566142"</f>
        <v>00566142</v>
      </c>
    </row>
    <row r="12483" spans="1:2" x14ac:dyDescent="0.25">
      <c r="A12483" s="2">
        <v>12478</v>
      </c>
      <c r="B12483" s="3" t="str">
        <f>"00566206"</f>
        <v>00566206</v>
      </c>
    </row>
    <row r="12484" spans="1:2" x14ac:dyDescent="0.25">
      <c r="A12484" s="2">
        <v>12479</v>
      </c>
      <c r="B12484" s="3" t="str">
        <f>"00566364"</f>
        <v>00566364</v>
      </c>
    </row>
    <row r="12485" spans="1:2" x14ac:dyDescent="0.25">
      <c r="A12485" s="2">
        <v>12480</v>
      </c>
      <c r="B12485" s="3" t="str">
        <f>"00566394"</f>
        <v>00566394</v>
      </c>
    </row>
    <row r="12486" spans="1:2" x14ac:dyDescent="0.25">
      <c r="A12486" s="2">
        <v>12481</v>
      </c>
      <c r="B12486" s="3" t="str">
        <f>"00566415"</f>
        <v>00566415</v>
      </c>
    </row>
    <row r="12487" spans="1:2" x14ac:dyDescent="0.25">
      <c r="A12487" s="2">
        <v>12482</v>
      </c>
      <c r="B12487" s="3" t="str">
        <f>"00566425"</f>
        <v>00566425</v>
      </c>
    </row>
    <row r="12488" spans="1:2" x14ac:dyDescent="0.25">
      <c r="A12488" s="2">
        <v>12483</v>
      </c>
      <c r="B12488" s="3" t="str">
        <f>"00566441"</f>
        <v>00566441</v>
      </c>
    </row>
    <row r="12489" spans="1:2" x14ac:dyDescent="0.25">
      <c r="A12489" s="2">
        <v>12484</v>
      </c>
      <c r="B12489" s="3" t="str">
        <f>"00566461"</f>
        <v>00566461</v>
      </c>
    </row>
    <row r="12490" spans="1:2" x14ac:dyDescent="0.25">
      <c r="A12490" s="2">
        <v>12485</v>
      </c>
      <c r="B12490" s="3" t="str">
        <f>"00566511"</f>
        <v>00566511</v>
      </c>
    </row>
    <row r="12491" spans="1:2" x14ac:dyDescent="0.25">
      <c r="A12491" s="2">
        <v>12486</v>
      </c>
      <c r="B12491" s="3" t="str">
        <f>"00566714"</f>
        <v>00566714</v>
      </c>
    </row>
    <row r="12492" spans="1:2" x14ac:dyDescent="0.25">
      <c r="A12492" s="2">
        <v>12487</v>
      </c>
      <c r="B12492" s="3" t="str">
        <f>"00566736"</f>
        <v>00566736</v>
      </c>
    </row>
    <row r="12493" spans="1:2" x14ac:dyDescent="0.25">
      <c r="A12493" s="2">
        <v>12488</v>
      </c>
      <c r="B12493" s="3" t="str">
        <f>"00566855"</f>
        <v>00566855</v>
      </c>
    </row>
    <row r="12494" spans="1:2" x14ac:dyDescent="0.25">
      <c r="A12494" s="2">
        <v>12489</v>
      </c>
      <c r="B12494" s="3" t="str">
        <f>"00566930"</f>
        <v>00566930</v>
      </c>
    </row>
    <row r="12495" spans="1:2" x14ac:dyDescent="0.25">
      <c r="A12495" s="2">
        <v>12490</v>
      </c>
      <c r="B12495" s="3" t="str">
        <f>"00567024"</f>
        <v>00567024</v>
      </c>
    </row>
    <row r="12496" spans="1:2" x14ac:dyDescent="0.25">
      <c r="A12496" s="2">
        <v>12491</v>
      </c>
      <c r="B12496" s="3" t="str">
        <f>"00567128"</f>
        <v>00567128</v>
      </c>
    </row>
    <row r="12497" spans="1:2" x14ac:dyDescent="0.25">
      <c r="A12497" s="2">
        <v>12492</v>
      </c>
      <c r="B12497" s="3" t="str">
        <f>"00567195"</f>
        <v>00567195</v>
      </c>
    </row>
    <row r="12498" spans="1:2" x14ac:dyDescent="0.25">
      <c r="A12498" s="2">
        <v>12493</v>
      </c>
      <c r="B12498" s="3" t="str">
        <f>"00567338"</f>
        <v>00567338</v>
      </c>
    </row>
    <row r="12499" spans="1:2" x14ac:dyDescent="0.25">
      <c r="A12499" s="2">
        <v>12494</v>
      </c>
      <c r="B12499" s="3" t="str">
        <f>"00567345"</f>
        <v>00567345</v>
      </c>
    </row>
    <row r="12500" spans="1:2" x14ac:dyDescent="0.25">
      <c r="A12500" s="2">
        <v>12495</v>
      </c>
      <c r="B12500" s="3" t="str">
        <f>"00567401"</f>
        <v>00567401</v>
      </c>
    </row>
    <row r="12501" spans="1:2" x14ac:dyDescent="0.25">
      <c r="A12501" s="2">
        <v>12496</v>
      </c>
      <c r="B12501" s="3" t="str">
        <f>"00567547"</f>
        <v>00567547</v>
      </c>
    </row>
    <row r="12502" spans="1:2" x14ac:dyDescent="0.25">
      <c r="A12502" s="2">
        <v>12497</v>
      </c>
      <c r="B12502" s="3" t="str">
        <f>"00567866"</f>
        <v>00567866</v>
      </c>
    </row>
    <row r="12503" spans="1:2" x14ac:dyDescent="0.25">
      <c r="A12503" s="2">
        <v>12498</v>
      </c>
      <c r="B12503" s="3" t="str">
        <f>"00568118"</f>
        <v>00568118</v>
      </c>
    </row>
    <row r="12504" spans="1:2" x14ac:dyDescent="0.25">
      <c r="A12504" s="2">
        <v>12499</v>
      </c>
      <c r="B12504" s="3" t="str">
        <f>"00568637"</f>
        <v>00568637</v>
      </c>
    </row>
    <row r="12505" spans="1:2" x14ac:dyDescent="0.25">
      <c r="A12505" s="2">
        <v>12500</v>
      </c>
      <c r="B12505" s="3" t="str">
        <f>"00568658"</f>
        <v>00568658</v>
      </c>
    </row>
    <row r="12506" spans="1:2" x14ac:dyDescent="0.25">
      <c r="A12506" s="2">
        <v>12501</v>
      </c>
      <c r="B12506" s="3" t="str">
        <f>"00568679"</f>
        <v>00568679</v>
      </c>
    </row>
    <row r="12507" spans="1:2" x14ac:dyDescent="0.25">
      <c r="A12507" s="2">
        <v>12502</v>
      </c>
      <c r="B12507" s="3" t="str">
        <f>"00568770"</f>
        <v>00568770</v>
      </c>
    </row>
    <row r="12508" spans="1:2" x14ac:dyDescent="0.25">
      <c r="A12508" s="2">
        <v>12503</v>
      </c>
      <c r="B12508" s="3" t="str">
        <f>"00568954"</f>
        <v>00568954</v>
      </c>
    </row>
    <row r="12509" spans="1:2" x14ac:dyDescent="0.25">
      <c r="A12509" s="2">
        <v>12504</v>
      </c>
      <c r="B12509" s="3" t="str">
        <f>"00569051"</f>
        <v>00569051</v>
      </c>
    </row>
    <row r="12510" spans="1:2" x14ac:dyDescent="0.25">
      <c r="A12510" s="2">
        <v>12505</v>
      </c>
      <c r="B12510" s="3" t="str">
        <f>"00569287"</f>
        <v>00569287</v>
      </c>
    </row>
    <row r="12511" spans="1:2" x14ac:dyDescent="0.25">
      <c r="A12511" s="2">
        <v>12506</v>
      </c>
      <c r="B12511" s="3" t="str">
        <f>"00569438"</f>
        <v>00569438</v>
      </c>
    </row>
    <row r="12512" spans="1:2" x14ac:dyDescent="0.25">
      <c r="A12512" s="2">
        <v>12507</v>
      </c>
      <c r="B12512" s="3" t="str">
        <f>"00569657"</f>
        <v>00569657</v>
      </c>
    </row>
    <row r="12513" spans="1:2" x14ac:dyDescent="0.25">
      <c r="A12513" s="2">
        <v>12508</v>
      </c>
      <c r="B12513" s="3" t="str">
        <f>"00569766"</f>
        <v>00569766</v>
      </c>
    </row>
    <row r="12514" spans="1:2" x14ac:dyDescent="0.25">
      <c r="A12514" s="2">
        <v>12509</v>
      </c>
      <c r="B12514" s="3" t="str">
        <f>"00569770"</f>
        <v>00569770</v>
      </c>
    </row>
    <row r="12515" spans="1:2" x14ac:dyDescent="0.25">
      <c r="A12515" s="2">
        <v>12510</v>
      </c>
      <c r="B12515" s="3" t="str">
        <f>"00569795"</f>
        <v>00569795</v>
      </c>
    </row>
    <row r="12516" spans="1:2" x14ac:dyDescent="0.25">
      <c r="A12516" s="2">
        <v>12511</v>
      </c>
      <c r="B12516" s="3" t="str">
        <f>"00569886"</f>
        <v>00569886</v>
      </c>
    </row>
    <row r="12517" spans="1:2" x14ac:dyDescent="0.25">
      <c r="A12517" s="2">
        <v>12512</v>
      </c>
      <c r="B12517" s="3" t="str">
        <f>"00569892"</f>
        <v>00569892</v>
      </c>
    </row>
    <row r="12518" spans="1:2" x14ac:dyDescent="0.25">
      <c r="A12518" s="2">
        <v>12513</v>
      </c>
      <c r="B12518" s="3" t="str">
        <f>"00570209"</f>
        <v>00570209</v>
      </c>
    </row>
    <row r="12519" spans="1:2" x14ac:dyDescent="0.25">
      <c r="A12519" s="2">
        <v>12514</v>
      </c>
      <c r="B12519" s="3" t="str">
        <f>"00570213"</f>
        <v>00570213</v>
      </c>
    </row>
    <row r="12520" spans="1:2" x14ac:dyDescent="0.25">
      <c r="A12520" s="2">
        <v>12515</v>
      </c>
      <c r="B12520" s="3" t="str">
        <f>"00570448"</f>
        <v>00570448</v>
      </c>
    </row>
    <row r="12521" spans="1:2" x14ac:dyDescent="0.25">
      <c r="A12521" s="2">
        <v>12516</v>
      </c>
      <c r="B12521" s="3" t="str">
        <f>"00570863"</f>
        <v>00570863</v>
      </c>
    </row>
    <row r="12522" spans="1:2" x14ac:dyDescent="0.25">
      <c r="A12522" s="2">
        <v>12517</v>
      </c>
      <c r="B12522" s="3" t="str">
        <f>"00570926"</f>
        <v>00570926</v>
      </c>
    </row>
    <row r="12523" spans="1:2" x14ac:dyDescent="0.25">
      <c r="A12523" s="2">
        <v>12518</v>
      </c>
      <c r="B12523" s="3" t="str">
        <f>"00571883"</f>
        <v>00571883</v>
      </c>
    </row>
    <row r="12524" spans="1:2" x14ac:dyDescent="0.25">
      <c r="A12524" s="2">
        <v>12519</v>
      </c>
      <c r="B12524" s="3" t="str">
        <f>"00571902"</f>
        <v>00571902</v>
      </c>
    </row>
    <row r="12525" spans="1:2" x14ac:dyDescent="0.25">
      <c r="A12525" s="2">
        <v>12520</v>
      </c>
      <c r="B12525" s="3" t="str">
        <f>"00572086"</f>
        <v>00572086</v>
      </c>
    </row>
    <row r="12526" spans="1:2" x14ac:dyDescent="0.25">
      <c r="A12526" s="2">
        <v>12521</v>
      </c>
      <c r="B12526" s="3" t="str">
        <f>"00572198"</f>
        <v>00572198</v>
      </c>
    </row>
    <row r="12527" spans="1:2" x14ac:dyDescent="0.25">
      <c r="A12527" s="2">
        <v>12522</v>
      </c>
      <c r="B12527" s="3" t="str">
        <f>"00572265"</f>
        <v>00572265</v>
      </c>
    </row>
    <row r="12528" spans="1:2" x14ac:dyDescent="0.25">
      <c r="A12528" s="2">
        <v>12523</v>
      </c>
      <c r="B12528" s="3" t="str">
        <f>"00572386"</f>
        <v>00572386</v>
      </c>
    </row>
    <row r="12529" spans="1:2" x14ac:dyDescent="0.25">
      <c r="A12529" s="2">
        <v>12524</v>
      </c>
      <c r="B12529" s="3" t="str">
        <f>"00572559"</f>
        <v>00572559</v>
      </c>
    </row>
    <row r="12530" spans="1:2" x14ac:dyDescent="0.25">
      <c r="A12530" s="2">
        <v>12525</v>
      </c>
      <c r="B12530" s="3" t="str">
        <f>"00572623"</f>
        <v>00572623</v>
      </c>
    </row>
    <row r="12531" spans="1:2" x14ac:dyDescent="0.25">
      <c r="A12531" s="2">
        <v>12526</v>
      </c>
      <c r="B12531" s="3" t="str">
        <f>"00572625"</f>
        <v>00572625</v>
      </c>
    </row>
    <row r="12532" spans="1:2" x14ac:dyDescent="0.25">
      <c r="A12532" s="2">
        <v>12527</v>
      </c>
      <c r="B12532" s="3" t="str">
        <f>"00572936"</f>
        <v>00572936</v>
      </c>
    </row>
    <row r="12533" spans="1:2" x14ac:dyDescent="0.25">
      <c r="A12533" s="2">
        <v>12528</v>
      </c>
      <c r="B12533" s="3" t="str">
        <f>"00572997"</f>
        <v>00572997</v>
      </c>
    </row>
    <row r="12534" spans="1:2" x14ac:dyDescent="0.25">
      <c r="A12534" s="2">
        <v>12529</v>
      </c>
      <c r="B12534" s="3" t="str">
        <f>"00573050"</f>
        <v>00573050</v>
      </c>
    </row>
    <row r="12535" spans="1:2" x14ac:dyDescent="0.25">
      <c r="A12535" s="2">
        <v>12530</v>
      </c>
      <c r="B12535" s="3" t="str">
        <f>"00573294"</f>
        <v>00573294</v>
      </c>
    </row>
    <row r="12536" spans="1:2" x14ac:dyDescent="0.25">
      <c r="A12536" s="2">
        <v>12531</v>
      </c>
      <c r="B12536" s="3" t="str">
        <f>"00573384"</f>
        <v>00573384</v>
      </c>
    </row>
    <row r="12537" spans="1:2" x14ac:dyDescent="0.25">
      <c r="A12537" s="2">
        <v>12532</v>
      </c>
      <c r="B12537" s="3" t="str">
        <f>"00573687"</f>
        <v>00573687</v>
      </c>
    </row>
    <row r="12538" spans="1:2" x14ac:dyDescent="0.25">
      <c r="A12538" s="2">
        <v>12533</v>
      </c>
      <c r="B12538" s="3" t="str">
        <f>"00573738"</f>
        <v>00573738</v>
      </c>
    </row>
    <row r="12539" spans="1:2" x14ac:dyDescent="0.25">
      <c r="A12539" s="2">
        <v>12534</v>
      </c>
      <c r="B12539" s="3" t="str">
        <f>"00573818"</f>
        <v>00573818</v>
      </c>
    </row>
    <row r="12540" spans="1:2" x14ac:dyDescent="0.25">
      <c r="A12540" s="2">
        <v>12535</v>
      </c>
      <c r="B12540" s="3" t="str">
        <f>"00573869"</f>
        <v>00573869</v>
      </c>
    </row>
    <row r="12541" spans="1:2" x14ac:dyDescent="0.25">
      <c r="A12541" s="2">
        <v>12536</v>
      </c>
      <c r="B12541" s="3" t="str">
        <f>"00573943"</f>
        <v>00573943</v>
      </c>
    </row>
    <row r="12542" spans="1:2" x14ac:dyDescent="0.25">
      <c r="A12542" s="2">
        <v>12537</v>
      </c>
      <c r="B12542" s="3" t="str">
        <f>"00573965"</f>
        <v>00573965</v>
      </c>
    </row>
    <row r="12543" spans="1:2" x14ac:dyDescent="0.25">
      <c r="A12543" s="2">
        <v>12538</v>
      </c>
      <c r="B12543" s="3" t="str">
        <f>"00574003"</f>
        <v>00574003</v>
      </c>
    </row>
    <row r="12544" spans="1:2" x14ac:dyDescent="0.25">
      <c r="A12544" s="2">
        <v>12539</v>
      </c>
      <c r="B12544" s="3" t="str">
        <f>"00574043"</f>
        <v>00574043</v>
      </c>
    </row>
    <row r="12545" spans="1:2" x14ac:dyDescent="0.25">
      <c r="A12545" s="2">
        <v>12540</v>
      </c>
      <c r="B12545" s="3" t="str">
        <f>"00574224"</f>
        <v>00574224</v>
      </c>
    </row>
    <row r="12546" spans="1:2" x14ac:dyDescent="0.25">
      <c r="A12546" s="2">
        <v>12541</v>
      </c>
      <c r="B12546" s="3" t="str">
        <f>"00574417"</f>
        <v>00574417</v>
      </c>
    </row>
    <row r="12547" spans="1:2" x14ac:dyDescent="0.25">
      <c r="A12547" s="2">
        <v>12542</v>
      </c>
      <c r="B12547" s="3" t="str">
        <f>"00574804"</f>
        <v>00574804</v>
      </c>
    </row>
    <row r="12548" spans="1:2" x14ac:dyDescent="0.25">
      <c r="A12548" s="2">
        <v>12543</v>
      </c>
      <c r="B12548" s="3" t="str">
        <f>"00574996"</f>
        <v>00574996</v>
      </c>
    </row>
    <row r="12549" spans="1:2" x14ac:dyDescent="0.25">
      <c r="A12549" s="2">
        <v>12544</v>
      </c>
      <c r="B12549" s="3" t="str">
        <f>"00575137"</f>
        <v>00575137</v>
      </c>
    </row>
    <row r="12550" spans="1:2" x14ac:dyDescent="0.25">
      <c r="A12550" s="2">
        <v>12545</v>
      </c>
      <c r="B12550" s="3" t="str">
        <f>"00575206"</f>
        <v>00575206</v>
      </c>
    </row>
    <row r="12551" spans="1:2" x14ac:dyDescent="0.25">
      <c r="A12551" s="2">
        <v>12546</v>
      </c>
      <c r="B12551" s="3" t="str">
        <f>"00575407"</f>
        <v>00575407</v>
      </c>
    </row>
    <row r="12552" spans="1:2" x14ac:dyDescent="0.25">
      <c r="A12552" s="2">
        <v>12547</v>
      </c>
      <c r="B12552" s="3" t="str">
        <f>"00575664"</f>
        <v>00575664</v>
      </c>
    </row>
    <row r="12553" spans="1:2" x14ac:dyDescent="0.25">
      <c r="A12553" s="2">
        <v>12548</v>
      </c>
      <c r="B12553" s="3" t="str">
        <f>"00575829"</f>
        <v>00575829</v>
      </c>
    </row>
    <row r="12554" spans="1:2" x14ac:dyDescent="0.25">
      <c r="A12554" s="2">
        <v>12549</v>
      </c>
      <c r="B12554" s="3" t="str">
        <f>"00576027"</f>
        <v>00576027</v>
      </c>
    </row>
    <row r="12555" spans="1:2" x14ac:dyDescent="0.25">
      <c r="A12555" s="2">
        <v>12550</v>
      </c>
      <c r="B12555" s="3" t="str">
        <f>"00576256"</f>
        <v>00576256</v>
      </c>
    </row>
    <row r="12556" spans="1:2" x14ac:dyDescent="0.25">
      <c r="A12556" s="2">
        <v>12551</v>
      </c>
      <c r="B12556" s="3" t="str">
        <f>"00576523"</f>
        <v>00576523</v>
      </c>
    </row>
    <row r="12557" spans="1:2" x14ac:dyDescent="0.25">
      <c r="A12557" s="2">
        <v>12552</v>
      </c>
      <c r="B12557" s="3" t="str">
        <f>"00576622"</f>
        <v>00576622</v>
      </c>
    </row>
    <row r="12558" spans="1:2" x14ac:dyDescent="0.25">
      <c r="A12558" s="2">
        <v>12553</v>
      </c>
      <c r="B12558" s="3" t="str">
        <f>"00576710"</f>
        <v>00576710</v>
      </c>
    </row>
    <row r="12559" spans="1:2" x14ac:dyDescent="0.25">
      <c r="A12559" s="2">
        <v>12554</v>
      </c>
      <c r="B12559" s="3" t="str">
        <f>"00576722"</f>
        <v>00576722</v>
      </c>
    </row>
    <row r="12560" spans="1:2" x14ac:dyDescent="0.25">
      <c r="A12560" s="2">
        <v>12555</v>
      </c>
      <c r="B12560" s="3" t="str">
        <f>"00576905"</f>
        <v>00576905</v>
      </c>
    </row>
    <row r="12561" spans="1:2" x14ac:dyDescent="0.25">
      <c r="A12561" s="2">
        <v>12556</v>
      </c>
      <c r="B12561" s="3" t="str">
        <f>"00576932"</f>
        <v>00576932</v>
      </c>
    </row>
    <row r="12562" spans="1:2" x14ac:dyDescent="0.25">
      <c r="A12562" s="2">
        <v>12557</v>
      </c>
      <c r="B12562" s="3" t="str">
        <f>"00576994"</f>
        <v>00576994</v>
      </c>
    </row>
    <row r="12563" spans="1:2" x14ac:dyDescent="0.25">
      <c r="A12563" s="2">
        <v>12558</v>
      </c>
      <c r="B12563" s="3" t="str">
        <f>"00577107"</f>
        <v>00577107</v>
      </c>
    </row>
    <row r="12564" spans="1:2" x14ac:dyDescent="0.25">
      <c r="A12564" s="2">
        <v>12559</v>
      </c>
      <c r="B12564" s="3" t="str">
        <f>"00577244"</f>
        <v>00577244</v>
      </c>
    </row>
    <row r="12565" spans="1:2" x14ac:dyDescent="0.25">
      <c r="A12565" s="2">
        <v>12560</v>
      </c>
      <c r="B12565" s="3" t="str">
        <f>"00577400"</f>
        <v>00577400</v>
      </c>
    </row>
    <row r="12566" spans="1:2" x14ac:dyDescent="0.25">
      <c r="A12566" s="2">
        <v>12561</v>
      </c>
      <c r="B12566" s="3" t="str">
        <f>"00578138"</f>
        <v>00578138</v>
      </c>
    </row>
    <row r="12567" spans="1:2" x14ac:dyDescent="0.25">
      <c r="A12567" s="2">
        <v>12562</v>
      </c>
      <c r="B12567" s="3" t="str">
        <f>"00578151"</f>
        <v>00578151</v>
      </c>
    </row>
    <row r="12568" spans="1:2" x14ac:dyDescent="0.25">
      <c r="A12568" s="2">
        <v>12563</v>
      </c>
      <c r="B12568" s="3" t="str">
        <f>"00578412"</f>
        <v>00578412</v>
      </c>
    </row>
    <row r="12569" spans="1:2" x14ac:dyDescent="0.25">
      <c r="A12569" s="2">
        <v>12564</v>
      </c>
      <c r="B12569" s="3" t="str">
        <f>"00578720"</f>
        <v>00578720</v>
      </c>
    </row>
    <row r="12570" spans="1:2" x14ac:dyDescent="0.25">
      <c r="A12570" s="2">
        <v>12565</v>
      </c>
      <c r="B12570" s="3" t="str">
        <f>"00578823"</f>
        <v>00578823</v>
      </c>
    </row>
    <row r="12571" spans="1:2" x14ac:dyDescent="0.25">
      <c r="A12571" s="2">
        <v>12566</v>
      </c>
      <c r="B12571" s="3" t="str">
        <f>"00578828"</f>
        <v>00578828</v>
      </c>
    </row>
    <row r="12572" spans="1:2" x14ac:dyDescent="0.25">
      <c r="A12572" s="2">
        <v>12567</v>
      </c>
      <c r="B12572" s="3" t="str">
        <f>"00579163"</f>
        <v>00579163</v>
      </c>
    </row>
    <row r="12573" spans="1:2" x14ac:dyDescent="0.25">
      <c r="A12573" s="2">
        <v>12568</v>
      </c>
      <c r="B12573" s="3" t="str">
        <f>"00579195"</f>
        <v>00579195</v>
      </c>
    </row>
    <row r="12574" spans="1:2" x14ac:dyDescent="0.25">
      <c r="A12574" s="2">
        <v>12569</v>
      </c>
      <c r="B12574" s="3" t="str">
        <f>"00579203"</f>
        <v>00579203</v>
      </c>
    </row>
    <row r="12575" spans="1:2" x14ac:dyDescent="0.25">
      <c r="A12575" s="2">
        <v>12570</v>
      </c>
      <c r="B12575" s="3" t="str">
        <f>"00579580"</f>
        <v>00579580</v>
      </c>
    </row>
    <row r="12576" spans="1:2" x14ac:dyDescent="0.25">
      <c r="A12576" s="2">
        <v>12571</v>
      </c>
      <c r="B12576" s="3" t="str">
        <f>"00579596"</f>
        <v>00579596</v>
      </c>
    </row>
    <row r="12577" spans="1:2" x14ac:dyDescent="0.25">
      <c r="A12577" s="2">
        <v>12572</v>
      </c>
      <c r="B12577" s="3" t="str">
        <f>"00579683"</f>
        <v>00579683</v>
      </c>
    </row>
    <row r="12578" spans="1:2" x14ac:dyDescent="0.25">
      <c r="A12578" s="2">
        <v>12573</v>
      </c>
      <c r="B12578" s="3" t="str">
        <f>"00579864"</f>
        <v>00579864</v>
      </c>
    </row>
    <row r="12579" spans="1:2" x14ac:dyDescent="0.25">
      <c r="A12579" s="2">
        <v>12574</v>
      </c>
      <c r="B12579" s="3" t="str">
        <f>"00580264"</f>
        <v>00580264</v>
      </c>
    </row>
    <row r="12580" spans="1:2" x14ac:dyDescent="0.25">
      <c r="A12580" s="2">
        <v>12575</v>
      </c>
      <c r="B12580" s="3" t="str">
        <f>"00580315"</f>
        <v>00580315</v>
      </c>
    </row>
    <row r="12581" spans="1:2" x14ac:dyDescent="0.25">
      <c r="A12581" s="2">
        <v>12576</v>
      </c>
      <c r="B12581" s="3" t="str">
        <f>"00580403"</f>
        <v>00580403</v>
      </c>
    </row>
    <row r="12582" spans="1:2" x14ac:dyDescent="0.25">
      <c r="A12582" s="2">
        <v>12577</v>
      </c>
      <c r="B12582" s="3" t="str">
        <f>"00580597"</f>
        <v>00580597</v>
      </c>
    </row>
    <row r="12583" spans="1:2" x14ac:dyDescent="0.25">
      <c r="A12583" s="2">
        <v>12578</v>
      </c>
      <c r="B12583" s="3" t="str">
        <f>"00580755"</f>
        <v>00580755</v>
      </c>
    </row>
    <row r="12584" spans="1:2" x14ac:dyDescent="0.25">
      <c r="A12584" s="2">
        <v>12579</v>
      </c>
      <c r="B12584" s="3" t="str">
        <f>"00580765"</f>
        <v>00580765</v>
      </c>
    </row>
    <row r="12585" spans="1:2" x14ac:dyDescent="0.25">
      <c r="A12585" s="2">
        <v>12580</v>
      </c>
      <c r="B12585" s="3" t="str">
        <f>"00580792"</f>
        <v>00580792</v>
      </c>
    </row>
    <row r="12586" spans="1:2" x14ac:dyDescent="0.25">
      <c r="A12586" s="2">
        <v>12581</v>
      </c>
      <c r="B12586" s="3" t="str">
        <f>"00580796"</f>
        <v>00580796</v>
      </c>
    </row>
    <row r="12587" spans="1:2" x14ac:dyDescent="0.25">
      <c r="A12587" s="2">
        <v>12582</v>
      </c>
      <c r="B12587" s="3" t="str">
        <f>"00580946"</f>
        <v>00580946</v>
      </c>
    </row>
    <row r="12588" spans="1:2" x14ac:dyDescent="0.25">
      <c r="A12588" s="2">
        <v>12583</v>
      </c>
      <c r="B12588" s="3" t="str">
        <f>"00581027"</f>
        <v>00581027</v>
      </c>
    </row>
    <row r="12589" spans="1:2" x14ac:dyDescent="0.25">
      <c r="A12589" s="2">
        <v>12584</v>
      </c>
      <c r="B12589" s="3" t="str">
        <f>"00581195"</f>
        <v>00581195</v>
      </c>
    </row>
    <row r="12590" spans="1:2" x14ac:dyDescent="0.25">
      <c r="A12590" s="2">
        <v>12585</v>
      </c>
      <c r="B12590" s="3" t="str">
        <f>"00581215"</f>
        <v>00581215</v>
      </c>
    </row>
    <row r="12591" spans="1:2" x14ac:dyDescent="0.25">
      <c r="A12591" s="2">
        <v>12586</v>
      </c>
      <c r="B12591" s="3" t="str">
        <f>"00581266"</f>
        <v>00581266</v>
      </c>
    </row>
    <row r="12592" spans="1:2" x14ac:dyDescent="0.25">
      <c r="A12592" s="2">
        <v>12587</v>
      </c>
      <c r="B12592" s="3" t="str">
        <f>"00581316"</f>
        <v>00581316</v>
      </c>
    </row>
    <row r="12593" spans="1:2" x14ac:dyDescent="0.25">
      <c r="A12593" s="2">
        <v>12588</v>
      </c>
      <c r="B12593" s="3" t="str">
        <f>"00581856"</f>
        <v>00581856</v>
      </c>
    </row>
    <row r="12594" spans="1:2" x14ac:dyDescent="0.25">
      <c r="A12594" s="2">
        <v>12589</v>
      </c>
      <c r="B12594" s="3" t="str">
        <f>"00581892"</f>
        <v>00581892</v>
      </c>
    </row>
    <row r="12595" spans="1:2" x14ac:dyDescent="0.25">
      <c r="A12595" s="2">
        <v>12590</v>
      </c>
      <c r="B12595" s="3" t="str">
        <f>"00581970"</f>
        <v>00581970</v>
      </c>
    </row>
    <row r="12596" spans="1:2" x14ac:dyDescent="0.25">
      <c r="A12596" s="2">
        <v>12591</v>
      </c>
      <c r="B12596" s="3" t="str">
        <f>"00581997"</f>
        <v>00581997</v>
      </c>
    </row>
    <row r="12597" spans="1:2" x14ac:dyDescent="0.25">
      <c r="A12597" s="2">
        <v>12592</v>
      </c>
      <c r="B12597" s="3" t="str">
        <f>"00582094"</f>
        <v>00582094</v>
      </c>
    </row>
    <row r="12598" spans="1:2" x14ac:dyDescent="0.25">
      <c r="A12598" s="2">
        <v>12593</v>
      </c>
      <c r="B12598" s="3" t="str">
        <f>"00582106"</f>
        <v>00582106</v>
      </c>
    </row>
    <row r="12599" spans="1:2" x14ac:dyDescent="0.25">
      <c r="A12599" s="2">
        <v>12594</v>
      </c>
      <c r="B12599" s="3" t="str">
        <f>"00582170"</f>
        <v>00582170</v>
      </c>
    </row>
    <row r="12600" spans="1:2" x14ac:dyDescent="0.25">
      <c r="A12600" s="2">
        <v>12595</v>
      </c>
      <c r="B12600" s="3" t="str">
        <f>"00582291"</f>
        <v>00582291</v>
      </c>
    </row>
    <row r="12601" spans="1:2" x14ac:dyDescent="0.25">
      <c r="A12601" s="2">
        <v>12596</v>
      </c>
      <c r="B12601" s="3" t="str">
        <f>"00582658"</f>
        <v>00582658</v>
      </c>
    </row>
    <row r="12602" spans="1:2" x14ac:dyDescent="0.25">
      <c r="A12602" s="2">
        <v>12597</v>
      </c>
      <c r="B12602" s="3" t="str">
        <f>"00582718"</f>
        <v>00582718</v>
      </c>
    </row>
    <row r="12603" spans="1:2" x14ac:dyDescent="0.25">
      <c r="A12603" s="2">
        <v>12598</v>
      </c>
      <c r="B12603" s="3" t="str">
        <f>"00582950"</f>
        <v>00582950</v>
      </c>
    </row>
    <row r="12604" spans="1:2" x14ac:dyDescent="0.25">
      <c r="A12604" s="2">
        <v>12599</v>
      </c>
      <c r="B12604" s="3" t="str">
        <f>"00582976"</f>
        <v>00582976</v>
      </c>
    </row>
    <row r="12605" spans="1:2" x14ac:dyDescent="0.25">
      <c r="A12605" s="2">
        <v>12600</v>
      </c>
      <c r="B12605" s="3" t="str">
        <f>"00582979"</f>
        <v>00582979</v>
      </c>
    </row>
    <row r="12606" spans="1:2" x14ac:dyDescent="0.25">
      <c r="A12606" s="2">
        <v>12601</v>
      </c>
      <c r="B12606" s="3" t="str">
        <f>"00583330"</f>
        <v>00583330</v>
      </c>
    </row>
    <row r="12607" spans="1:2" x14ac:dyDescent="0.25">
      <c r="A12607" s="2">
        <v>12602</v>
      </c>
      <c r="B12607" s="3" t="str">
        <f>"00583584"</f>
        <v>00583584</v>
      </c>
    </row>
    <row r="12608" spans="1:2" x14ac:dyDescent="0.25">
      <c r="A12608" s="2">
        <v>12603</v>
      </c>
      <c r="B12608" s="3" t="str">
        <f>"00583679"</f>
        <v>00583679</v>
      </c>
    </row>
    <row r="12609" spans="1:2" x14ac:dyDescent="0.25">
      <c r="A12609" s="2">
        <v>12604</v>
      </c>
      <c r="B12609" s="3" t="str">
        <f>"00583988"</f>
        <v>00583988</v>
      </c>
    </row>
    <row r="12610" spans="1:2" x14ac:dyDescent="0.25">
      <c r="A12610" s="2">
        <v>12605</v>
      </c>
      <c r="B12610" s="3" t="str">
        <f>"00584173"</f>
        <v>00584173</v>
      </c>
    </row>
    <row r="12611" spans="1:2" x14ac:dyDescent="0.25">
      <c r="A12611" s="2">
        <v>12606</v>
      </c>
      <c r="B12611" s="3" t="str">
        <f>"00584253"</f>
        <v>00584253</v>
      </c>
    </row>
    <row r="12612" spans="1:2" x14ac:dyDescent="0.25">
      <c r="A12612" s="2">
        <v>12607</v>
      </c>
      <c r="B12612" s="3" t="str">
        <f>"00584314"</f>
        <v>00584314</v>
      </c>
    </row>
    <row r="12613" spans="1:2" x14ac:dyDescent="0.25">
      <c r="A12613" s="2">
        <v>12608</v>
      </c>
      <c r="B12613" s="3" t="str">
        <f>"00584434"</f>
        <v>00584434</v>
      </c>
    </row>
    <row r="12614" spans="1:2" x14ac:dyDescent="0.25">
      <c r="A12614" s="2">
        <v>12609</v>
      </c>
      <c r="B12614" s="3" t="str">
        <f>"00584668"</f>
        <v>00584668</v>
      </c>
    </row>
    <row r="12615" spans="1:2" x14ac:dyDescent="0.25">
      <c r="A12615" s="2">
        <v>12610</v>
      </c>
      <c r="B12615" s="3" t="str">
        <f>"00584771"</f>
        <v>00584771</v>
      </c>
    </row>
    <row r="12616" spans="1:2" x14ac:dyDescent="0.25">
      <c r="A12616" s="2">
        <v>12611</v>
      </c>
      <c r="B12616" s="3" t="str">
        <f>"00584946"</f>
        <v>00584946</v>
      </c>
    </row>
    <row r="12617" spans="1:2" x14ac:dyDescent="0.25">
      <c r="A12617" s="2">
        <v>12612</v>
      </c>
      <c r="B12617" s="3" t="str">
        <f>"00585343"</f>
        <v>00585343</v>
      </c>
    </row>
    <row r="12618" spans="1:2" x14ac:dyDescent="0.25">
      <c r="A12618" s="2">
        <v>12613</v>
      </c>
      <c r="B12618" s="3" t="str">
        <f>"00585396"</f>
        <v>00585396</v>
      </c>
    </row>
    <row r="12619" spans="1:2" x14ac:dyDescent="0.25">
      <c r="A12619" s="2">
        <v>12614</v>
      </c>
      <c r="B12619" s="3" t="str">
        <f>"00585833"</f>
        <v>00585833</v>
      </c>
    </row>
    <row r="12620" spans="1:2" x14ac:dyDescent="0.25">
      <c r="A12620" s="2">
        <v>12615</v>
      </c>
      <c r="B12620" s="3" t="str">
        <f>"00585905"</f>
        <v>00585905</v>
      </c>
    </row>
    <row r="12621" spans="1:2" x14ac:dyDescent="0.25">
      <c r="A12621" s="2">
        <v>12616</v>
      </c>
      <c r="B12621" s="3" t="str">
        <f>"00586271"</f>
        <v>00586271</v>
      </c>
    </row>
    <row r="12622" spans="1:2" x14ac:dyDescent="0.25">
      <c r="A12622" s="2">
        <v>12617</v>
      </c>
      <c r="B12622" s="3" t="str">
        <f>"00586380"</f>
        <v>00586380</v>
      </c>
    </row>
    <row r="12623" spans="1:2" x14ac:dyDescent="0.25">
      <c r="A12623" s="2">
        <v>12618</v>
      </c>
      <c r="B12623" s="3" t="str">
        <f>"00586406"</f>
        <v>00586406</v>
      </c>
    </row>
    <row r="12624" spans="1:2" x14ac:dyDescent="0.25">
      <c r="A12624" s="2">
        <v>12619</v>
      </c>
      <c r="B12624" s="3" t="str">
        <f>"00586919"</f>
        <v>00586919</v>
      </c>
    </row>
    <row r="12625" spans="1:2" x14ac:dyDescent="0.25">
      <c r="A12625" s="2">
        <v>12620</v>
      </c>
      <c r="B12625" s="3" t="str">
        <f>"00587139"</f>
        <v>00587139</v>
      </c>
    </row>
    <row r="12626" spans="1:2" x14ac:dyDescent="0.25">
      <c r="A12626" s="2">
        <v>12621</v>
      </c>
      <c r="B12626" s="3" t="str">
        <f>"00587157"</f>
        <v>00587157</v>
      </c>
    </row>
    <row r="12627" spans="1:2" x14ac:dyDescent="0.25">
      <c r="A12627" s="2">
        <v>12622</v>
      </c>
      <c r="B12627" s="3" t="str">
        <f>"00587194"</f>
        <v>00587194</v>
      </c>
    </row>
    <row r="12628" spans="1:2" x14ac:dyDescent="0.25">
      <c r="A12628" s="2">
        <v>12623</v>
      </c>
      <c r="B12628" s="3" t="str">
        <f>"00587243"</f>
        <v>00587243</v>
      </c>
    </row>
    <row r="12629" spans="1:2" x14ac:dyDescent="0.25">
      <c r="A12629" s="2">
        <v>12624</v>
      </c>
      <c r="B12629" s="3" t="str">
        <f>"00587927"</f>
        <v>00587927</v>
      </c>
    </row>
    <row r="12630" spans="1:2" x14ac:dyDescent="0.25">
      <c r="A12630" s="2">
        <v>12625</v>
      </c>
      <c r="B12630" s="3" t="str">
        <f>"00588061"</f>
        <v>00588061</v>
      </c>
    </row>
    <row r="12631" spans="1:2" x14ac:dyDescent="0.25">
      <c r="A12631" s="2">
        <v>12626</v>
      </c>
      <c r="B12631" s="3" t="str">
        <f>"00588064"</f>
        <v>00588064</v>
      </c>
    </row>
    <row r="12632" spans="1:2" x14ac:dyDescent="0.25">
      <c r="A12632" s="2">
        <v>12627</v>
      </c>
      <c r="B12632" s="3" t="str">
        <f>"00588188"</f>
        <v>00588188</v>
      </c>
    </row>
    <row r="12633" spans="1:2" x14ac:dyDescent="0.25">
      <c r="A12633" s="2">
        <v>12628</v>
      </c>
      <c r="B12633" s="3" t="str">
        <f>"00588249"</f>
        <v>00588249</v>
      </c>
    </row>
    <row r="12634" spans="1:2" x14ac:dyDescent="0.25">
      <c r="A12634" s="2">
        <v>12629</v>
      </c>
      <c r="B12634" s="3" t="str">
        <f>"00588333"</f>
        <v>00588333</v>
      </c>
    </row>
    <row r="12635" spans="1:2" x14ac:dyDescent="0.25">
      <c r="A12635" s="2">
        <v>12630</v>
      </c>
      <c r="B12635" s="3" t="str">
        <f>"00588431"</f>
        <v>00588431</v>
      </c>
    </row>
    <row r="12636" spans="1:2" x14ac:dyDescent="0.25">
      <c r="A12636" s="2">
        <v>12631</v>
      </c>
      <c r="B12636" s="3" t="str">
        <f>"00588597"</f>
        <v>00588597</v>
      </c>
    </row>
    <row r="12637" spans="1:2" x14ac:dyDescent="0.25">
      <c r="A12637" s="2">
        <v>12632</v>
      </c>
      <c r="B12637" s="3" t="str">
        <f>"00588743"</f>
        <v>00588743</v>
      </c>
    </row>
    <row r="12638" spans="1:2" x14ac:dyDescent="0.25">
      <c r="A12638" s="2">
        <v>12633</v>
      </c>
      <c r="B12638" s="3" t="str">
        <f>"00588754"</f>
        <v>00588754</v>
      </c>
    </row>
    <row r="12639" spans="1:2" x14ac:dyDescent="0.25">
      <c r="A12639" s="2">
        <v>12634</v>
      </c>
      <c r="B12639" s="3" t="str">
        <f>"00588761"</f>
        <v>00588761</v>
      </c>
    </row>
    <row r="12640" spans="1:2" x14ac:dyDescent="0.25">
      <c r="A12640" s="2">
        <v>12635</v>
      </c>
      <c r="B12640" s="3" t="str">
        <f>"00588951"</f>
        <v>00588951</v>
      </c>
    </row>
    <row r="12641" spans="1:2" x14ac:dyDescent="0.25">
      <c r="A12641" s="2">
        <v>12636</v>
      </c>
      <c r="B12641" s="3" t="str">
        <f>"00589115"</f>
        <v>00589115</v>
      </c>
    </row>
    <row r="12642" spans="1:2" x14ac:dyDescent="0.25">
      <c r="A12642" s="2">
        <v>12637</v>
      </c>
      <c r="B12642" s="3" t="str">
        <f>"00589206"</f>
        <v>00589206</v>
      </c>
    </row>
    <row r="12643" spans="1:2" x14ac:dyDescent="0.25">
      <c r="A12643" s="2">
        <v>12638</v>
      </c>
      <c r="B12643" s="3" t="str">
        <f>"00589430"</f>
        <v>00589430</v>
      </c>
    </row>
    <row r="12644" spans="1:2" x14ac:dyDescent="0.25">
      <c r="A12644" s="2">
        <v>12639</v>
      </c>
      <c r="B12644" s="3" t="str">
        <f>"00589819"</f>
        <v>00589819</v>
      </c>
    </row>
    <row r="12645" spans="1:2" x14ac:dyDescent="0.25">
      <c r="A12645" s="2">
        <v>12640</v>
      </c>
      <c r="B12645" s="3" t="str">
        <f>"00590301"</f>
        <v>00590301</v>
      </c>
    </row>
    <row r="12646" spans="1:2" x14ac:dyDescent="0.25">
      <c r="A12646" s="2">
        <v>12641</v>
      </c>
      <c r="B12646" s="3" t="str">
        <f>"00590304"</f>
        <v>00590304</v>
      </c>
    </row>
    <row r="12647" spans="1:2" x14ac:dyDescent="0.25">
      <c r="A12647" s="2">
        <v>12642</v>
      </c>
      <c r="B12647" s="3" t="str">
        <f>"00590608"</f>
        <v>00590608</v>
      </c>
    </row>
    <row r="12648" spans="1:2" x14ac:dyDescent="0.25">
      <c r="A12648" s="2">
        <v>12643</v>
      </c>
      <c r="B12648" s="3" t="str">
        <f>"00590748"</f>
        <v>00590748</v>
      </c>
    </row>
    <row r="12649" spans="1:2" x14ac:dyDescent="0.25">
      <c r="A12649" s="2">
        <v>12644</v>
      </c>
      <c r="B12649" s="3" t="str">
        <f>"00590849"</f>
        <v>00590849</v>
      </c>
    </row>
    <row r="12650" spans="1:2" x14ac:dyDescent="0.25">
      <c r="A12650" s="2">
        <v>12645</v>
      </c>
      <c r="B12650" s="3" t="str">
        <f>"00590862"</f>
        <v>00590862</v>
      </c>
    </row>
    <row r="12651" spans="1:2" x14ac:dyDescent="0.25">
      <c r="A12651" s="2">
        <v>12646</v>
      </c>
      <c r="B12651" s="3" t="str">
        <f>"00591187"</f>
        <v>00591187</v>
      </c>
    </row>
    <row r="12652" spans="1:2" x14ac:dyDescent="0.25">
      <c r="A12652" s="2">
        <v>12647</v>
      </c>
      <c r="B12652" s="3" t="str">
        <f>"00591345"</f>
        <v>00591345</v>
      </c>
    </row>
    <row r="12653" spans="1:2" x14ac:dyDescent="0.25">
      <c r="A12653" s="2">
        <v>12648</v>
      </c>
      <c r="B12653" s="3" t="str">
        <f>"00591492"</f>
        <v>00591492</v>
      </c>
    </row>
    <row r="12654" spans="1:2" x14ac:dyDescent="0.25">
      <c r="A12654" s="2">
        <v>12649</v>
      </c>
      <c r="B12654" s="3" t="str">
        <f>"00592422"</f>
        <v>00592422</v>
      </c>
    </row>
    <row r="12655" spans="1:2" x14ac:dyDescent="0.25">
      <c r="A12655" s="2">
        <v>12650</v>
      </c>
      <c r="B12655" s="3" t="str">
        <f>"00592519"</f>
        <v>00592519</v>
      </c>
    </row>
    <row r="12656" spans="1:2" x14ac:dyDescent="0.25">
      <c r="A12656" s="2">
        <v>12651</v>
      </c>
      <c r="B12656" s="3" t="str">
        <f>"00592539"</f>
        <v>00592539</v>
      </c>
    </row>
    <row r="12657" spans="1:2" x14ac:dyDescent="0.25">
      <c r="A12657" s="2">
        <v>12652</v>
      </c>
      <c r="B12657" s="3" t="str">
        <f>"00592702"</f>
        <v>00592702</v>
      </c>
    </row>
    <row r="12658" spans="1:2" x14ac:dyDescent="0.25">
      <c r="A12658" s="2">
        <v>12653</v>
      </c>
      <c r="B12658" s="3" t="str">
        <f>"00592855"</f>
        <v>00592855</v>
      </c>
    </row>
    <row r="12659" spans="1:2" x14ac:dyDescent="0.25">
      <c r="A12659" s="2">
        <v>12654</v>
      </c>
      <c r="B12659" s="3" t="str">
        <f>"00593030"</f>
        <v>00593030</v>
      </c>
    </row>
    <row r="12660" spans="1:2" x14ac:dyDescent="0.25">
      <c r="A12660" s="2">
        <v>12655</v>
      </c>
      <c r="B12660" s="3" t="str">
        <f>"00593137"</f>
        <v>00593137</v>
      </c>
    </row>
    <row r="12661" spans="1:2" x14ac:dyDescent="0.25">
      <c r="A12661" s="2">
        <v>12656</v>
      </c>
      <c r="B12661" s="3" t="str">
        <f>"00593472"</f>
        <v>00593472</v>
      </c>
    </row>
    <row r="12662" spans="1:2" x14ac:dyDescent="0.25">
      <c r="A12662" s="2">
        <v>12657</v>
      </c>
      <c r="B12662" s="3" t="str">
        <f>"00593882"</f>
        <v>00593882</v>
      </c>
    </row>
    <row r="12663" spans="1:2" x14ac:dyDescent="0.25">
      <c r="A12663" s="2">
        <v>12658</v>
      </c>
      <c r="B12663" s="3" t="str">
        <f>"00593915"</f>
        <v>00593915</v>
      </c>
    </row>
    <row r="12664" spans="1:2" x14ac:dyDescent="0.25">
      <c r="A12664" s="2">
        <v>12659</v>
      </c>
      <c r="B12664" s="3" t="str">
        <f>"00594063"</f>
        <v>00594063</v>
      </c>
    </row>
    <row r="12665" spans="1:2" x14ac:dyDescent="0.25">
      <c r="A12665" s="2">
        <v>12660</v>
      </c>
      <c r="B12665" s="3" t="str">
        <f>"00594229"</f>
        <v>00594229</v>
      </c>
    </row>
    <row r="12666" spans="1:2" x14ac:dyDescent="0.25">
      <c r="A12666" s="2">
        <v>12661</v>
      </c>
      <c r="B12666" s="3" t="str">
        <f>"00594449"</f>
        <v>00594449</v>
      </c>
    </row>
    <row r="12667" spans="1:2" x14ac:dyDescent="0.25">
      <c r="A12667" s="2">
        <v>12662</v>
      </c>
      <c r="B12667" s="3" t="str">
        <f>"00594526"</f>
        <v>00594526</v>
      </c>
    </row>
    <row r="12668" spans="1:2" x14ac:dyDescent="0.25">
      <c r="A12668" s="2">
        <v>12663</v>
      </c>
      <c r="B12668" s="3" t="str">
        <f>"00594677"</f>
        <v>00594677</v>
      </c>
    </row>
    <row r="12669" spans="1:2" x14ac:dyDescent="0.25">
      <c r="A12669" s="2">
        <v>12664</v>
      </c>
      <c r="B12669" s="3" t="str">
        <f>"00594697"</f>
        <v>00594697</v>
      </c>
    </row>
    <row r="12670" spans="1:2" x14ac:dyDescent="0.25">
      <c r="A12670" s="2">
        <v>12665</v>
      </c>
      <c r="B12670" s="3" t="str">
        <f>"00595124"</f>
        <v>00595124</v>
      </c>
    </row>
    <row r="12671" spans="1:2" x14ac:dyDescent="0.25">
      <c r="A12671" s="2">
        <v>12666</v>
      </c>
      <c r="B12671" s="3" t="str">
        <f>"00595160"</f>
        <v>00595160</v>
      </c>
    </row>
    <row r="12672" spans="1:2" x14ac:dyDescent="0.25">
      <c r="A12672" s="2">
        <v>12667</v>
      </c>
      <c r="B12672" s="3" t="str">
        <f>"00595279"</f>
        <v>00595279</v>
      </c>
    </row>
    <row r="12673" spans="1:2" x14ac:dyDescent="0.25">
      <c r="A12673" s="2">
        <v>12668</v>
      </c>
      <c r="B12673" s="3" t="str">
        <f>"00595394"</f>
        <v>00595394</v>
      </c>
    </row>
    <row r="12674" spans="1:2" x14ac:dyDescent="0.25">
      <c r="A12674" s="2">
        <v>12669</v>
      </c>
      <c r="B12674" s="3" t="str">
        <f>"00595411"</f>
        <v>00595411</v>
      </c>
    </row>
    <row r="12675" spans="1:2" x14ac:dyDescent="0.25">
      <c r="A12675" s="2">
        <v>12670</v>
      </c>
      <c r="B12675" s="3" t="str">
        <f>"00595754"</f>
        <v>00595754</v>
      </c>
    </row>
    <row r="12676" spans="1:2" x14ac:dyDescent="0.25">
      <c r="A12676" s="2">
        <v>12671</v>
      </c>
      <c r="B12676" s="3" t="str">
        <f>"00595969"</f>
        <v>00595969</v>
      </c>
    </row>
    <row r="12677" spans="1:2" x14ac:dyDescent="0.25">
      <c r="A12677" s="2">
        <v>12672</v>
      </c>
      <c r="B12677" s="3" t="str">
        <f>"00596002"</f>
        <v>00596002</v>
      </c>
    </row>
    <row r="12678" spans="1:2" x14ac:dyDescent="0.25">
      <c r="A12678" s="2">
        <v>12673</v>
      </c>
      <c r="B12678" s="3" t="str">
        <f>"00596200"</f>
        <v>00596200</v>
      </c>
    </row>
    <row r="12679" spans="1:2" x14ac:dyDescent="0.25">
      <c r="A12679" s="2">
        <v>12674</v>
      </c>
      <c r="B12679" s="3" t="str">
        <f>"00596614"</f>
        <v>00596614</v>
      </c>
    </row>
    <row r="12680" spans="1:2" x14ac:dyDescent="0.25">
      <c r="A12680" s="2">
        <v>12675</v>
      </c>
      <c r="B12680" s="3" t="str">
        <f>"00596685"</f>
        <v>00596685</v>
      </c>
    </row>
    <row r="12681" spans="1:2" x14ac:dyDescent="0.25">
      <c r="A12681" s="2">
        <v>12676</v>
      </c>
      <c r="B12681" s="3" t="str">
        <f>"00597248"</f>
        <v>00597248</v>
      </c>
    </row>
    <row r="12682" spans="1:2" x14ac:dyDescent="0.25">
      <c r="A12682" s="2">
        <v>12677</v>
      </c>
      <c r="B12682" s="3" t="str">
        <f>"00597572"</f>
        <v>00597572</v>
      </c>
    </row>
    <row r="12683" spans="1:2" x14ac:dyDescent="0.25">
      <c r="A12683" s="2">
        <v>12678</v>
      </c>
      <c r="B12683" s="3" t="str">
        <f>"00597853"</f>
        <v>00597853</v>
      </c>
    </row>
    <row r="12684" spans="1:2" x14ac:dyDescent="0.25">
      <c r="A12684" s="2">
        <v>12679</v>
      </c>
      <c r="B12684" s="3" t="str">
        <f>"00597929"</f>
        <v>00597929</v>
      </c>
    </row>
    <row r="12685" spans="1:2" x14ac:dyDescent="0.25">
      <c r="A12685" s="2">
        <v>12680</v>
      </c>
      <c r="B12685" s="3" t="str">
        <f>"00598076"</f>
        <v>00598076</v>
      </c>
    </row>
    <row r="12686" spans="1:2" x14ac:dyDescent="0.25">
      <c r="A12686" s="2">
        <v>12681</v>
      </c>
      <c r="B12686" s="3" t="str">
        <f>"00598474"</f>
        <v>00598474</v>
      </c>
    </row>
    <row r="12687" spans="1:2" x14ac:dyDescent="0.25">
      <c r="A12687" s="2">
        <v>12682</v>
      </c>
      <c r="B12687" s="3" t="str">
        <f>"00598553"</f>
        <v>00598553</v>
      </c>
    </row>
    <row r="12688" spans="1:2" x14ac:dyDescent="0.25">
      <c r="A12688" s="2">
        <v>12683</v>
      </c>
      <c r="B12688" s="3" t="str">
        <f>"00598730"</f>
        <v>00598730</v>
      </c>
    </row>
    <row r="12689" spans="1:2" x14ac:dyDescent="0.25">
      <c r="A12689" s="2">
        <v>12684</v>
      </c>
      <c r="B12689" s="3" t="str">
        <f>"00598823"</f>
        <v>00598823</v>
      </c>
    </row>
    <row r="12690" spans="1:2" x14ac:dyDescent="0.25">
      <c r="A12690" s="2">
        <v>12685</v>
      </c>
      <c r="B12690" s="3" t="str">
        <f>"00598979"</f>
        <v>00598979</v>
      </c>
    </row>
    <row r="12691" spans="1:2" x14ac:dyDescent="0.25">
      <c r="A12691" s="2">
        <v>12686</v>
      </c>
      <c r="B12691" s="3" t="str">
        <f>"00599123"</f>
        <v>00599123</v>
      </c>
    </row>
    <row r="12692" spans="1:2" x14ac:dyDescent="0.25">
      <c r="A12692" s="2">
        <v>12687</v>
      </c>
      <c r="B12692" s="3" t="str">
        <f>"00599424"</f>
        <v>00599424</v>
      </c>
    </row>
    <row r="12693" spans="1:2" x14ac:dyDescent="0.25">
      <c r="A12693" s="2">
        <v>12688</v>
      </c>
      <c r="B12693" s="3" t="str">
        <f>"00599515"</f>
        <v>00599515</v>
      </c>
    </row>
    <row r="12694" spans="1:2" x14ac:dyDescent="0.25">
      <c r="A12694" s="2">
        <v>12689</v>
      </c>
      <c r="B12694" s="3" t="str">
        <f>"00599536"</f>
        <v>00599536</v>
      </c>
    </row>
    <row r="12695" spans="1:2" x14ac:dyDescent="0.25">
      <c r="A12695" s="2">
        <v>12690</v>
      </c>
      <c r="B12695" s="3" t="str">
        <f>"00599540"</f>
        <v>00599540</v>
      </c>
    </row>
    <row r="12696" spans="1:2" x14ac:dyDescent="0.25">
      <c r="A12696" s="2">
        <v>12691</v>
      </c>
      <c r="B12696" s="3" t="str">
        <f>"00599604"</f>
        <v>00599604</v>
      </c>
    </row>
    <row r="12697" spans="1:2" x14ac:dyDescent="0.25">
      <c r="A12697" s="2">
        <v>12692</v>
      </c>
      <c r="B12697" s="3" t="str">
        <f>"00599683"</f>
        <v>00599683</v>
      </c>
    </row>
    <row r="12698" spans="1:2" x14ac:dyDescent="0.25">
      <c r="A12698" s="2">
        <v>12693</v>
      </c>
      <c r="B12698" s="3" t="str">
        <f>"00599736"</f>
        <v>00599736</v>
      </c>
    </row>
    <row r="12699" spans="1:2" x14ac:dyDescent="0.25">
      <c r="A12699" s="2">
        <v>12694</v>
      </c>
      <c r="B12699" s="3" t="str">
        <f>"00599772"</f>
        <v>00599772</v>
      </c>
    </row>
    <row r="12700" spans="1:2" x14ac:dyDescent="0.25">
      <c r="A12700" s="2">
        <v>12695</v>
      </c>
      <c r="B12700" s="3" t="str">
        <f>"00599813"</f>
        <v>00599813</v>
      </c>
    </row>
    <row r="12701" spans="1:2" x14ac:dyDescent="0.25">
      <c r="A12701" s="2">
        <v>12696</v>
      </c>
      <c r="B12701" s="3" t="str">
        <f>"00599818"</f>
        <v>00599818</v>
      </c>
    </row>
    <row r="12702" spans="1:2" x14ac:dyDescent="0.25">
      <c r="A12702" s="2">
        <v>12697</v>
      </c>
      <c r="B12702" s="3" t="str">
        <f>"00599858"</f>
        <v>00599858</v>
      </c>
    </row>
    <row r="12703" spans="1:2" x14ac:dyDescent="0.25">
      <c r="A12703" s="2">
        <v>12698</v>
      </c>
      <c r="B12703" s="3" t="str">
        <f>"00600168"</f>
        <v>00600168</v>
      </c>
    </row>
    <row r="12704" spans="1:2" x14ac:dyDescent="0.25">
      <c r="A12704" s="2">
        <v>12699</v>
      </c>
      <c r="B12704" s="3" t="str">
        <f>"00600220"</f>
        <v>00600220</v>
      </c>
    </row>
    <row r="12705" spans="1:2" x14ac:dyDescent="0.25">
      <c r="A12705" s="2">
        <v>12700</v>
      </c>
      <c r="B12705" s="3" t="str">
        <f>"00600309"</f>
        <v>00600309</v>
      </c>
    </row>
    <row r="12706" spans="1:2" x14ac:dyDescent="0.25">
      <c r="A12706" s="2">
        <v>12701</v>
      </c>
      <c r="B12706" s="3" t="str">
        <f>"00600332"</f>
        <v>00600332</v>
      </c>
    </row>
    <row r="12707" spans="1:2" x14ac:dyDescent="0.25">
      <c r="A12707" s="2">
        <v>12702</v>
      </c>
      <c r="B12707" s="3" t="str">
        <f>"00600478"</f>
        <v>00600478</v>
      </c>
    </row>
    <row r="12708" spans="1:2" x14ac:dyDescent="0.25">
      <c r="A12708" s="2">
        <v>12703</v>
      </c>
      <c r="B12708" s="3" t="str">
        <f>"00600613"</f>
        <v>00600613</v>
      </c>
    </row>
    <row r="12709" spans="1:2" x14ac:dyDescent="0.25">
      <c r="A12709" s="2">
        <v>12704</v>
      </c>
      <c r="B12709" s="3" t="str">
        <f>"00600759"</f>
        <v>00600759</v>
      </c>
    </row>
    <row r="12710" spans="1:2" x14ac:dyDescent="0.25">
      <c r="A12710" s="2">
        <v>12705</v>
      </c>
      <c r="B12710" s="3" t="str">
        <f>"00600928"</f>
        <v>00600928</v>
      </c>
    </row>
    <row r="12711" spans="1:2" x14ac:dyDescent="0.25">
      <c r="A12711" s="2">
        <v>12706</v>
      </c>
      <c r="B12711" s="3" t="str">
        <f>"00601305"</f>
        <v>00601305</v>
      </c>
    </row>
    <row r="12712" spans="1:2" x14ac:dyDescent="0.25">
      <c r="A12712" s="2">
        <v>12707</v>
      </c>
      <c r="B12712" s="3" t="str">
        <f>"00601306"</f>
        <v>00601306</v>
      </c>
    </row>
    <row r="12713" spans="1:2" x14ac:dyDescent="0.25">
      <c r="A12713" s="2">
        <v>12708</v>
      </c>
      <c r="B12713" s="3" t="str">
        <f>"00601472"</f>
        <v>00601472</v>
      </c>
    </row>
    <row r="12714" spans="1:2" x14ac:dyDescent="0.25">
      <c r="A12714" s="2">
        <v>12709</v>
      </c>
      <c r="B12714" s="3" t="str">
        <f>"00601550"</f>
        <v>00601550</v>
      </c>
    </row>
    <row r="12715" spans="1:2" x14ac:dyDescent="0.25">
      <c r="A12715" s="2">
        <v>12710</v>
      </c>
      <c r="B12715" s="3" t="str">
        <f>"00601564"</f>
        <v>00601564</v>
      </c>
    </row>
    <row r="12716" spans="1:2" x14ac:dyDescent="0.25">
      <c r="A12716" s="2">
        <v>12711</v>
      </c>
      <c r="B12716" s="3" t="str">
        <f>"00601581"</f>
        <v>00601581</v>
      </c>
    </row>
    <row r="12717" spans="1:2" x14ac:dyDescent="0.25">
      <c r="A12717" s="2">
        <v>12712</v>
      </c>
      <c r="B12717" s="3" t="str">
        <f>"00601747"</f>
        <v>00601747</v>
      </c>
    </row>
    <row r="12718" spans="1:2" x14ac:dyDescent="0.25">
      <c r="A12718" s="2">
        <v>12713</v>
      </c>
      <c r="B12718" s="3" t="str">
        <f>"00601918"</f>
        <v>00601918</v>
      </c>
    </row>
    <row r="12719" spans="1:2" x14ac:dyDescent="0.25">
      <c r="A12719" s="2">
        <v>12714</v>
      </c>
      <c r="B12719" s="3" t="str">
        <f>"00601990"</f>
        <v>00601990</v>
      </c>
    </row>
    <row r="12720" spans="1:2" x14ac:dyDescent="0.25">
      <c r="A12720" s="2">
        <v>12715</v>
      </c>
      <c r="B12720" s="3" t="str">
        <f>"00602274"</f>
        <v>00602274</v>
      </c>
    </row>
    <row r="12721" spans="1:2" x14ac:dyDescent="0.25">
      <c r="A12721" s="2">
        <v>12716</v>
      </c>
      <c r="B12721" s="3" t="str">
        <f>"00602281"</f>
        <v>00602281</v>
      </c>
    </row>
    <row r="12722" spans="1:2" x14ac:dyDescent="0.25">
      <c r="A12722" s="2">
        <v>12717</v>
      </c>
      <c r="B12722" s="3" t="str">
        <f>"00602459"</f>
        <v>00602459</v>
      </c>
    </row>
    <row r="12723" spans="1:2" x14ac:dyDescent="0.25">
      <c r="A12723" s="2">
        <v>12718</v>
      </c>
      <c r="B12723" s="3" t="str">
        <f>"00602491"</f>
        <v>00602491</v>
      </c>
    </row>
    <row r="12724" spans="1:2" x14ac:dyDescent="0.25">
      <c r="A12724" s="2">
        <v>12719</v>
      </c>
      <c r="B12724" s="3" t="str">
        <f>"00602596"</f>
        <v>00602596</v>
      </c>
    </row>
    <row r="12725" spans="1:2" x14ac:dyDescent="0.25">
      <c r="A12725" s="2">
        <v>12720</v>
      </c>
      <c r="B12725" s="3" t="str">
        <f>"00602776"</f>
        <v>00602776</v>
      </c>
    </row>
    <row r="12726" spans="1:2" x14ac:dyDescent="0.25">
      <c r="A12726" s="2">
        <v>12721</v>
      </c>
      <c r="B12726" s="3" t="str">
        <f>"00602930"</f>
        <v>00602930</v>
      </c>
    </row>
    <row r="12727" spans="1:2" x14ac:dyDescent="0.25">
      <c r="A12727" s="2">
        <v>12722</v>
      </c>
      <c r="B12727" s="3" t="str">
        <f>"00603059"</f>
        <v>00603059</v>
      </c>
    </row>
    <row r="12728" spans="1:2" x14ac:dyDescent="0.25">
      <c r="A12728" s="2">
        <v>12723</v>
      </c>
      <c r="B12728" s="3" t="str">
        <f>"00603136"</f>
        <v>00603136</v>
      </c>
    </row>
    <row r="12729" spans="1:2" x14ac:dyDescent="0.25">
      <c r="A12729" s="2">
        <v>12724</v>
      </c>
      <c r="B12729" s="3" t="str">
        <f>"00603245"</f>
        <v>00603245</v>
      </c>
    </row>
    <row r="12730" spans="1:2" x14ac:dyDescent="0.25">
      <c r="A12730" s="2">
        <v>12725</v>
      </c>
      <c r="B12730" s="3" t="str">
        <f>"00603596"</f>
        <v>00603596</v>
      </c>
    </row>
    <row r="12731" spans="1:2" x14ac:dyDescent="0.25">
      <c r="A12731" s="2">
        <v>12726</v>
      </c>
      <c r="B12731" s="3" t="str">
        <f>"00603770"</f>
        <v>00603770</v>
      </c>
    </row>
    <row r="12732" spans="1:2" x14ac:dyDescent="0.25">
      <c r="A12732" s="2">
        <v>12727</v>
      </c>
      <c r="B12732" s="3" t="str">
        <f>"00603803"</f>
        <v>00603803</v>
      </c>
    </row>
    <row r="12733" spans="1:2" x14ac:dyDescent="0.25">
      <c r="A12733" s="2">
        <v>12728</v>
      </c>
      <c r="B12733" s="3" t="str">
        <f>"00603911"</f>
        <v>00603911</v>
      </c>
    </row>
    <row r="12734" spans="1:2" x14ac:dyDescent="0.25">
      <c r="A12734" s="2">
        <v>12729</v>
      </c>
      <c r="B12734" s="3" t="str">
        <f>"00603917"</f>
        <v>00603917</v>
      </c>
    </row>
    <row r="12735" spans="1:2" x14ac:dyDescent="0.25">
      <c r="A12735" s="2">
        <v>12730</v>
      </c>
      <c r="B12735" s="3" t="str">
        <f>"00603974"</f>
        <v>00603974</v>
      </c>
    </row>
    <row r="12736" spans="1:2" x14ac:dyDescent="0.25">
      <c r="A12736" s="2">
        <v>12731</v>
      </c>
      <c r="B12736" s="3" t="str">
        <f>"00604157"</f>
        <v>00604157</v>
      </c>
    </row>
    <row r="12737" spans="1:2" x14ac:dyDescent="0.25">
      <c r="A12737" s="2">
        <v>12732</v>
      </c>
      <c r="B12737" s="3" t="str">
        <f>"00604238"</f>
        <v>00604238</v>
      </c>
    </row>
    <row r="12738" spans="1:2" x14ac:dyDescent="0.25">
      <c r="A12738" s="2">
        <v>12733</v>
      </c>
      <c r="B12738" s="3" t="str">
        <f>"00604274"</f>
        <v>00604274</v>
      </c>
    </row>
    <row r="12739" spans="1:2" x14ac:dyDescent="0.25">
      <c r="A12739" s="2">
        <v>12734</v>
      </c>
      <c r="B12739" s="3" t="str">
        <f>"00604278"</f>
        <v>00604278</v>
      </c>
    </row>
    <row r="12740" spans="1:2" x14ac:dyDescent="0.25">
      <c r="A12740" s="2">
        <v>12735</v>
      </c>
      <c r="B12740" s="3" t="str">
        <f>"00604369"</f>
        <v>00604369</v>
      </c>
    </row>
    <row r="12741" spans="1:2" x14ac:dyDescent="0.25">
      <c r="A12741" s="2">
        <v>12736</v>
      </c>
      <c r="B12741" s="3" t="str">
        <f>"00604387"</f>
        <v>00604387</v>
      </c>
    </row>
    <row r="12742" spans="1:2" x14ac:dyDescent="0.25">
      <c r="A12742" s="2">
        <v>12737</v>
      </c>
      <c r="B12742" s="3" t="str">
        <f>"00604913"</f>
        <v>00604913</v>
      </c>
    </row>
    <row r="12743" spans="1:2" x14ac:dyDescent="0.25">
      <c r="A12743" s="2">
        <v>12738</v>
      </c>
      <c r="B12743" s="3" t="str">
        <f>"00604942"</f>
        <v>00604942</v>
      </c>
    </row>
    <row r="12744" spans="1:2" x14ac:dyDescent="0.25">
      <c r="A12744" s="2">
        <v>12739</v>
      </c>
      <c r="B12744" s="3" t="str">
        <f>"00605056"</f>
        <v>00605056</v>
      </c>
    </row>
    <row r="12745" spans="1:2" x14ac:dyDescent="0.25">
      <c r="A12745" s="2">
        <v>12740</v>
      </c>
      <c r="B12745" s="3" t="str">
        <f>"00605290"</f>
        <v>00605290</v>
      </c>
    </row>
    <row r="12746" spans="1:2" x14ac:dyDescent="0.25">
      <c r="A12746" s="2">
        <v>12741</v>
      </c>
      <c r="B12746" s="3" t="str">
        <f>"00605298"</f>
        <v>00605298</v>
      </c>
    </row>
    <row r="12747" spans="1:2" x14ac:dyDescent="0.25">
      <c r="A12747" s="2">
        <v>12742</v>
      </c>
      <c r="B12747" s="3" t="str">
        <f>"00605368"</f>
        <v>00605368</v>
      </c>
    </row>
    <row r="12748" spans="1:2" x14ac:dyDescent="0.25">
      <c r="A12748" s="2">
        <v>12743</v>
      </c>
      <c r="B12748" s="3" t="str">
        <f>"00605628"</f>
        <v>00605628</v>
      </c>
    </row>
    <row r="12749" spans="1:2" x14ac:dyDescent="0.25">
      <c r="A12749" s="2">
        <v>12744</v>
      </c>
      <c r="B12749" s="3" t="str">
        <f>"00605716"</f>
        <v>00605716</v>
      </c>
    </row>
    <row r="12750" spans="1:2" x14ac:dyDescent="0.25">
      <c r="A12750" s="2">
        <v>12745</v>
      </c>
      <c r="B12750" s="3" t="str">
        <f>"00605757"</f>
        <v>00605757</v>
      </c>
    </row>
    <row r="12751" spans="1:2" x14ac:dyDescent="0.25">
      <c r="A12751" s="2">
        <v>12746</v>
      </c>
      <c r="B12751" s="3" t="str">
        <f>"00605795"</f>
        <v>00605795</v>
      </c>
    </row>
    <row r="12752" spans="1:2" x14ac:dyDescent="0.25">
      <c r="A12752" s="2">
        <v>12747</v>
      </c>
      <c r="B12752" s="3" t="str">
        <f>"00605999"</f>
        <v>00605999</v>
      </c>
    </row>
    <row r="12753" spans="1:2" x14ac:dyDescent="0.25">
      <c r="A12753" s="2">
        <v>12748</v>
      </c>
      <c r="B12753" s="3" t="str">
        <f>"00606059"</f>
        <v>00606059</v>
      </c>
    </row>
    <row r="12754" spans="1:2" x14ac:dyDescent="0.25">
      <c r="A12754" s="2">
        <v>12749</v>
      </c>
      <c r="B12754" s="3" t="str">
        <f>"00606189"</f>
        <v>00606189</v>
      </c>
    </row>
    <row r="12755" spans="1:2" x14ac:dyDescent="0.25">
      <c r="A12755" s="2">
        <v>12750</v>
      </c>
      <c r="B12755" s="3" t="str">
        <f>"00606373"</f>
        <v>00606373</v>
      </c>
    </row>
    <row r="12756" spans="1:2" x14ac:dyDescent="0.25">
      <c r="A12756" s="2">
        <v>12751</v>
      </c>
      <c r="B12756" s="3" t="str">
        <f>"00606440"</f>
        <v>00606440</v>
      </c>
    </row>
    <row r="12757" spans="1:2" x14ac:dyDescent="0.25">
      <c r="A12757" s="2">
        <v>12752</v>
      </c>
      <c r="B12757" s="3" t="str">
        <f>"00606666"</f>
        <v>00606666</v>
      </c>
    </row>
    <row r="12758" spans="1:2" x14ac:dyDescent="0.25">
      <c r="A12758" s="2">
        <v>12753</v>
      </c>
      <c r="B12758" s="3" t="str">
        <f>"00606702"</f>
        <v>00606702</v>
      </c>
    </row>
    <row r="12759" spans="1:2" x14ac:dyDescent="0.25">
      <c r="A12759" s="2">
        <v>12754</v>
      </c>
      <c r="B12759" s="3" t="str">
        <f>"00606871"</f>
        <v>00606871</v>
      </c>
    </row>
    <row r="12760" spans="1:2" x14ac:dyDescent="0.25">
      <c r="A12760" s="2">
        <v>12755</v>
      </c>
      <c r="B12760" s="3" t="str">
        <f>"00607029"</f>
        <v>00607029</v>
      </c>
    </row>
    <row r="12761" spans="1:2" x14ac:dyDescent="0.25">
      <c r="A12761" s="2">
        <v>12756</v>
      </c>
      <c r="B12761" s="3" t="str">
        <f>"00607448"</f>
        <v>00607448</v>
      </c>
    </row>
    <row r="12762" spans="1:2" x14ac:dyDescent="0.25">
      <c r="A12762" s="2">
        <v>12757</v>
      </c>
      <c r="B12762" s="3" t="str">
        <f>"00607625"</f>
        <v>00607625</v>
      </c>
    </row>
    <row r="12763" spans="1:2" x14ac:dyDescent="0.25">
      <c r="A12763" s="2">
        <v>12758</v>
      </c>
      <c r="B12763" s="3" t="str">
        <f>"00607829"</f>
        <v>00607829</v>
      </c>
    </row>
    <row r="12764" spans="1:2" x14ac:dyDescent="0.25">
      <c r="A12764" s="2">
        <v>12759</v>
      </c>
      <c r="B12764" s="3" t="str">
        <f>"00607890"</f>
        <v>00607890</v>
      </c>
    </row>
    <row r="12765" spans="1:2" x14ac:dyDescent="0.25">
      <c r="A12765" s="2">
        <v>12760</v>
      </c>
      <c r="B12765" s="3" t="str">
        <f>"00607914"</f>
        <v>00607914</v>
      </c>
    </row>
    <row r="12766" spans="1:2" x14ac:dyDescent="0.25">
      <c r="A12766" s="2">
        <v>12761</v>
      </c>
      <c r="B12766" s="3" t="str">
        <f>"00608218"</f>
        <v>00608218</v>
      </c>
    </row>
    <row r="12767" spans="1:2" x14ac:dyDescent="0.25">
      <c r="A12767" s="2">
        <v>12762</v>
      </c>
      <c r="B12767" s="3" t="str">
        <f>"00608353"</f>
        <v>00608353</v>
      </c>
    </row>
    <row r="12768" spans="1:2" x14ac:dyDescent="0.25">
      <c r="A12768" s="2">
        <v>12763</v>
      </c>
      <c r="B12768" s="3" t="str">
        <f>"00608396"</f>
        <v>00608396</v>
      </c>
    </row>
    <row r="12769" spans="1:2" x14ac:dyDescent="0.25">
      <c r="A12769" s="2">
        <v>12764</v>
      </c>
      <c r="B12769" s="3" t="str">
        <f>"00608418"</f>
        <v>00608418</v>
      </c>
    </row>
    <row r="12770" spans="1:2" x14ac:dyDescent="0.25">
      <c r="A12770" s="2">
        <v>12765</v>
      </c>
      <c r="B12770" s="3" t="str">
        <f>"00608431"</f>
        <v>00608431</v>
      </c>
    </row>
    <row r="12771" spans="1:2" x14ac:dyDescent="0.25">
      <c r="A12771" s="2">
        <v>12766</v>
      </c>
      <c r="B12771" s="3" t="str">
        <f>"00608475"</f>
        <v>00608475</v>
      </c>
    </row>
    <row r="12772" spans="1:2" x14ac:dyDescent="0.25">
      <c r="A12772" s="2">
        <v>12767</v>
      </c>
      <c r="B12772" s="3" t="str">
        <f>"00608567"</f>
        <v>00608567</v>
      </c>
    </row>
    <row r="12773" spans="1:2" x14ac:dyDescent="0.25">
      <c r="A12773" s="2">
        <v>12768</v>
      </c>
      <c r="B12773" s="3" t="str">
        <f>"00608573"</f>
        <v>00608573</v>
      </c>
    </row>
    <row r="12774" spans="1:2" x14ac:dyDescent="0.25">
      <c r="A12774" s="2">
        <v>12769</v>
      </c>
      <c r="B12774" s="3" t="str">
        <f>"00608719"</f>
        <v>00608719</v>
      </c>
    </row>
    <row r="12775" spans="1:2" x14ac:dyDescent="0.25">
      <c r="A12775" s="2">
        <v>12770</v>
      </c>
      <c r="B12775" s="3" t="str">
        <f>"00608723"</f>
        <v>00608723</v>
      </c>
    </row>
    <row r="12776" spans="1:2" x14ac:dyDescent="0.25">
      <c r="A12776" s="2">
        <v>12771</v>
      </c>
      <c r="B12776" s="3" t="str">
        <f>"00608972"</f>
        <v>00608972</v>
      </c>
    </row>
    <row r="12777" spans="1:2" x14ac:dyDescent="0.25">
      <c r="A12777" s="2">
        <v>12772</v>
      </c>
      <c r="B12777" s="3" t="str">
        <f>"00609001"</f>
        <v>00609001</v>
      </c>
    </row>
    <row r="12778" spans="1:2" x14ac:dyDescent="0.25">
      <c r="A12778" s="2">
        <v>12773</v>
      </c>
      <c r="B12778" s="3" t="str">
        <f>"00609404"</f>
        <v>00609404</v>
      </c>
    </row>
    <row r="12779" spans="1:2" x14ac:dyDescent="0.25">
      <c r="A12779" s="2">
        <v>12774</v>
      </c>
      <c r="B12779" s="3" t="str">
        <f>"00609608"</f>
        <v>00609608</v>
      </c>
    </row>
    <row r="12780" spans="1:2" x14ac:dyDescent="0.25">
      <c r="A12780" s="2">
        <v>12775</v>
      </c>
      <c r="B12780" s="3" t="str">
        <f>"00609651"</f>
        <v>00609651</v>
      </c>
    </row>
    <row r="12781" spans="1:2" x14ac:dyDescent="0.25">
      <c r="A12781" s="2">
        <v>12776</v>
      </c>
      <c r="B12781" s="3" t="str">
        <f>"00609792"</f>
        <v>00609792</v>
      </c>
    </row>
    <row r="12782" spans="1:2" x14ac:dyDescent="0.25">
      <c r="A12782" s="2">
        <v>12777</v>
      </c>
      <c r="B12782" s="3" t="str">
        <f>"00609872"</f>
        <v>00609872</v>
      </c>
    </row>
    <row r="12783" spans="1:2" x14ac:dyDescent="0.25">
      <c r="A12783" s="2">
        <v>12778</v>
      </c>
      <c r="B12783" s="3" t="str">
        <f>"00610317"</f>
        <v>00610317</v>
      </c>
    </row>
    <row r="12784" spans="1:2" x14ac:dyDescent="0.25">
      <c r="A12784" s="2">
        <v>12779</v>
      </c>
      <c r="B12784" s="3" t="str">
        <f>"00610321"</f>
        <v>00610321</v>
      </c>
    </row>
    <row r="12785" spans="1:2" x14ac:dyDescent="0.25">
      <c r="A12785" s="2">
        <v>12780</v>
      </c>
      <c r="B12785" s="3" t="str">
        <f>"00610595"</f>
        <v>00610595</v>
      </c>
    </row>
    <row r="12786" spans="1:2" x14ac:dyDescent="0.25">
      <c r="A12786" s="2">
        <v>12781</v>
      </c>
      <c r="B12786" s="3" t="str">
        <f>"00610612"</f>
        <v>00610612</v>
      </c>
    </row>
    <row r="12787" spans="1:2" x14ac:dyDescent="0.25">
      <c r="A12787" s="2">
        <v>12782</v>
      </c>
      <c r="B12787" s="3" t="str">
        <f>"00610636"</f>
        <v>00610636</v>
      </c>
    </row>
    <row r="12788" spans="1:2" x14ac:dyDescent="0.25">
      <c r="A12788" s="2">
        <v>12783</v>
      </c>
      <c r="B12788" s="3" t="str">
        <f>"00610654"</f>
        <v>00610654</v>
      </c>
    </row>
    <row r="12789" spans="1:2" x14ac:dyDescent="0.25">
      <c r="A12789" s="2">
        <v>12784</v>
      </c>
      <c r="B12789" s="3" t="str">
        <f>"00610837"</f>
        <v>00610837</v>
      </c>
    </row>
    <row r="12790" spans="1:2" x14ac:dyDescent="0.25">
      <c r="A12790" s="2">
        <v>12785</v>
      </c>
      <c r="B12790" s="3" t="str">
        <f>"00610961"</f>
        <v>00610961</v>
      </c>
    </row>
    <row r="12791" spans="1:2" x14ac:dyDescent="0.25">
      <c r="A12791" s="2">
        <v>12786</v>
      </c>
      <c r="B12791" s="3" t="str">
        <f>"00611016"</f>
        <v>00611016</v>
      </c>
    </row>
    <row r="12792" spans="1:2" x14ac:dyDescent="0.25">
      <c r="A12792" s="2">
        <v>12787</v>
      </c>
      <c r="B12792" s="3" t="str">
        <f>"00611070"</f>
        <v>00611070</v>
      </c>
    </row>
    <row r="12793" spans="1:2" x14ac:dyDescent="0.25">
      <c r="A12793" s="2">
        <v>12788</v>
      </c>
      <c r="B12793" s="3" t="str">
        <f>"00611376"</f>
        <v>00611376</v>
      </c>
    </row>
    <row r="12794" spans="1:2" x14ac:dyDescent="0.25">
      <c r="A12794" s="2">
        <v>12789</v>
      </c>
      <c r="B12794" s="3" t="str">
        <f>"00611636"</f>
        <v>00611636</v>
      </c>
    </row>
    <row r="12795" spans="1:2" x14ac:dyDescent="0.25">
      <c r="A12795" s="2">
        <v>12790</v>
      </c>
      <c r="B12795" s="3" t="str">
        <f>"00611725"</f>
        <v>00611725</v>
      </c>
    </row>
    <row r="12796" spans="1:2" x14ac:dyDescent="0.25">
      <c r="A12796" s="2">
        <v>12791</v>
      </c>
      <c r="B12796" s="3" t="str">
        <f>"00611732"</f>
        <v>00611732</v>
      </c>
    </row>
    <row r="12797" spans="1:2" x14ac:dyDescent="0.25">
      <c r="A12797" s="2">
        <v>12792</v>
      </c>
      <c r="B12797" s="3" t="str">
        <f>"00612085"</f>
        <v>00612085</v>
      </c>
    </row>
    <row r="12798" spans="1:2" x14ac:dyDescent="0.25">
      <c r="A12798" s="2">
        <v>12793</v>
      </c>
      <c r="B12798" s="3" t="str">
        <f>"00612101"</f>
        <v>00612101</v>
      </c>
    </row>
    <row r="12799" spans="1:2" x14ac:dyDescent="0.25">
      <c r="A12799" s="2">
        <v>12794</v>
      </c>
      <c r="B12799" s="3" t="str">
        <f>"00612123"</f>
        <v>00612123</v>
      </c>
    </row>
    <row r="12800" spans="1:2" x14ac:dyDescent="0.25">
      <c r="A12800" s="2">
        <v>12795</v>
      </c>
      <c r="B12800" s="3" t="str">
        <f>"00612319"</f>
        <v>00612319</v>
      </c>
    </row>
    <row r="12801" spans="1:2" x14ac:dyDescent="0.25">
      <c r="A12801" s="2">
        <v>12796</v>
      </c>
      <c r="B12801" s="3" t="str">
        <f>"00612368"</f>
        <v>00612368</v>
      </c>
    </row>
    <row r="12802" spans="1:2" x14ac:dyDescent="0.25">
      <c r="A12802" s="2">
        <v>12797</v>
      </c>
      <c r="B12802" s="3" t="str">
        <f>"00612501"</f>
        <v>00612501</v>
      </c>
    </row>
    <row r="12803" spans="1:2" x14ac:dyDescent="0.25">
      <c r="A12803" s="2">
        <v>12798</v>
      </c>
      <c r="B12803" s="3" t="str">
        <f>"00612756"</f>
        <v>00612756</v>
      </c>
    </row>
    <row r="12804" spans="1:2" x14ac:dyDescent="0.25">
      <c r="A12804" s="2">
        <v>12799</v>
      </c>
      <c r="B12804" s="3" t="str">
        <f>"00612802"</f>
        <v>00612802</v>
      </c>
    </row>
    <row r="12805" spans="1:2" x14ac:dyDescent="0.25">
      <c r="A12805" s="2">
        <v>12800</v>
      </c>
      <c r="B12805" s="3" t="str">
        <f>"00612881"</f>
        <v>00612881</v>
      </c>
    </row>
    <row r="12806" spans="1:2" x14ac:dyDescent="0.25">
      <c r="A12806" s="2">
        <v>12801</v>
      </c>
      <c r="B12806" s="3" t="str">
        <f>"00613067"</f>
        <v>00613067</v>
      </c>
    </row>
    <row r="12807" spans="1:2" x14ac:dyDescent="0.25">
      <c r="A12807" s="2">
        <v>12802</v>
      </c>
      <c r="B12807" s="3" t="str">
        <f>"00613070"</f>
        <v>00613070</v>
      </c>
    </row>
    <row r="12808" spans="1:2" x14ac:dyDescent="0.25">
      <c r="A12808" s="2">
        <v>12803</v>
      </c>
      <c r="B12808" s="3" t="str">
        <f>"00613106"</f>
        <v>00613106</v>
      </c>
    </row>
    <row r="12809" spans="1:2" x14ac:dyDescent="0.25">
      <c r="A12809" s="2">
        <v>12804</v>
      </c>
      <c r="B12809" s="3" t="str">
        <f>"00613129"</f>
        <v>00613129</v>
      </c>
    </row>
    <row r="12810" spans="1:2" x14ac:dyDescent="0.25">
      <c r="A12810" s="2">
        <v>12805</v>
      </c>
      <c r="B12810" s="3" t="str">
        <f>"00613305"</f>
        <v>00613305</v>
      </c>
    </row>
    <row r="12811" spans="1:2" x14ac:dyDescent="0.25">
      <c r="A12811" s="2">
        <v>12806</v>
      </c>
      <c r="B12811" s="3" t="str">
        <f>"00613401"</f>
        <v>00613401</v>
      </c>
    </row>
    <row r="12812" spans="1:2" x14ac:dyDescent="0.25">
      <c r="A12812" s="2">
        <v>12807</v>
      </c>
      <c r="B12812" s="3" t="str">
        <f>"00613449"</f>
        <v>00613449</v>
      </c>
    </row>
    <row r="12813" spans="1:2" x14ac:dyDescent="0.25">
      <c r="A12813" s="2">
        <v>12808</v>
      </c>
      <c r="B12813" s="3" t="str">
        <f>"00613490"</f>
        <v>00613490</v>
      </c>
    </row>
    <row r="12814" spans="1:2" x14ac:dyDescent="0.25">
      <c r="A12814" s="2">
        <v>12809</v>
      </c>
      <c r="B12814" s="3" t="str">
        <f>"00613566"</f>
        <v>00613566</v>
      </c>
    </row>
    <row r="12815" spans="1:2" x14ac:dyDescent="0.25">
      <c r="A12815" s="2">
        <v>12810</v>
      </c>
      <c r="B12815" s="3" t="str">
        <f>"00613796"</f>
        <v>00613796</v>
      </c>
    </row>
    <row r="12816" spans="1:2" x14ac:dyDescent="0.25">
      <c r="A12816" s="2">
        <v>12811</v>
      </c>
      <c r="B12816" s="3" t="str">
        <f>"00614141"</f>
        <v>00614141</v>
      </c>
    </row>
    <row r="12817" spans="1:2" x14ac:dyDescent="0.25">
      <c r="A12817" s="2">
        <v>12812</v>
      </c>
      <c r="B12817" s="3" t="str">
        <f>"00614215"</f>
        <v>00614215</v>
      </c>
    </row>
    <row r="12818" spans="1:2" x14ac:dyDescent="0.25">
      <c r="A12818" s="2">
        <v>12813</v>
      </c>
      <c r="B12818" s="3" t="str">
        <f>"00614226"</f>
        <v>00614226</v>
      </c>
    </row>
    <row r="12819" spans="1:2" x14ac:dyDescent="0.25">
      <c r="A12819" s="2">
        <v>12814</v>
      </c>
      <c r="B12819" s="3" t="str">
        <f>"00614272"</f>
        <v>00614272</v>
      </c>
    </row>
    <row r="12820" spans="1:2" x14ac:dyDescent="0.25">
      <c r="A12820" s="2">
        <v>12815</v>
      </c>
      <c r="B12820" s="3" t="str">
        <f>"00614296"</f>
        <v>00614296</v>
      </c>
    </row>
    <row r="12821" spans="1:2" x14ac:dyDescent="0.25">
      <c r="A12821" s="2">
        <v>12816</v>
      </c>
      <c r="B12821" s="3" t="str">
        <f>"00614310"</f>
        <v>00614310</v>
      </c>
    </row>
    <row r="12822" spans="1:2" x14ac:dyDescent="0.25">
      <c r="A12822" s="2">
        <v>12817</v>
      </c>
      <c r="B12822" s="3" t="str">
        <f>"00614368"</f>
        <v>00614368</v>
      </c>
    </row>
    <row r="12823" spans="1:2" x14ac:dyDescent="0.25">
      <c r="A12823" s="2">
        <v>12818</v>
      </c>
      <c r="B12823" s="3" t="str">
        <f>"00614468"</f>
        <v>00614468</v>
      </c>
    </row>
    <row r="12824" spans="1:2" x14ac:dyDescent="0.25">
      <c r="A12824" s="2">
        <v>12819</v>
      </c>
      <c r="B12824" s="3" t="str">
        <f>"00614493"</f>
        <v>00614493</v>
      </c>
    </row>
    <row r="12825" spans="1:2" x14ac:dyDescent="0.25">
      <c r="A12825" s="2">
        <v>12820</v>
      </c>
      <c r="B12825" s="3" t="str">
        <f>"00614599"</f>
        <v>00614599</v>
      </c>
    </row>
    <row r="12826" spans="1:2" x14ac:dyDescent="0.25">
      <c r="A12826" s="2">
        <v>12821</v>
      </c>
      <c r="B12826" s="3" t="str">
        <f>"00614678"</f>
        <v>00614678</v>
      </c>
    </row>
    <row r="12827" spans="1:2" x14ac:dyDescent="0.25">
      <c r="A12827" s="2">
        <v>12822</v>
      </c>
      <c r="B12827" s="3" t="str">
        <f>"00615041"</f>
        <v>00615041</v>
      </c>
    </row>
    <row r="12828" spans="1:2" x14ac:dyDescent="0.25">
      <c r="A12828" s="2">
        <v>12823</v>
      </c>
      <c r="B12828" s="3" t="str">
        <f>"00615432"</f>
        <v>00615432</v>
      </c>
    </row>
    <row r="12829" spans="1:2" x14ac:dyDescent="0.25">
      <c r="A12829" s="2">
        <v>12824</v>
      </c>
      <c r="B12829" s="3" t="str">
        <f>"00615887"</f>
        <v>00615887</v>
      </c>
    </row>
    <row r="12830" spans="1:2" x14ac:dyDescent="0.25">
      <c r="A12830" s="2">
        <v>12825</v>
      </c>
      <c r="B12830" s="3" t="str">
        <f>"00615930"</f>
        <v>00615930</v>
      </c>
    </row>
    <row r="12831" spans="1:2" x14ac:dyDescent="0.25">
      <c r="A12831" s="2">
        <v>12826</v>
      </c>
      <c r="B12831" s="3" t="str">
        <f>"00615932"</f>
        <v>00615932</v>
      </c>
    </row>
    <row r="12832" spans="1:2" x14ac:dyDescent="0.25">
      <c r="A12832" s="2">
        <v>12827</v>
      </c>
      <c r="B12832" s="3" t="str">
        <f>"00616054"</f>
        <v>00616054</v>
      </c>
    </row>
    <row r="12833" spans="1:2" x14ac:dyDescent="0.25">
      <c r="A12833" s="2">
        <v>12828</v>
      </c>
      <c r="B12833" s="3" t="str">
        <f>"00616130"</f>
        <v>00616130</v>
      </c>
    </row>
    <row r="12834" spans="1:2" x14ac:dyDescent="0.25">
      <c r="A12834" s="2">
        <v>12829</v>
      </c>
      <c r="B12834" s="3" t="str">
        <f>"00616216"</f>
        <v>00616216</v>
      </c>
    </row>
    <row r="12835" spans="1:2" x14ac:dyDescent="0.25">
      <c r="A12835" s="2">
        <v>12830</v>
      </c>
      <c r="B12835" s="3" t="str">
        <f>"00616465"</f>
        <v>00616465</v>
      </c>
    </row>
    <row r="12836" spans="1:2" x14ac:dyDescent="0.25">
      <c r="A12836" s="2">
        <v>12831</v>
      </c>
      <c r="B12836" s="3" t="str">
        <f>"00616605"</f>
        <v>00616605</v>
      </c>
    </row>
    <row r="12837" spans="1:2" x14ac:dyDescent="0.25">
      <c r="A12837" s="2">
        <v>12832</v>
      </c>
      <c r="B12837" s="3" t="str">
        <f>"00616719"</f>
        <v>00616719</v>
      </c>
    </row>
    <row r="12838" spans="1:2" x14ac:dyDescent="0.25">
      <c r="A12838" s="2">
        <v>12833</v>
      </c>
      <c r="B12838" s="3" t="str">
        <f>"00616744"</f>
        <v>00616744</v>
      </c>
    </row>
    <row r="12839" spans="1:2" x14ac:dyDescent="0.25">
      <c r="A12839" s="2">
        <v>12834</v>
      </c>
      <c r="B12839" s="3" t="str">
        <f>"00616828"</f>
        <v>00616828</v>
      </c>
    </row>
    <row r="12840" spans="1:2" x14ac:dyDescent="0.25">
      <c r="A12840" s="2">
        <v>12835</v>
      </c>
      <c r="B12840" s="3" t="str">
        <f>"00616876"</f>
        <v>00616876</v>
      </c>
    </row>
    <row r="12841" spans="1:2" x14ac:dyDescent="0.25">
      <c r="A12841" s="2">
        <v>12836</v>
      </c>
      <c r="B12841" s="3" t="str">
        <f>"00616944"</f>
        <v>00616944</v>
      </c>
    </row>
    <row r="12842" spans="1:2" x14ac:dyDescent="0.25">
      <c r="A12842" s="2">
        <v>12837</v>
      </c>
      <c r="B12842" s="3" t="str">
        <f>"00617090"</f>
        <v>00617090</v>
      </c>
    </row>
    <row r="12843" spans="1:2" x14ac:dyDescent="0.25">
      <c r="A12843" s="2">
        <v>12838</v>
      </c>
      <c r="B12843" s="3" t="str">
        <f>"00617223"</f>
        <v>00617223</v>
      </c>
    </row>
    <row r="12844" spans="1:2" x14ac:dyDescent="0.25">
      <c r="A12844" s="2">
        <v>12839</v>
      </c>
      <c r="B12844" s="3" t="str">
        <f>"00617226"</f>
        <v>00617226</v>
      </c>
    </row>
    <row r="12845" spans="1:2" x14ac:dyDescent="0.25">
      <c r="A12845" s="2">
        <v>12840</v>
      </c>
      <c r="B12845" s="3" t="str">
        <f>"00617238"</f>
        <v>00617238</v>
      </c>
    </row>
    <row r="12846" spans="1:2" x14ac:dyDescent="0.25">
      <c r="A12846" s="2">
        <v>12841</v>
      </c>
      <c r="B12846" s="3" t="str">
        <f>"00617304"</f>
        <v>00617304</v>
      </c>
    </row>
    <row r="12847" spans="1:2" x14ac:dyDescent="0.25">
      <c r="A12847" s="2">
        <v>12842</v>
      </c>
      <c r="B12847" s="3" t="str">
        <f>"00617339"</f>
        <v>00617339</v>
      </c>
    </row>
    <row r="12848" spans="1:2" x14ac:dyDescent="0.25">
      <c r="A12848" s="2">
        <v>12843</v>
      </c>
      <c r="B12848" s="3" t="str">
        <f>"00617596"</f>
        <v>00617596</v>
      </c>
    </row>
    <row r="12849" spans="1:2" x14ac:dyDescent="0.25">
      <c r="A12849" s="2">
        <v>12844</v>
      </c>
      <c r="B12849" s="3" t="str">
        <f>"00617878"</f>
        <v>00617878</v>
      </c>
    </row>
    <row r="12850" spans="1:2" x14ac:dyDescent="0.25">
      <c r="A12850" s="2">
        <v>12845</v>
      </c>
      <c r="B12850" s="3" t="str">
        <f>"00617896"</f>
        <v>00617896</v>
      </c>
    </row>
    <row r="12851" spans="1:2" x14ac:dyDescent="0.25">
      <c r="A12851" s="2">
        <v>12846</v>
      </c>
      <c r="B12851" s="3" t="str">
        <f>"00617932"</f>
        <v>00617932</v>
      </c>
    </row>
    <row r="12852" spans="1:2" x14ac:dyDescent="0.25">
      <c r="A12852" s="2">
        <v>12847</v>
      </c>
      <c r="B12852" s="3" t="str">
        <f>"00618067"</f>
        <v>00618067</v>
      </c>
    </row>
    <row r="12853" spans="1:2" x14ac:dyDescent="0.25">
      <c r="A12853" s="2">
        <v>12848</v>
      </c>
      <c r="B12853" s="3" t="str">
        <f>"00618268"</f>
        <v>00618268</v>
      </c>
    </row>
    <row r="12854" spans="1:2" x14ac:dyDescent="0.25">
      <c r="A12854" s="2">
        <v>12849</v>
      </c>
      <c r="B12854" s="3" t="str">
        <f>"00618320"</f>
        <v>00618320</v>
      </c>
    </row>
    <row r="12855" spans="1:2" x14ac:dyDescent="0.25">
      <c r="A12855" s="2">
        <v>12850</v>
      </c>
      <c r="B12855" s="3" t="str">
        <f>"00618401"</f>
        <v>00618401</v>
      </c>
    </row>
    <row r="12856" spans="1:2" x14ac:dyDescent="0.25">
      <c r="A12856" s="2">
        <v>12851</v>
      </c>
      <c r="B12856" s="3" t="str">
        <f>"00618602"</f>
        <v>00618602</v>
      </c>
    </row>
    <row r="12857" spans="1:2" x14ac:dyDescent="0.25">
      <c r="A12857" s="2">
        <v>12852</v>
      </c>
      <c r="B12857" s="3" t="str">
        <f>"00618696"</f>
        <v>00618696</v>
      </c>
    </row>
    <row r="12858" spans="1:2" x14ac:dyDescent="0.25">
      <c r="A12858" s="2">
        <v>12853</v>
      </c>
      <c r="B12858" s="3" t="str">
        <f>"00618832"</f>
        <v>00618832</v>
      </c>
    </row>
    <row r="12859" spans="1:2" x14ac:dyDescent="0.25">
      <c r="A12859" s="2">
        <v>12854</v>
      </c>
      <c r="B12859" s="3" t="str">
        <f>"00618855"</f>
        <v>00618855</v>
      </c>
    </row>
    <row r="12860" spans="1:2" x14ac:dyDescent="0.25">
      <c r="A12860" s="2">
        <v>12855</v>
      </c>
      <c r="B12860" s="3" t="str">
        <f>"00618997"</f>
        <v>00618997</v>
      </c>
    </row>
    <row r="12861" spans="1:2" x14ac:dyDescent="0.25">
      <c r="A12861" s="2">
        <v>12856</v>
      </c>
      <c r="B12861" s="3" t="str">
        <f>"00619061"</f>
        <v>00619061</v>
      </c>
    </row>
    <row r="12862" spans="1:2" x14ac:dyDescent="0.25">
      <c r="A12862" s="2">
        <v>12857</v>
      </c>
      <c r="B12862" s="3" t="str">
        <f>"00619151"</f>
        <v>00619151</v>
      </c>
    </row>
    <row r="12863" spans="1:2" x14ac:dyDescent="0.25">
      <c r="A12863" s="2">
        <v>12858</v>
      </c>
      <c r="B12863" s="3" t="str">
        <f>"00619205"</f>
        <v>00619205</v>
      </c>
    </row>
    <row r="12864" spans="1:2" x14ac:dyDescent="0.25">
      <c r="A12864" s="2">
        <v>12859</v>
      </c>
      <c r="B12864" s="3" t="str">
        <f>"00619277"</f>
        <v>00619277</v>
      </c>
    </row>
    <row r="12865" spans="1:2" x14ac:dyDescent="0.25">
      <c r="A12865" s="2">
        <v>12860</v>
      </c>
      <c r="B12865" s="3" t="str">
        <f>"00619323"</f>
        <v>00619323</v>
      </c>
    </row>
    <row r="12866" spans="1:2" x14ac:dyDescent="0.25">
      <c r="A12866" s="2">
        <v>12861</v>
      </c>
      <c r="B12866" s="3" t="str">
        <f>"00619647"</f>
        <v>00619647</v>
      </c>
    </row>
    <row r="12867" spans="1:2" x14ac:dyDescent="0.25">
      <c r="A12867" s="2">
        <v>12862</v>
      </c>
      <c r="B12867" s="3" t="str">
        <f>"00619663"</f>
        <v>00619663</v>
      </c>
    </row>
    <row r="12868" spans="1:2" x14ac:dyDescent="0.25">
      <c r="A12868" s="2">
        <v>12863</v>
      </c>
      <c r="B12868" s="3" t="str">
        <f>"00619752"</f>
        <v>00619752</v>
      </c>
    </row>
    <row r="12869" spans="1:2" x14ac:dyDescent="0.25">
      <c r="A12869" s="2">
        <v>12864</v>
      </c>
      <c r="B12869" s="3" t="str">
        <f>"00619830"</f>
        <v>00619830</v>
      </c>
    </row>
    <row r="12870" spans="1:2" x14ac:dyDescent="0.25">
      <c r="A12870" s="2">
        <v>12865</v>
      </c>
      <c r="B12870" s="3" t="str">
        <f>"00619967"</f>
        <v>00619967</v>
      </c>
    </row>
    <row r="12871" spans="1:2" x14ac:dyDescent="0.25">
      <c r="A12871" s="2">
        <v>12866</v>
      </c>
      <c r="B12871" s="3" t="str">
        <f>"00619970"</f>
        <v>00619970</v>
      </c>
    </row>
    <row r="12872" spans="1:2" x14ac:dyDescent="0.25">
      <c r="A12872" s="2">
        <v>12867</v>
      </c>
      <c r="B12872" s="3" t="str">
        <f>"00619976"</f>
        <v>00619976</v>
      </c>
    </row>
    <row r="12873" spans="1:2" x14ac:dyDescent="0.25">
      <c r="A12873" s="2">
        <v>12868</v>
      </c>
      <c r="B12873" s="3" t="str">
        <f>"00620045"</f>
        <v>00620045</v>
      </c>
    </row>
    <row r="12874" spans="1:2" x14ac:dyDescent="0.25">
      <c r="A12874" s="2">
        <v>12869</v>
      </c>
      <c r="B12874" s="3" t="str">
        <f>"00620050"</f>
        <v>00620050</v>
      </c>
    </row>
    <row r="12875" spans="1:2" x14ac:dyDescent="0.25">
      <c r="A12875" s="2">
        <v>12870</v>
      </c>
      <c r="B12875" s="3" t="str">
        <f>"00620099"</f>
        <v>00620099</v>
      </c>
    </row>
    <row r="12876" spans="1:2" x14ac:dyDescent="0.25">
      <c r="A12876" s="2">
        <v>12871</v>
      </c>
      <c r="B12876" s="3" t="str">
        <f>"00620217"</f>
        <v>00620217</v>
      </c>
    </row>
    <row r="12877" spans="1:2" x14ac:dyDescent="0.25">
      <c r="A12877" s="2">
        <v>12872</v>
      </c>
      <c r="B12877" s="3" t="str">
        <f>"00620235"</f>
        <v>00620235</v>
      </c>
    </row>
    <row r="12878" spans="1:2" x14ac:dyDescent="0.25">
      <c r="A12878" s="2">
        <v>12873</v>
      </c>
      <c r="B12878" s="3" t="str">
        <f>"00620253"</f>
        <v>00620253</v>
      </c>
    </row>
    <row r="12879" spans="1:2" x14ac:dyDescent="0.25">
      <c r="A12879" s="2">
        <v>12874</v>
      </c>
      <c r="B12879" s="3" t="str">
        <f>"00620366"</f>
        <v>00620366</v>
      </c>
    </row>
    <row r="12880" spans="1:2" x14ac:dyDescent="0.25">
      <c r="A12880" s="2">
        <v>12875</v>
      </c>
      <c r="B12880" s="3" t="str">
        <f>"00620369"</f>
        <v>00620369</v>
      </c>
    </row>
    <row r="12881" spans="1:2" x14ac:dyDescent="0.25">
      <c r="A12881" s="2">
        <v>12876</v>
      </c>
      <c r="B12881" s="3" t="str">
        <f>"00620629"</f>
        <v>00620629</v>
      </c>
    </row>
    <row r="12882" spans="1:2" x14ac:dyDescent="0.25">
      <c r="A12882" s="2">
        <v>12877</v>
      </c>
      <c r="B12882" s="3" t="str">
        <f>"00620665"</f>
        <v>00620665</v>
      </c>
    </row>
    <row r="12883" spans="1:2" x14ac:dyDescent="0.25">
      <c r="A12883" s="2">
        <v>12878</v>
      </c>
      <c r="B12883" s="3" t="str">
        <f>"00620763"</f>
        <v>00620763</v>
      </c>
    </row>
    <row r="12884" spans="1:2" x14ac:dyDescent="0.25">
      <c r="A12884" s="2">
        <v>12879</v>
      </c>
      <c r="B12884" s="3" t="str">
        <f>"00620842"</f>
        <v>00620842</v>
      </c>
    </row>
    <row r="12885" spans="1:2" x14ac:dyDescent="0.25">
      <c r="A12885" s="2">
        <v>12880</v>
      </c>
      <c r="B12885" s="3" t="str">
        <f>"00620969"</f>
        <v>00620969</v>
      </c>
    </row>
    <row r="12886" spans="1:2" x14ac:dyDescent="0.25">
      <c r="A12886" s="2">
        <v>12881</v>
      </c>
      <c r="B12886" s="3" t="str">
        <f>"00621147"</f>
        <v>00621147</v>
      </c>
    </row>
    <row r="12887" spans="1:2" x14ac:dyDescent="0.25">
      <c r="A12887" s="2">
        <v>12882</v>
      </c>
      <c r="B12887" s="3" t="str">
        <f>"00621254"</f>
        <v>00621254</v>
      </c>
    </row>
    <row r="12888" spans="1:2" x14ac:dyDescent="0.25">
      <c r="A12888" s="2">
        <v>12883</v>
      </c>
      <c r="B12888" s="3" t="str">
        <f>"00621334"</f>
        <v>00621334</v>
      </c>
    </row>
    <row r="12889" spans="1:2" x14ac:dyDescent="0.25">
      <c r="A12889" s="2">
        <v>12884</v>
      </c>
      <c r="B12889" s="3" t="str">
        <f>"00621498"</f>
        <v>00621498</v>
      </c>
    </row>
    <row r="12890" spans="1:2" x14ac:dyDescent="0.25">
      <c r="A12890" s="2">
        <v>12885</v>
      </c>
      <c r="B12890" s="3" t="str">
        <f>"00621589"</f>
        <v>00621589</v>
      </c>
    </row>
    <row r="12891" spans="1:2" x14ac:dyDescent="0.25">
      <c r="A12891" s="2">
        <v>12886</v>
      </c>
      <c r="B12891" s="3" t="str">
        <f>"00621629"</f>
        <v>00621629</v>
      </c>
    </row>
    <row r="12892" spans="1:2" x14ac:dyDescent="0.25">
      <c r="A12892" s="2">
        <v>12887</v>
      </c>
      <c r="B12892" s="3" t="str">
        <f>"00621684"</f>
        <v>00621684</v>
      </c>
    </row>
    <row r="12893" spans="1:2" x14ac:dyDescent="0.25">
      <c r="A12893" s="2">
        <v>12888</v>
      </c>
      <c r="B12893" s="3" t="str">
        <f>"00621764"</f>
        <v>00621764</v>
      </c>
    </row>
    <row r="12894" spans="1:2" x14ac:dyDescent="0.25">
      <c r="A12894" s="2">
        <v>12889</v>
      </c>
      <c r="B12894" s="3" t="str">
        <f>"00621816"</f>
        <v>00621816</v>
      </c>
    </row>
    <row r="12895" spans="1:2" x14ac:dyDescent="0.25">
      <c r="A12895" s="2">
        <v>12890</v>
      </c>
      <c r="B12895" s="3" t="str">
        <f>"00621901"</f>
        <v>00621901</v>
      </c>
    </row>
    <row r="12896" spans="1:2" x14ac:dyDescent="0.25">
      <c r="A12896" s="2">
        <v>12891</v>
      </c>
      <c r="B12896" s="3" t="str">
        <f>"00621929"</f>
        <v>00621929</v>
      </c>
    </row>
    <row r="12897" spans="1:2" x14ac:dyDescent="0.25">
      <c r="A12897" s="2">
        <v>12892</v>
      </c>
      <c r="B12897" s="3" t="str">
        <f>"00622233"</f>
        <v>00622233</v>
      </c>
    </row>
    <row r="12898" spans="1:2" x14ac:dyDescent="0.25">
      <c r="A12898" s="2">
        <v>12893</v>
      </c>
      <c r="B12898" s="3" t="str">
        <f>"00622246"</f>
        <v>00622246</v>
      </c>
    </row>
    <row r="12899" spans="1:2" x14ac:dyDescent="0.25">
      <c r="A12899" s="2">
        <v>12894</v>
      </c>
      <c r="B12899" s="3" t="str">
        <f>"00622254"</f>
        <v>00622254</v>
      </c>
    </row>
    <row r="12900" spans="1:2" x14ac:dyDescent="0.25">
      <c r="A12900" s="2">
        <v>12895</v>
      </c>
      <c r="B12900" s="3" t="str">
        <f>"00622451"</f>
        <v>00622451</v>
      </c>
    </row>
    <row r="12901" spans="1:2" x14ac:dyDescent="0.25">
      <c r="A12901" s="2">
        <v>12896</v>
      </c>
      <c r="B12901" s="3" t="str">
        <f>"00622490"</f>
        <v>00622490</v>
      </c>
    </row>
    <row r="12902" spans="1:2" x14ac:dyDescent="0.25">
      <c r="A12902" s="2">
        <v>12897</v>
      </c>
      <c r="B12902" s="3" t="str">
        <f>"00622594"</f>
        <v>00622594</v>
      </c>
    </row>
    <row r="12903" spans="1:2" x14ac:dyDescent="0.25">
      <c r="A12903" s="2">
        <v>12898</v>
      </c>
      <c r="B12903" s="3" t="str">
        <f>"00622769"</f>
        <v>00622769</v>
      </c>
    </row>
    <row r="12904" spans="1:2" x14ac:dyDescent="0.25">
      <c r="A12904" s="2">
        <v>12899</v>
      </c>
      <c r="B12904" s="3" t="str">
        <f>"00623031"</f>
        <v>00623031</v>
      </c>
    </row>
    <row r="12905" spans="1:2" x14ac:dyDescent="0.25">
      <c r="A12905" s="2">
        <v>12900</v>
      </c>
      <c r="B12905" s="3" t="str">
        <f>"00623230"</f>
        <v>00623230</v>
      </c>
    </row>
    <row r="12906" spans="1:2" x14ac:dyDescent="0.25">
      <c r="A12906" s="2">
        <v>12901</v>
      </c>
      <c r="B12906" s="3" t="str">
        <f>"00623249"</f>
        <v>00623249</v>
      </c>
    </row>
    <row r="12907" spans="1:2" x14ac:dyDescent="0.25">
      <c r="A12907" s="2">
        <v>12902</v>
      </c>
      <c r="B12907" s="3" t="str">
        <f>"00623264"</f>
        <v>00623264</v>
      </c>
    </row>
    <row r="12908" spans="1:2" x14ac:dyDescent="0.25">
      <c r="A12908" s="2">
        <v>12903</v>
      </c>
      <c r="B12908" s="3" t="str">
        <f>"00623385"</f>
        <v>00623385</v>
      </c>
    </row>
    <row r="12909" spans="1:2" x14ac:dyDescent="0.25">
      <c r="A12909" s="2">
        <v>12904</v>
      </c>
      <c r="B12909" s="3" t="str">
        <f>"00623398"</f>
        <v>00623398</v>
      </c>
    </row>
    <row r="12910" spans="1:2" x14ac:dyDescent="0.25">
      <c r="A12910" s="2">
        <v>12905</v>
      </c>
      <c r="B12910" s="3" t="str">
        <f>"00623546"</f>
        <v>00623546</v>
      </c>
    </row>
    <row r="12911" spans="1:2" x14ac:dyDescent="0.25">
      <c r="A12911" s="2">
        <v>12906</v>
      </c>
      <c r="B12911" s="3" t="str">
        <f>"00623550"</f>
        <v>00623550</v>
      </c>
    </row>
    <row r="12912" spans="1:2" x14ac:dyDescent="0.25">
      <c r="A12912" s="2">
        <v>12907</v>
      </c>
      <c r="B12912" s="3" t="str">
        <f>"00623561"</f>
        <v>00623561</v>
      </c>
    </row>
    <row r="12913" spans="1:2" x14ac:dyDescent="0.25">
      <c r="A12913" s="2">
        <v>12908</v>
      </c>
      <c r="B12913" s="3" t="str">
        <f>"00623562"</f>
        <v>00623562</v>
      </c>
    </row>
    <row r="12914" spans="1:2" x14ac:dyDescent="0.25">
      <c r="A12914" s="2">
        <v>12909</v>
      </c>
      <c r="B12914" s="3" t="str">
        <f>"00623758"</f>
        <v>00623758</v>
      </c>
    </row>
    <row r="12915" spans="1:2" x14ac:dyDescent="0.25">
      <c r="A12915" s="2">
        <v>12910</v>
      </c>
      <c r="B12915" s="3" t="str">
        <f>"00623759"</f>
        <v>00623759</v>
      </c>
    </row>
    <row r="12916" spans="1:2" x14ac:dyDescent="0.25">
      <c r="A12916" s="2">
        <v>12911</v>
      </c>
      <c r="B12916" s="3" t="str">
        <f>"00624021"</f>
        <v>00624021</v>
      </c>
    </row>
    <row r="12917" spans="1:2" x14ac:dyDescent="0.25">
      <c r="A12917" s="2">
        <v>12912</v>
      </c>
      <c r="B12917" s="3" t="str">
        <f>"00624125"</f>
        <v>00624125</v>
      </c>
    </row>
    <row r="12918" spans="1:2" x14ac:dyDescent="0.25">
      <c r="A12918" s="2">
        <v>12913</v>
      </c>
      <c r="B12918" s="3" t="str">
        <f>"00624260"</f>
        <v>00624260</v>
      </c>
    </row>
    <row r="12919" spans="1:2" x14ac:dyDescent="0.25">
      <c r="A12919" s="2">
        <v>12914</v>
      </c>
      <c r="B12919" s="3" t="str">
        <f>"00624314"</f>
        <v>00624314</v>
      </c>
    </row>
    <row r="12920" spans="1:2" x14ac:dyDescent="0.25">
      <c r="A12920" s="2">
        <v>12915</v>
      </c>
      <c r="B12920" s="3" t="str">
        <f>"00624323"</f>
        <v>00624323</v>
      </c>
    </row>
    <row r="12921" spans="1:2" x14ac:dyDescent="0.25">
      <c r="A12921" s="2">
        <v>12916</v>
      </c>
      <c r="B12921" s="3" t="str">
        <f>"00624583"</f>
        <v>00624583</v>
      </c>
    </row>
    <row r="12922" spans="1:2" x14ac:dyDescent="0.25">
      <c r="A12922" s="2">
        <v>12917</v>
      </c>
      <c r="B12922" s="3" t="str">
        <f>"00624678"</f>
        <v>00624678</v>
      </c>
    </row>
    <row r="12923" spans="1:2" x14ac:dyDescent="0.25">
      <c r="A12923" s="2">
        <v>12918</v>
      </c>
      <c r="B12923" s="3" t="str">
        <f>"00624714"</f>
        <v>00624714</v>
      </c>
    </row>
    <row r="12924" spans="1:2" x14ac:dyDescent="0.25">
      <c r="A12924" s="2">
        <v>12919</v>
      </c>
      <c r="B12924" s="3" t="str">
        <f>"00624861"</f>
        <v>00624861</v>
      </c>
    </row>
    <row r="12925" spans="1:2" x14ac:dyDescent="0.25">
      <c r="A12925" s="2">
        <v>12920</v>
      </c>
      <c r="B12925" s="3" t="str">
        <f>"00624940"</f>
        <v>00624940</v>
      </c>
    </row>
    <row r="12926" spans="1:2" x14ac:dyDescent="0.25">
      <c r="A12926" s="2">
        <v>12921</v>
      </c>
      <c r="B12926" s="3" t="str">
        <f>"00624952"</f>
        <v>00624952</v>
      </c>
    </row>
    <row r="12927" spans="1:2" x14ac:dyDescent="0.25">
      <c r="A12927" s="2">
        <v>12922</v>
      </c>
      <c r="B12927" s="3" t="str">
        <f>"00624965"</f>
        <v>00624965</v>
      </c>
    </row>
    <row r="12928" spans="1:2" x14ac:dyDescent="0.25">
      <c r="A12928" s="2">
        <v>12923</v>
      </c>
      <c r="B12928" s="3" t="str">
        <f>"00625130"</f>
        <v>00625130</v>
      </c>
    </row>
    <row r="12929" spans="1:2" x14ac:dyDescent="0.25">
      <c r="A12929" s="2">
        <v>12924</v>
      </c>
      <c r="B12929" s="3" t="str">
        <f>"00625244"</f>
        <v>00625244</v>
      </c>
    </row>
    <row r="12930" spans="1:2" x14ac:dyDescent="0.25">
      <c r="A12930" s="2">
        <v>12925</v>
      </c>
      <c r="B12930" s="3" t="str">
        <f>"00625726"</f>
        <v>00625726</v>
      </c>
    </row>
    <row r="12931" spans="1:2" x14ac:dyDescent="0.25">
      <c r="A12931" s="2">
        <v>12926</v>
      </c>
      <c r="B12931" s="3" t="str">
        <f>"00625777"</f>
        <v>00625777</v>
      </c>
    </row>
    <row r="12932" spans="1:2" x14ac:dyDescent="0.25">
      <c r="A12932" s="2">
        <v>12927</v>
      </c>
      <c r="B12932" s="3" t="str">
        <f>"00625778"</f>
        <v>00625778</v>
      </c>
    </row>
    <row r="12933" spans="1:2" x14ac:dyDescent="0.25">
      <c r="A12933" s="2">
        <v>12928</v>
      </c>
      <c r="B12933" s="3" t="str">
        <f>"00625808"</f>
        <v>00625808</v>
      </c>
    </row>
    <row r="12934" spans="1:2" x14ac:dyDescent="0.25">
      <c r="A12934" s="2">
        <v>12929</v>
      </c>
      <c r="B12934" s="3" t="str">
        <f>"00625830"</f>
        <v>00625830</v>
      </c>
    </row>
    <row r="12935" spans="1:2" x14ac:dyDescent="0.25">
      <c r="A12935" s="2">
        <v>12930</v>
      </c>
      <c r="B12935" s="3" t="str">
        <f>"00625899"</f>
        <v>00625899</v>
      </c>
    </row>
    <row r="12936" spans="1:2" x14ac:dyDescent="0.25">
      <c r="A12936" s="2">
        <v>12931</v>
      </c>
      <c r="B12936" s="3" t="str">
        <f>"00625934"</f>
        <v>00625934</v>
      </c>
    </row>
    <row r="12937" spans="1:2" x14ac:dyDescent="0.25">
      <c r="A12937" s="2">
        <v>12932</v>
      </c>
      <c r="B12937" s="3" t="str">
        <f>"00626128"</f>
        <v>00626128</v>
      </c>
    </row>
    <row r="12938" spans="1:2" x14ac:dyDescent="0.25">
      <c r="A12938" s="2">
        <v>12933</v>
      </c>
      <c r="B12938" s="3" t="str">
        <f>"00626222"</f>
        <v>00626222</v>
      </c>
    </row>
    <row r="12939" spans="1:2" x14ac:dyDescent="0.25">
      <c r="A12939" s="2">
        <v>12934</v>
      </c>
      <c r="B12939" s="3" t="str">
        <f>"00626273"</f>
        <v>00626273</v>
      </c>
    </row>
    <row r="12940" spans="1:2" x14ac:dyDescent="0.25">
      <c r="A12940" s="2">
        <v>12935</v>
      </c>
      <c r="B12940" s="3" t="str">
        <f>"00626345"</f>
        <v>00626345</v>
      </c>
    </row>
    <row r="12941" spans="1:2" x14ac:dyDescent="0.25">
      <c r="A12941" s="2">
        <v>12936</v>
      </c>
      <c r="B12941" s="3" t="str">
        <f>"00626378"</f>
        <v>00626378</v>
      </c>
    </row>
    <row r="12942" spans="1:2" x14ac:dyDescent="0.25">
      <c r="A12942" s="2">
        <v>12937</v>
      </c>
      <c r="B12942" s="3" t="str">
        <f>"00626576"</f>
        <v>00626576</v>
      </c>
    </row>
    <row r="12943" spans="1:2" x14ac:dyDescent="0.25">
      <c r="A12943" s="2">
        <v>12938</v>
      </c>
      <c r="B12943" s="3" t="str">
        <f>"00626584"</f>
        <v>00626584</v>
      </c>
    </row>
    <row r="12944" spans="1:2" x14ac:dyDescent="0.25">
      <c r="A12944" s="2">
        <v>12939</v>
      </c>
      <c r="B12944" s="3" t="str">
        <f>"00626756"</f>
        <v>00626756</v>
      </c>
    </row>
    <row r="12945" spans="1:2" x14ac:dyDescent="0.25">
      <c r="A12945" s="2">
        <v>12940</v>
      </c>
      <c r="B12945" s="3" t="str">
        <f>"00626846"</f>
        <v>00626846</v>
      </c>
    </row>
    <row r="12946" spans="1:2" x14ac:dyDescent="0.25">
      <c r="A12946" s="2">
        <v>12941</v>
      </c>
      <c r="B12946" s="3" t="str">
        <f>"00627042"</f>
        <v>00627042</v>
      </c>
    </row>
    <row r="12947" spans="1:2" x14ac:dyDescent="0.25">
      <c r="A12947" s="2">
        <v>12942</v>
      </c>
      <c r="B12947" s="3" t="str">
        <f>"00627241"</f>
        <v>00627241</v>
      </c>
    </row>
    <row r="12948" spans="1:2" x14ac:dyDescent="0.25">
      <c r="A12948" s="2">
        <v>12943</v>
      </c>
      <c r="B12948" s="3" t="str">
        <f>"00627316"</f>
        <v>00627316</v>
      </c>
    </row>
    <row r="12949" spans="1:2" x14ac:dyDescent="0.25">
      <c r="A12949" s="2">
        <v>12944</v>
      </c>
      <c r="B12949" s="3" t="str">
        <f>"00627407"</f>
        <v>00627407</v>
      </c>
    </row>
    <row r="12950" spans="1:2" x14ac:dyDescent="0.25">
      <c r="A12950" s="2">
        <v>12945</v>
      </c>
      <c r="B12950" s="3" t="str">
        <f>"00627412"</f>
        <v>00627412</v>
      </c>
    </row>
    <row r="12951" spans="1:2" x14ac:dyDescent="0.25">
      <c r="A12951" s="2">
        <v>12946</v>
      </c>
      <c r="B12951" s="3" t="str">
        <f>"00627642"</f>
        <v>00627642</v>
      </c>
    </row>
    <row r="12952" spans="1:2" x14ac:dyDescent="0.25">
      <c r="A12952" s="2">
        <v>12947</v>
      </c>
      <c r="B12952" s="3" t="str">
        <f>"00627657"</f>
        <v>00627657</v>
      </c>
    </row>
    <row r="12953" spans="1:2" x14ac:dyDescent="0.25">
      <c r="A12953" s="2">
        <v>12948</v>
      </c>
      <c r="B12953" s="3" t="str">
        <f>"00627702"</f>
        <v>00627702</v>
      </c>
    </row>
    <row r="12954" spans="1:2" x14ac:dyDescent="0.25">
      <c r="A12954" s="2">
        <v>12949</v>
      </c>
      <c r="B12954" s="3" t="str">
        <f>"00627704"</f>
        <v>00627704</v>
      </c>
    </row>
    <row r="12955" spans="1:2" x14ac:dyDescent="0.25">
      <c r="A12955" s="2">
        <v>12950</v>
      </c>
      <c r="B12955" s="3" t="str">
        <f>"00627968"</f>
        <v>00627968</v>
      </c>
    </row>
    <row r="12956" spans="1:2" x14ac:dyDescent="0.25">
      <c r="A12956" s="2">
        <v>12951</v>
      </c>
      <c r="B12956" s="3" t="str">
        <f>"00628011"</f>
        <v>00628011</v>
      </c>
    </row>
    <row r="12957" spans="1:2" x14ac:dyDescent="0.25">
      <c r="A12957" s="2">
        <v>12952</v>
      </c>
      <c r="B12957" s="3" t="str">
        <f>"00628156"</f>
        <v>00628156</v>
      </c>
    </row>
    <row r="12958" spans="1:2" x14ac:dyDescent="0.25">
      <c r="A12958" s="2">
        <v>12953</v>
      </c>
      <c r="B12958" s="3" t="str">
        <f>"00628161"</f>
        <v>00628161</v>
      </c>
    </row>
    <row r="12959" spans="1:2" x14ac:dyDescent="0.25">
      <c r="A12959" s="2">
        <v>12954</v>
      </c>
      <c r="B12959" s="3" t="str">
        <f>"00628200"</f>
        <v>00628200</v>
      </c>
    </row>
    <row r="12960" spans="1:2" x14ac:dyDescent="0.25">
      <c r="A12960" s="2">
        <v>12955</v>
      </c>
      <c r="B12960" s="3" t="str">
        <f>"00628312"</f>
        <v>00628312</v>
      </c>
    </row>
    <row r="12961" spans="1:2" x14ac:dyDescent="0.25">
      <c r="A12961" s="2">
        <v>12956</v>
      </c>
      <c r="B12961" s="3" t="str">
        <f>"00628338"</f>
        <v>00628338</v>
      </c>
    </row>
    <row r="12962" spans="1:2" x14ac:dyDescent="0.25">
      <c r="A12962" s="2">
        <v>12957</v>
      </c>
      <c r="B12962" s="3" t="str">
        <f>"00628432"</f>
        <v>00628432</v>
      </c>
    </row>
    <row r="12963" spans="1:2" x14ac:dyDescent="0.25">
      <c r="A12963" s="2">
        <v>12958</v>
      </c>
      <c r="B12963" s="3" t="str">
        <f>"00628446"</f>
        <v>00628446</v>
      </c>
    </row>
    <row r="12964" spans="1:2" x14ac:dyDescent="0.25">
      <c r="A12964" s="2">
        <v>12959</v>
      </c>
      <c r="B12964" s="3" t="str">
        <f>"00628458"</f>
        <v>00628458</v>
      </c>
    </row>
    <row r="12965" spans="1:2" x14ac:dyDescent="0.25">
      <c r="A12965" s="2">
        <v>12960</v>
      </c>
      <c r="B12965" s="3" t="str">
        <f>"00628621"</f>
        <v>00628621</v>
      </c>
    </row>
    <row r="12966" spans="1:2" x14ac:dyDescent="0.25">
      <c r="A12966" s="2">
        <v>12961</v>
      </c>
      <c r="B12966" s="3" t="str">
        <f>"00628719"</f>
        <v>00628719</v>
      </c>
    </row>
    <row r="12967" spans="1:2" x14ac:dyDescent="0.25">
      <c r="A12967" s="2">
        <v>12962</v>
      </c>
      <c r="B12967" s="3" t="str">
        <f>"00628725"</f>
        <v>00628725</v>
      </c>
    </row>
    <row r="12968" spans="1:2" x14ac:dyDescent="0.25">
      <c r="A12968" s="2">
        <v>12963</v>
      </c>
      <c r="B12968" s="3" t="str">
        <f>"00628892"</f>
        <v>00628892</v>
      </c>
    </row>
    <row r="12969" spans="1:2" x14ac:dyDescent="0.25">
      <c r="A12969" s="2">
        <v>12964</v>
      </c>
      <c r="B12969" s="3" t="str">
        <f>"00628920"</f>
        <v>00628920</v>
      </c>
    </row>
    <row r="12970" spans="1:2" x14ac:dyDescent="0.25">
      <c r="A12970" s="2">
        <v>12965</v>
      </c>
      <c r="B12970" s="3" t="str">
        <f>"00629227"</f>
        <v>00629227</v>
      </c>
    </row>
    <row r="12971" spans="1:2" x14ac:dyDescent="0.25">
      <c r="A12971" s="2">
        <v>12966</v>
      </c>
      <c r="B12971" s="3" t="str">
        <f>"00629346"</f>
        <v>00629346</v>
      </c>
    </row>
    <row r="12972" spans="1:2" x14ac:dyDescent="0.25">
      <c r="A12972" s="2">
        <v>12967</v>
      </c>
      <c r="B12972" s="3" t="str">
        <f>"00629502"</f>
        <v>00629502</v>
      </c>
    </row>
    <row r="12973" spans="1:2" x14ac:dyDescent="0.25">
      <c r="A12973" s="2">
        <v>12968</v>
      </c>
      <c r="B12973" s="3" t="str">
        <f>"00629579"</f>
        <v>00629579</v>
      </c>
    </row>
    <row r="12974" spans="1:2" x14ac:dyDescent="0.25">
      <c r="A12974" s="2">
        <v>12969</v>
      </c>
      <c r="B12974" s="3" t="str">
        <f>"00629643"</f>
        <v>00629643</v>
      </c>
    </row>
    <row r="12975" spans="1:2" x14ac:dyDescent="0.25">
      <c r="A12975" s="2">
        <v>12970</v>
      </c>
      <c r="B12975" s="3" t="str">
        <f>"00629646"</f>
        <v>00629646</v>
      </c>
    </row>
    <row r="12976" spans="1:2" x14ac:dyDescent="0.25">
      <c r="A12976" s="2">
        <v>12971</v>
      </c>
      <c r="B12976" s="3" t="str">
        <f>"00629722"</f>
        <v>00629722</v>
      </c>
    </row>
    <row r="12977" spans="1:2" x14ac:dyDescent="0.25">
      <c r="A12977" s="2">
        <v>12972</v>
      </c>
      <c r="B12977" s="3" t="str">
        <f>"00629918"</f>
        <v>00629918</v>
      </c>
    </row>
    <row r="12978" spans="1:2" x14ac:dyDescent="0.25">
      <c r="A12978" s="2">
        <v>12973</v>
      </c>
      <c r="B12978" s="3" t="str">
        <f>"00630273"</f>
        <v>00630273</v>
      </c>
    </row>
    <row r="12979" spans="1:2" x14ac:dyDescent="0.25">
      <c r="A12979" s="2">
        <v>12974</v>
      </c>
      <c r="B12979" s="3" t="str">
        <f>"00630278"</f>
        <v>00630278</v>
      </c>
    </row>
    <row r="12980" spans="1:2" x14ac:dyDescent="0.25">
      <c r="A12980" s="2">
        <v>12975</v>
      </c>
      <c r="B12980" s="3" t="str">
        <f>"00630542"</f>
        <v>00630542</v>
      </c>
    </row>
    <row r="12981" spans="1:2" x14ac:dyDescent="0.25">
      <c r="A12981" s="2">
        <v>12976</v>
      </c>
      <c r="B12981" s="3" t="str">
        <f>"00630575"</f>
        <v>00630575</v>
      </c>
    </row>
    <row r="12982" spans="1:2" x14ac:dyDescent="0.25">
      <c r="A12982" s="2">
        <v>12977</v>
      </c>
      <c r="B12982" s="3" t="str">
        <f>"00630641"</f>
        <v>00630641</v>
      </c>
    </row>
    <row r="12983" spans="1:2" x14ac:dyDescent="0.25">
      <c r="A12983" s="2">
        <v>12978</v>
      </c>
      <c r="B12983" s="3" t="str">
        <f>"00630658"</f>
        <v>00630658</v>
      </c>
    </row>
    <row r="12984" spans="1:2" x14ac:dyDescent="0.25">
      <c r="A12984" s="2">
        <v>12979</v>
      </c>
      <c r="B12984" s="3" t="str">
        <f>"00630783"</f>
        <v>00630783</v>
      </c>
    </row>
    <row r="12985" spans="1:2" x14ac:dyDescent="0.25">
      <c r="A12985" s="2">
        <v>12980</v>
      </c>
      <c r="B12985" s="3" t="str">
        <f>"00630785"</f>
        <v>00630785</v>
      </c>
    </row>
    <row r="12986" spans="1:2" x14ac:dyDescent="0.25">
      <c r="A12986" s="2">
        <v>12981</v>
      </c>
      <c r="B12986" s="3" t="str">
        <f>"00630830"</f>
        <v>00630830</v>
      </c>
    </row>
    <row r="12987" spans="1:2" x14ac:dyDescent="0.25">
      <c r="A12987" s="2">
        <v>12982</v>
      </c>
      <c r="B12987" s="3" t="str">
        <f>"00630837"</f>
        <v>00630837</v>
      </c>
    </row>
    <row r="12988" spans="1:2" x14ac:dyDescent="0.25">
      <c r="A12988" s="2">
        <v>12983</v>
      </c>
      <c r="B12988" s="3" t="str">
        <f>"00630967"</f>
        <v>00630967</v>
      </c>
    </row>
    <row r="12989" spans="1:2" x14ac:dyDescent="0.25">
      <c r="A12989" s="2">
        <v>12984</v>
      </c>
      <c r="B12989" s="3" t="str">
        <f>"00630992"</f>
        <v>00630992</v>
      </c>
    </row>
    <row r="12990" spans="1:2" x14ac:dyDescent="0.25">
      <c r="A12990" s="2">
        <v>12985</v>
      </c>
      <c r="B12990" s="3" t="str">
        <f>"00631114"</f>
        <v>00631114</v>
      </c>
    </row>
    <row r="12991" spans="1:2" x14ac:dyDescent="0.25">
      <c r="A12991" s="2">
        <v>12986</v>
      </c>
      <c r="B12991" s="3" t="str">
        <f>"00631256"</f>
        <v>00631256</v>
      </c>
    </row>
    <row r="12992" spans="1:2" x14ac:dyDescent="0.25">
      <c r="A12992" s="2">
        <v>12987</v>
      </c>
      <c r="B12992" s="3" t="str">
        <f>"00631310"</f>
        <v>00631310</v>
      </c>
    </row>
    <row r="12993" spans="1:2" x14ac:dyDescent="0.25">
      <c r="A12993" s="2">
        <v>12988</v>
      </c>
      <c r="B12993" s="3" t="str">
        <f>"00631345"</f>
        <v>00631345</v>
      </c>
    </row>
    <row r="12994" spans="1:2" x14ac:dyDescent="0.25">
      <c r="A12994" s="2">
        <v>12989</v>
      </c>
      <c r="B12994" s="3" t="str">
        <f>"00631413"</f>
        <v>00631413</v>
      </c>
    </row>
    <row r="12995" spans="1:2" x14ac:dyDescent="0.25">
      <c r="A12995" s="2">
        <v>12990</v>
      </c>
      <c r="B12995" s="3" t="str">
        <f>"00631416"</f>
        <v>00631416</v>
      </c>
    </row>
    <row r="12996" spans="1:2" x14ac:dyDescent="0.25">
      <c r="A12996" s="2">
        <v>12991</v>
      </c>
      <c r="B12996" s="3" t="str">
        <f>"00631581"</f>
        <v>00631581</v>
      </c>
    </row>
    <row r="12997" spans="1:2" x14ac:dyDescent="0.25">
      <c r="A12997" s="2">
        <v>12992</v>
      </c>
      <c r="B12997" s="3" t="str">
        <f>"00631598"</f>
        <v>00631598</v>
      </c>
    </row>
    <row r="12998" spans="1:2" x14ac:dyDescent="0.25">
      <c r="A12998" s="2">
        <v>12993</v>
      </c>
      <c r="B12998" s="3" t="str">
        <f>"00631635"</f>
        <v>00631635</v>
      </c>
    </row>
    <row r="12999" spans="1:2" x14ac:dyDescent="0.25">
      <c r="A12999" s="2">
        <v>12994</v>
      </c>
      <c r="B12999" s="3" t="str">
        <f>"00631707"</f>
        <v>00631707</v>
      </c>
    </row>
    <row r="13000" spans="1:2" x14ac:dyDescent="0.25">
      <c r="A13000" s="2">
        <v>12995</v>
      </c>
      <c r="B13000" s="3" t="str">
        <f>"00632029"</f>
        <v>00632029</v>
      </c>
    </row>
    <row r="13001" spans="1:2" x14ac:dyDescent="0.25">
      <c r="A13001" s="2">
        <v>12996</v>
      </c>
      <c r="B13001" s="3" t="str">
        <f>"00632108"</f>
        <v>00632108</v>
      </c>
    </row>
    <row r="13002" spans="1:2" x14ac:dyDescent="0.25">
      <c r="A13002" s="2">
        <v>12997</v>
      </c>
      <c r="B13002" s="3" t="str">
        <f>"00632182"</f>
        <v>00632182</v>
      </c>
    </row>
    <row r="13003" spans="1:2" x14ac:dyDescent="0.25">
      <c r="A13003" s="2">
        <v>12998</v>
      </c>
      <c r="B13003" s="3" t="str">
        <f>"00632245"</f>
        <v>00632245</v>
      </c>
    </row>
    <row r="13004" spans="1:2" x14ac:dyDescent="0.25">
      <c r="A13004" s="2">
        <v>12999</v>
      </c>
      <c r="B13004" s="3" t="str">
        <f>"00632310"</f>
        <v>00632310</v>
      </c>
    </row>
    <row r="13005" spans="1:2" x14ac:dyDescent="0.25">
      <c r="A13005" s="2">
        <v>13000</v>
      </c>
      <c r="B13005" s="3" t="str">
        <f>"00632645"</f>
        <v>00632645</v>
      </c>
    </row>
    <row r="13006" spans="1:2" x14ac:dyDescent="0.25">
      <c r="A13006" s="2">
        <v>13001</v>
      </c>
      <c r="B13006" s="3" t="str">
        <f>"00632705"</f>
        <v>00632705</v>
      </c>
    </row>
    <row r="13007" spans="1:2" x14ac:dyDescent="0.25">
      <c r="A13007" s="2">
        <v>13002</v>
      </c>
      <c r="B13007" s="3" t="str">
        <f>"00632716"</f>
        <v>00632716</v>
      </c>
    </row>
    <row r="13008" spans="1:2" x14ac:dyDescent="0.25">
      <c r="A13008" s="2">
        <v>13003</v>
      </c>
      <c r="B13008" s="3" t="str">
        <f>"00632791"</f>
        <v>00632791</v>
      </c>
    </row>
    <row r="13009" spans="1:2" x14ac:dyDescent="0.25">
      <c r="A13009" s="2">
        <v>13004</v>
      </c>
      <c r="B13009" s="3" t="str">
        <f>"00632842"</f>
        <v>00632842</v>
      </c>
    </row>
    <row r="13010" spans="1:2" x14ac:dyDescent="0.25">
      <c r="A13010" s="2">
        <v>13005</v>
      </c>
      <c r="B13010" s="3" t="str">
        <f>"00632861"</f>
        <v>00632861</v>
      </c>
    </row>
    <row r="13011" spans="1:2" x14ac:dyDescent="0.25">
      <c r="A13011" s="2">
        <v>13006</v>
      </c>
      <c r="B13011" s="3" t="str">
        <f>"00633023"</f>
        <v>00633023</v>
      </c>
    </row>
    <row r="13012" spans="1:2" x14ac:dyDescent="0.25">
      <c r="A13012" s="2">
        <v>13007</v>
      </c>
      <c r="B13012" s="3" t="str">
        <f>"00633059"</f>
        <v>00633059</v>
      </c>
    </row>
    <row r="13013" spans="1:2" x14ac:dyDescent="0.25">
      <c r="A13013" s="2">
        <v>13008</v>
      </c>
      <c r="B13013" s="3" t="str">
        <f>"00633182"</f>
        <v>00633182</v>
      </c>
    </row>
    <row r="13014" spans="1:2" x14ac:dyDescent="0.25">
      <c r="A13014" s="2">
        <v>13009</v>
      </c>
      <c r="B13014" s="3" t="str">
        <f>"00633356"</f>
        <v>00633356</v>
      </c>
    </row>
    <row r="13015" spans="1:2" x14ac:dyDescent="0.25">
      <c r="A13015" s="2">
        <v>13010</v>
      </c>
      <c r="B13015" s="3" t="str">
        <f>"00633362"</f>
        <v>00633362</v>
      </c>
    </row>
    <row r="13016" spans="1:2" x14ac:dyDescent="0.25">
      <c r="A13016" s="2">
        <v>13011</v>
      </c>
      <c r="B13016" s="3" t="str">
        <f>"00633382"</f>
        <v>00633382</v>
      </c>
    </row>
    <row r="13017" spans="1:2" x14ac:dyDescent="0.25">
      <c r="A13017" s="2">
        <v>13012</v>
      </c>
      <c r="B13017" s="3" t="str">
        <f>"00633454"</f>
        <v>00633454</v>
      </c>
    </row>
    <row r="13018" spans="1:2" x14ac:dyDescent="0.25">
      <c r="A13018" s="2">
        <v>13013</v>
      </c>
      <c r="B13018" s="3" t="str">
        <f>"00633503"</f>
        <v>00633503</v>
      </c>
    </row>
    <row r="13019" spans="1:2" x14ac:dyDescent="0.25">
      <c r="A13019" s="2">
        <v>13014</v>
      </c>
      <c r="B13019" s="3" t="str">
        <f>"00633555"</f>
        <v>00633555</v>
      </c>
    </row>
    <row r="13020" spans="1:2" x14ac:dyDescent="0.25">
      <c r="A13020" s="2">
        <v>13015</v>
      </c>
      <c r="B13020" s="3" t="str">
        <f>"00633612"</f>
        <v>00633612</v>
      </c>
    </row>
    <row r="13021" spans="1:2" x14ac:dyDescent="0.25">
      <c r="A13021" s="2">
        <v>13016</v>
      </c>
      <c r="B13021" s="3" t="str">
        <f>"00633683"</f>
        <v>00633683</v>
      </c>
    </row>
    <row r="13022" spans="1:2" x14ac:dyDescent="0.25">
      <c r="A13022" s="2">
        <v>13017</v>
      </c>
      <c r="B13022" s="3" t="str">
        <f>"00633951"</f>
        <v>00633951</v>
      </c>
    </row>
    <row r="13023" spans="1:2" x14ac:dyDescent="0.25">
      <c r="A13023" s="2">
        <v>13018</v>
      </c>
      <c r="B13023" s="3" t="str">
        <f>"00633985"</f>
        <v>00633985</v>
      </c>
    </row>
    <row r="13024" spans="1:2" x14ac:dyDescent="0.25">
      <c r="A13024" s="2">
        <v>13019</v>
      </c>
      <c r="B13024" s="3" t="str">
        <f>"00633995"</f>
        <v>00633995</v>
      </c>
    </row>
    <row r="13025" spans="1:2" x14ac:dyDescent="0.25">
      <c r="A13025" s="2">
        <v>13020</v>
      </c>
      <c r="B13025" s="3" t="str">
        <f>"00634066"</f>
        <v>00634066</v>
      </c>
    </row>
    <row r="13026" spans="1:2" x14ac:dyDescent="0.25">
      <c r="A13026" s="2">
        <v>13021</v>
      </c>
      <c r="B13026" s="3" t="str">
        <f>"00634407"</f>
        <v>00634407</v>
      </c>
    </row>
    <row r="13027" spans="1:2" x14ac:dyDescent="0.25">
      <c r="A13027" s="2">
        <v>13022</v>
      </c>
      <c r="B13027" s="3" t="str">
        <f>"00634527"</f>
        <v>00634527</v>
      </c>
    </row>
    <row r="13028" spans="1:2" x14ac:dyDescent="0.25">
      <c r="A13028" s="2">
        <v>13023</v>
      </c>
      <c r="B13028" s="3" t="str">
        <f>"00634577"</f>
        <v>00634577</v>
      </c>
    </row>
    <row r="13029" spans="1:2" x14ac:dyDescent="0.25">
      <c r="A13029" s="2">
        <v>13024</v>
      </c>
      <c r="B13029" s="3" t="str">
        <f>"00634584"</f>
        <v>00634584</v>
      </c>
    </row>
    <row r="13030" spans="1:2" x14ac:dyDescent="0.25">
      <c r="A13030" s="2">
        <v>13025</v>
      </c>
      <c r="B13030" s="3" t="str">
        <f>"00634683"</f>
        <v>00634683</v>
      </c>
    </row>
    <row r="13031" spans="1:2" x14ac:dyDescent="0.25">
      <c r="A13031" s="2">
        <v>13026</v>
      </c>
      <c r="B13031" s="3" t="str">
        <f>"00634690"</f>
        <v>00634690</v>
      </c>
    </row>
    <row r="13032" spans="1:2" x14ac:dyDescent="0.25">
      <c r="A13032" s="2">
        <v>13027</v>
      </c>
      <c r="B13032" s="3" t="str">
        <f>"00634822"</f>
        <v>00634822</v>
      </c>
    </row>
    <row r="13033" spans="1:2" x14ac:dyDescent="0.25">
      <c r="A13033" s="2">
        <v>13028</v>
      </c>
      <c r="B13033" s="3" t="str">
        <f>"00634909"</f>
        <v>00634909</v>
      </c>
    </row>
    <row r="13034" spans="1:2" x14ac:dyDescent="0.25">
      <c r="A13034" s="2">
        <v>13029</v>
      </c>
      <c r="B13034" s="3" t="str">
        <f>"00634917"</f>
        <v>00634917</v>
      </c>
    </row>
    <row r="13035" spans="1:2" x14ac:dyDescent="0.25">
      <c r="A13035" s="2">
        <v>13030</v>
      </c>
      <c r="B13035" s="3" t="str">
        <f>"00635022"</f>
        <v>00635022</v>
      </c>
    </row>
    <row r="13036" spans="1:2" x14ac:dyDescent="0.25">
      <c r="A13036" s="2">
        <v>13031</v>
      </c>
      <c r="B13036" s="3" t="str">
        <f>"00635069"</f>
        <v>00635069</v>
      </c>
    </row>
    <row r="13037" spans="1:2" x14ac:dyDescent="0.25">
      <c r="A13037" s="2">
        <v>13032</v>
      </c>
      <c r="B13037" s="3" t="str">
        <f>"00635177"</f>
        <v>00635177</v>
      </c>
    </row>
    <row r="13038" spans="1:2" x14ac:dyDescent="0.25">
      <c r="A13038" s="2">
        <v>13033</v>
      </c>
      <c r="B13038" s="3" t="str">
        <f>"00635265"</f>
        <v>00635265</v>
      </c>
    </row>
    <row r="13039" spans="1:2" x14ac:dyDescent="0.25">
      <c r="A13039" s="2">
        <v>13034</v>
      </c>
      <c r="B13039" s="3" t="str">
        <f>"00635296"</f>
        <v>00635296</v>
      </c>
    </row>
    <row r="13040" spans="1:2" x14ac:dyDescent="0.25">
      <c r="A13040" s="2">
        <v>13035</v>
      </c>
      <c r="B13040" s="3" t="str">
        <f>"00635320"</f>
        <v>00635320</v>
      </c>
    </row>
    <row r="13041" spans="1:2" x14ac:dyDescent="0.25">
      <c r="A13041" s="2">
        <v>13036</v>
      </c>
      <c r="B13041" s="3" t="str">
        <f>"00635335"</f>
        <v>00635335</v>
      </c>
    </row>
    <row r="13042" spans="1:2" x14ac:dyDescent="0.25">
      <c r="A13042" s="2">
        <v>13037</v>
      </c>
      <c r="B13042" s="3" t="str">
        <f>"00635713"</f>
        <v>00635713</v>
      </c>
    </row>
    <row r="13043" spans="1:2" x14ac:dyDescent="0.25">
      <c r="A13043" s="2">
        <v>13038</v>
      </c>
      <c r="B13043" s="3" t="str">
        <f>"00635940"</f>
        <v>00635940</v>
      </c>
    </row>
    <row r="13044" spans="1:2" x14ac:dyDescent="0.25">
      <c r="A13044" s="2">
        <v>13039</v>
      </c>
      <c r="B13044" s="3" t="str">
        <f>"00636036"</f>
        <v>00636036</v>
      </c>
    </row>
    <row r="13045" spans="1:2" x14ac:dyDescent="0.25">
      <c r="A13045" s="2">
        <v>13040</v>
      </c>
      <c r="B13045" s="3" t="str">
        <f>"00636104"</f>
        <v>00636104</v>
      </c>
    </row>
    <row r="13046" spans="1:2" x14ac:dyDescent="0.25">
      <c r="A13046" s="2">
        <v>13041</v>
      </c>
      <c r="B13046" s="3" t="str">
        <f>"00636210"</f>
        <v>00636210</v>
      </c>
    </row>
    <row r="13047" spans="1:2" x14ac:dyDescent="0.25">
      <c r="A13047" s="2">
        <v>13042</v>
      </c>
      <c r="B13047" s="3" t="str">
        <f>"00636220"</f>
        <v>00636220</v>
      </c>
    </row>
    <row r="13048" spans="1:2" x14ac:dyDescent="0.25">
      <c r="A13048" s="2">
        <v>13043</v>
      </c>
      <c r="B13048" s="3" t="str">
        <f>"00636609"</f>
        <v>00636609</v>
      </c>
    </row>
    <row r="13049" spans="1:2" x14ac:dyDescent="0.25">
      <c r="A13049" s="2">
        <v>13044</v>
      </c>
      <c r="B13049" s="3" t="str">
        <f>"00636666"</f>
        <v>00636666</v>
      </c>
    </row>
    <row r="13050" spans="1:2" x14ac:dyDescent="0.25">
      <c r="A13050" s="2">
        <v>13045</v>
      </c>
      <c r="B13050" s="3" t="str">
        <f>"00636868"</f>
        <v>00636868</v>
      </c>
    </row>
    <row r="13051" spans="1:2" x14ac:dyDescent="0.25">
      <c r="A13051" s="2">
        <v>13046</v>
      </c>
      <c r="B13051" s="3" t="str">
        <f>"00636942"</f>
        <v>00636942</v>
      </c>
    </row>
    <row r="13052" spans="1:2" x14ac:dyDescent="0.25">
      <c r="A13052" s="2">
        <v>13047</v>
      </c>
      <c r="B13052" s="3" t="str">
        <f>"00637011"</f>
        <v>00637011</v>
      </c>
    </row>
    <row r="13053" spans="1:2" x14ac:dyDescent="0.25">
      <c r="A13053" s="2">
        <v>13048</v>
      </c>
      <c r="B13053" s="3" t="str">
        <f>"00637184"</f>
        <v>00637184</v>
      </c>
    </row>
    <row r="13054" spans="1:2" x14ac:dyDescent="0.25">
      <c r="A13054" s="2">
        <v>13049</v>
      </c>
      <c r="B13054" s="3" t="str">
        <f>"00637214"</f>
        <v>00637214</v>
      </c>
    </row>
    <row r="13055" spans="1:2" x14ac:dyDescent="0.25">
      <c r="A13055" s="2">
        <v>13050</v>
      </c>
      <c r="B13055" s="3" t="str">
        <f>"00637323"</f>
        <v>00637323</v>
      </c>
    </row>
    <row r="13056" spans="1:2" x14ac:dyDescent="0.25">
      <c r="A13056" s="2">
        <v>13051</v>
      </c>
      <c r="B13056" s="3" t="str">
        <f>"00637374"</f>
        <v>00637374</v>
      </c>
    </row>
    <row r="13057" spans="1:2" x14ac:dyDescent="0.25">
      <c r="A13057" s="2">
        <v>13052</v>
      </c>
      <c r="B13057" s="3" t="str">
        <f>"00637441"</f>
        <v>00637441</v>
      </c>
    </row>
    <row r="13058" spans="1:2" x14ac:dyDescent="0.25">
      <c r="A13058" s="2">
        <v>13053</v>
      </c>
      <c r="B13058" s="3" t="str">
        <f>"00637468"</f>
        <v>00637468</v>
      </c>
    </row>
    <row r="13059" spans="1:2" x14ac:dyDescent="0.25">
      <c r="A13059" s="2">
        <v>13054</v>
      </c>
      <c r="B13059" s="3" t="str">
        <f>"00637835"</f>
        <v>00637835</v>
      </c>
    </row>
    <row r="13060" spans="1:2" x14ac:dyDescent="0.25">
      <c r="A13060" s="2">
        <v>13055</v>
      </c>
      <c r="B13060" s="3" t="str">
        <f>"00637848"</f>
        <v>00637848</v>
      </c>
    </row>
    <row r="13061" spans="1:2" x14ac:dyDescent="0.25">
      <c r="A13061" s="2">
        <v>13056</v>
      </c>
      <c r="B13061" s="3" t="str">
        <f>"00637952"</f>
        <v>00637952</v>
      </c>
    </row>
    <row r="13062" spans="1:2" x14ac:dyDescent="0.25">
      <c r="A13062" s="2">
        <v>13057</v>
      </c>
      <c r="B13062" s="3" t="str">
        <f>"00638105"</f>
        <v>00638105</v>
      </c>
    </row>
    <row r="13063" spans="1:2" x14ac:dyDescent="0.25">
      <c r="A13063" s="2">
        <v>13058</v>
      </c>
      <c r="B13063" s="3" t="str">
        <f>"00638232"</f>
        <v>00638232</v>
      </c>
    </row>
    <row r="13064" spans="1:2" x14ac:dyDescent="0.25">
      <c r="A13064" s="2">
        <v>13059</v>
      </c>
      <c r="B13064" s="3" t="str">
        <f>"00638269"</f>
        <v>00638269</v>
      </c>
    </row>
    <row r="13065" spans="1:2" x14ac:dyDescent="0.25">
      <c r="A13065" s="2">
        <v>13060</v>
      </c>
      <c r="B13065" s="3" t="str">
        <f>"00638356"</f>
        <v>00638356</v>
      </c>
    </row>
    <row r="13066" spans="1:2" x14ac:dyDescent="0.25">
      <c r="A13066" s="2">
        <v>13061</v>
      </c>
      <c r="B13066" s="3" t="str">
        <f>"00638511"</f>
        <v>00638511</v>
      </c>
    </row>
    <row r="13067" spans="1:2" x14ac:dyDescent="0.25">
      <c r="A13067" s="2">
        <v>13062</v>
      </c>
      <c r="B13067" s="3" t="str">
        <f>"00638529"</f>
        <v>00638529</v>
      </c>
    </row>
    <row r="13068" spans="1:2" x14ac:dyDescent="0.25">
      <c r="A13068" s="2">
        <v>13063</v>
      </c>
      <c r="B13068" s="3" t="str">
        <f>"00638633"</f>
        <v>00638633</v>
      </c>
    </row>
    <row r="13069" spans="1:2" x14ac:dyDescent="0.25">
      <c r="A13069" s="2">
        <v>13064</v>
      </c>
      <c r="B13069" s="3" t="str">
        <f>"00638800"</f>
        <v>00638800</v>
      </c>
    </row>
    <row r="13070" spans="1:2" x14ac:dyDescent="0.25">
      <c r="A13070" s="2">
        <v>13065</v>
      </c>
      <c r="B13070" s="3" t="str">
        <f>"00639063"</f>
        <v>00639063</v>
      </c>
    </row>
    <row r="13071" spans="1:2" x14ac:dyDescent="0.25">
      <c r="A13071" s="2">
        <v>13066</v>
      </c>
      <c r="B13071" s="3" t="str">
        <f>"00639069"</f>
        <v>00639069</v>
      </c>
    </row>
    <row r="13072" spans="1:2" x14ac:dyDescent="0.25">
      <c r="A13072" s="2">
        <v>13067</v>
      </c>
      <c r="B13072" s="3" t="str">
        <f>"00639109"</f>
        <v>00639109</v>
      </c>
    </row>
    <row r="13073" spans="1:2" x14ac:dyDescent="0.25">
      <c r="A13073" s="2">
        <v>13068</v>
      </c>
      <c r="B13073" s="3" t="str">
        <f>"00639134"</f>
        <v>00639134</v>
      </c>
    </row>
    <row r="13074" spans="1:2" x14ac:dyDescent="0.25">
      <c r="A13074" s="2">
        <v>13069</v>
      </c>
      <c r="B13074" s="3" t="str">
        <f>"00639166"</f>
        <v>00639166</v>
      </c>
    </row>
    <row r="13075" spans="1:2" x14ac:dyDescent="0.25">
      <c r="A13075" s="2">
        <v>13070</v>
      </c>
      <c r="B13075" s="3" t="str">
        <f>"00639323"</f>
        <v>00639323</v>
      </c>
    </row>
    <row r="13076" spans="1:2" x14ac:dyDescent="0.25">
      <c r="A13076" s="2">
        <v>13071</v>
      </c>
      <c r="B13076" s="3" t="str">
        <f>"00639403"</f>
        <v>00639403</v>
      </c>
    </row>
    <row r="13077" spans="1:2" x14ac:dyDescent="0.25">
      <c r="A13077" s="2">
        <v>13072</v>
      </c>
      <c r="B13077" s="3" t="str">
        <f>"00639443"</f>
        <v>00639443</v>
      </c>
    </row>
    <row r="13078" spans="1:2" x14ac:dyDescent="0.25">
      <c r="A13078" s="2">
        <v>13073</v>
      </c>
      <c r="B13078" s="3" t="str">
        <f>"00639578"</f>
        <v>00639578</v>
      </c>
    </row>
    <row r="13079" spans="1:2" x14ac:dyDescent="0.25">
      <c r="A13079" s="2">
        <v>13074</v>
      </c>
      <c r="B13079" s="3" t="str">
        <f>"00639609"</f>
        <v>00639609</v>
      </c>
    </row>
    <row r="13080" spans="1:2" x14ac:dyDescent="0.25">
      <c r="A13080" s="2">
        <v>13075</v>
      </c>
      <c r="B13080" s="3" t="str">
        <f>"00640027"</f>
        <v>00640027</v>
      </c>
    </row>
    <row r="13081" spans="1:2" x14ac:dyDescent="0.25">
      <c r="A13081" s="2">
        <v>13076</v>
      </c>
      <c r="B13081" s="3" t="str">
        <f>"00640035"</f>
        <v>00640035</v>
      </c>
    </row>
    <row r="13082" spans="1:2" x14ac:dyDescent="0.25">
      <c r="A13082" s="2">
        <v>13077</v>
      </c>
      <c r="B13082" s="3" t="str">
        <f>"00640063"</f>
        <v>00640063</v>
      </c>
    </row>
    <row r="13083" spans="1:2" x14ac:dyDescent="0.25">
      <c r="A13083" s="2">
        <v>13078</v>
      </c>
      <c r="B13083" s="3" t="str">
        <f>"00640134"</f>
        <v>00640134</v>
      </c>
    </row>
    <row r="13084" spans="1:2" x14ac:dyDescent="0.25">
      <c r="A13084" s="2">
        <v>13079</v>
      </c>
      <c r="B13084" s="3" t="str">
        <f>"00640190"</f>
        <v>00640190</v>
      </c>
    </row>
    <row r="13085" spans="1:2" x14ac:dyDescent="0.25">
      <c r="A13085" s="2">
        <v>13080</v>
      </c>
      <c r="B13085" s="3" t="str">
        <f>"00640757"</f>
        <v>00640757</v>
      </c>
    </row>
    <row r="13086" spans="1:2" x14ac:dyDescent="0.25">
      <c r="A13086" s="2">
        <v>13081</v>
      </c>
      <c r="B13086" s="3" t="str">
        <f>"00640781"</f>
        <v>00640781</v>
      </c>
    </row>
    <row r="13087" spans="1:2" x14ac:dyDescent="0.25">
      <c r="A13087" s="2">
        <v>13082</v>
      </c>
      <c r="B13087" s="3" t="str">
        <f>"00640830"</f>
        <v>00640830</v>
      </c>
    </row>
    <row r="13088" spans="1:2" x14ac:dyDescent="0.25">
      <c r="A13088" s="2">
        <v>13083</v>
      </c>
      <c r="B13088" s="3" t="str">
        <f>"00640934"</f>
        <v>00640934</v>
      </c>
    </row>
    <row r="13089" spans="1:2" x14ac:dyDescent="0.25">
      <c r="A13089" s="2">
        <v>13084</v>
      </c>
      <c r="B13089" s="3" t="str">
        <f>"00641140"</f>
        <v>00641140</v>
      </c>
    </row>
    <row r="13090" spans="1:2" x14ac:dyDescent="0.25">
      <c r="A13090" s="2">
        <v>13085</v>
      </c>
      <c r="B13090" s="3" t="str">
        <f>"00641403"</f>
        <v>00641403</v>
      </c>
    </row>
    <row r="13091" spans="1:2" x14ac:dyDescent="0.25">
      <c r="A13091" s="2">
        <v>13086</v>
      </c>
      <c r="B13091" s="3" t="str">
        <f>"00641573"</f>
        <v>00641573</v>
      </c>
    </row>
    <row r="13092" spans="1:2" x14ac:dyDescent="0.25">
      <c r="A13092" s="2">
        <v>13087</v>
      </c>
      <c r="B13092" s="3" t="str">
        <f>"00641601"</f>
        <v>00641601</v>
      </c>
    </row>
    <row r="13093" spans="1:2" x14ac:dyDescent="0.25">
      <c r="A13093" s="2">
        <v>13088</v>
      </c>
      <c r="B13093" s="3" t="str">
        <f>"00641661"</f>
        <v>00641661</v>
      </c>
    </row>
    <row r="13094" spans="1:2" x14ac:dyDescent="0.25">
      <c r="A13094" s="2">
        <v>13089</v>
      </c>
      <c r="B13094" s="3" t="str">
        <f>"00641839"</f>
        <v>00641839</v>
      </c>
    </row>
    <row r="13095" spans="1:2" x14ac:dyDescent="0.25">
      <c r="A13095" s="2">
        <v>13090</v>
      </c>
      <c r="B13095" s="3" t="str">
        <f>"00642054"</f>
        <v>00642054</v>
      </c>
    </row>
    <row r="13096" spans="1:2" x14ac:dyDescent="0.25">
      <c r="A13096" s="2">
        <v>13091</v>
      </c>
      <c r="B13096" s="3" t="str">
        <f>"00642376"</f>
        <v>00642376</v>
      </c>
    </row>
    <row r="13097" spans="1:2" x14ac:dyDescent="0.25">
      <c r="A13097" s="2">
        <v>13092</v>
      </c>
      <c r="B13097" s="3" t="str">
        <f>"00642469"</f>
        <v>00642469</v>
      </c>
    </row>
    <row r="13098" spans="1:2" x14ac:dyDescent="0.25">
      <c r="A13098" s="2">
        <v>13093</v>
      </c>
      <c r="B13098" s="3" t="str">
        <f>"00642532"</f>
        <v>00642532</v>
      </c>
    </row>
    <row r="13099" spans="1:2" x14ac:dyDescent="0.25">
      <c r="A13099" s="2">
        <v>13094</v>
      </c>
      <c r="B13099" s="3" t="str">
        <f>"00642803"</f>
        <v>00642803</v>
      </c>
    </row>
    <row r="13100" spans="1:2" x14ac:dyDescent="0.25">
      <c r="A13100" s="2">
        <v>13095</v>
      </c>
      <c r="B13100" s="3" t="str">
        <f>"00642824"</f>
        <v>00642824</v>
      </c>
    </row>
    <row r="13101" spans="1:2" x14ac:dyDescent="0.25">
      <c r="A13101" s="2">
        <v>13096</v>
      </c>
      <c r="B13101" s="3" t="str">
        <f>"00642987"</f>
        <v>00642987</v>
      </c>
    </row>
    <row r="13102" spans="1:2" x14ac:dyDescent="0.25">
      <c r="A13102" s="2">
        <v>13097</v>
      </c>
      <c r="B13102" s="3" t="str">
        <f>"00642996"</f>
        <v>00642996</v>
      </c>
    </row>
    <row r="13103" spans="1:2" x14ac:dyDescent="0.25">
      <c r="A13103" s="2">
        <v>13098</v>
      </c>
      <c r="B13103" s="3" t="str">
        <f>"00643070"</f>
        <v>00643070</v>
      </c>
    </row>
    <row r="13104" spans="1:2" x14ac:dyDescent="0.25">
      <c r="A13104" s="2">
        <v>13099</v>
      </c>
      <c r="B13104" s="3" t="str">
        <f>"00643234"</f>
        <v>00643234</v>
      </c>
    </row>
    <row r="13105" spans="1:2" x14ac:dyDescent="0.25">
      <c r="A13105" s="2">
        <v>13100</v>
      </c>
      <c r="B13105" s="3" t="str">
        <f>"00643295"</f>
        <v>00643295</v>
      </c>
    </row>
    <row r="13106" spans="1:2" x14ac:dyDescent="0.25">
      <c r="A13106" s="2">
        <v>13101</v>
      </c>
      <c r="B13106" s="3" t="str">
        <f>"00643336"</f>
        <v>00643336</v>
      </c>
    </row>
    <row r="13107" spans="1:2" x14ac:dyDescent="0.25">
      <c r="A13107" s="2">
        <v>13102</v>
      </c>
      <c r="B13107" s="3" t="str">
        <f>"00643388"</f>
        <v>00643388</v>
      </c>
    </row>
    <row r="13108" spans="1:2" x14ac:dyDescent="0.25">
      <c r="A13108" s="2">
        <v>13103</v>
      </c>
      <c r="B13108" s="3" t="str">
        <f>"00643546"</f>
        <v>00643546</v>
      </c>
    </row>
    <row r="13109" spans="1:2" x14ac:dyDescent="0.25">
      <c r="A13109" s="2">
        <v>13104</v>
      </c>
      <c r="B13109" s="3" t="str">
        <f>"00643703"</f>
        <v>00643703</v>
      </c>
    </row>
    <row r="13110" spans="1:2" x14ac:dyDescent="0.25">
      <c r="A13110" s="2">
        <v>13105</v>
      </c>
      <c r="B13110" s="3" t="str">
        <f>"00643781"</f>
        <v>00643781</v>
      </c>
    </row>
    <row r="13111" spans="1:2" x14ac:dyDescent="0.25">
      <c r="A13111" s="2">
        <v>13106</v>
      </c>
      <c r="B13111" s="3" t="str">
        <f>"00643845"</f>
        <v>00643845</v>
      </c>
    </row>
    <row r="13112" spans="1:2" x14ac:dyDescent="0.25">
      <c r="A13112" s="2">
        <v>13107</v>
      </c>
      <c r="B13112" s="3" t="str">
        <f>"00643914"</f>
        <v>00643914</v>
      </c>
    </row>
    <row r="13113" spans="1:2" x14ac:dyDescent="0.25">
      <c r="A13113" s="2">
        <v>13108</v>
      </c>
      <c r="B13113" s="3" t="str">
        <f>"00643925"</f>
        <v>00643925</v>
      </c>
    </row>
    <row r="13114" spans="1:2" x14ac:dyDescent="0.25">
      <c r="A13114" s="2">
        <v>13109</v>
      </c>
      <c r="B13114" s="3" t="str">
        <f>"00643993"</f>
        <v>00643993</v>
      </c>
    </row>
    <row r="13115" spans="1:2" x14ac:dyDescent="0.25">
      <c r="A13115" s="2">
        <v>13110</v>
      </c>
      <c r="B13115" s="3" t="str">
        <f>"00644000"</f>
        <v>00644000</v>
      </c>
    </row>
    <row r="13116" spans="1:2" x14ac:dyDescent="0.25">
      <c r="A13116" s="2">
        <v>13111</v>
      </c>
      <c r="B13116" s="3" t="str">
        <f>"00644082"</f>
        <v>00644082</v>
      </c>
    </row>
    <row r="13117" spans="1:2" x14ac:dyDescent="0.25">
      <c r="A13117" s="2">
        <v>13112</v>
      </c>
      <c r="B13117" s="3" t="str">
        <f>"00644144"</f>
        <v>00644144</v>
      </c>
    </row>
    <row r="13118" spans="1:2" x14ac:dyDescent="0.25">
      <c r="A13118" s="2">
        <v>13113</v>
      </c>
      <c r="B13118" s="3" t="str">
        <f>"00644174"</f>
        <v>00644174</v>
      </c>
    </row>
    <row r="13119" spans="1:2" x14ac:dyDescent="0.25">
      <c r="A13119" s="2">
        <v>13114</v>
      </c>
      <c r="B13119" s="3" t="str">
        <f>"00644247"</f>
        <v>00644247</v>
      </c>
    </row>
    <row r="13120" spans="1:2" x14ac:dyDescent="0.25">
      <c r="A13120" s="2">
        <v>13115</v>
      </c>
      <c r="B13120" s="3" t="str">
        <f>"00644270"</f>
        <v>00644270</v>
      </c>
    </row>
    <row r="13121" spans="1:2" x14ac:dyDescent="0.25">
      <c r="A13121" s="2">
        <v>13116</v>
      </c>
      <c r="B13121" s="3" t="str">
        <f>"00644342"</f>
        <v>00644342</v>
      </c>
    </row>
    <row r="13122" spans="1:2" x14ac:dyDescent="0.25">
      <c r="A13122" s="2">
        <v>13117</v>
      </c>
      <c r="B13122" s="3" t="str">
        <f>"00644364"</f>
        <v>00644364</v>
      </c>
    </row>
    <row r="13123" spans="1:2" x14ac:dyDescent="0.25">
      <c r="A13123" s="2">
        <v>13118</v>
      </c>
      <c r="B13123" s="3" t="str">
        <f>"00644386"</f>
        <v>00644386</v>
      </c>
    </row>
    <row r="13124" spans="1:2" x14ac:dyDescent="0.25">
      <c r="A13124" s="2">
        <v>13119</v>
      </c>
      <c r="B13124" s="3" t="str">
        <f>"00644622"</f>
        <v>00644622</v>
      </c>
    </row>
    <row r="13125" spans="1:2" x14ac:dyDescent="0.25">
      <c r="A13125" s="2">
        <v>13120</v>
      </c>
      <c r="B13125" s="3" t="str">
        <f>"00644635"</f>
        <v>00644635</v>
      </c>
    </row>
    <row r="13126" spans="1:2" x14ac:dyDescent="0.25">
      <c r="A13126" s="2">
        <v>13121</v>
      </c>
      <c r="B13126" s="3" t="str">
        <f>"00644709"</f>
        <v>00644709</v>
      </c>
    </row>
    <row r="13127" spans="1:2" x14ac:dyDescent="0.25">
      <c r="A13127" s="2">
        <v>13122</v>
      </c>
      <c r="B13127" s="3" t="str">
        <f>"00644726"</f>
        <v>00644726</v>
      </c>
    </row>
    <row r="13128" spans="1:2" x14ac:dyDescent="0.25">
      <c r="A13128" s="2">
        <v>13123</v>
      </c>
      <c r="B13128" s="3" t="str">
        <f>"00645901"</f>
        <v>00645901</v>
      </c>
    </row>
    <row r="13129" spans="1:2" x14ac:dyDescent="0.25">
      <c r="A13129" s="2">
        <v>13124</v>
      </c>
      <c r="B13129" s="3" t="str">
        <f>"00646014"</f>
        <v>00646014</v>
      </c>
    </row>
    <row r="13130" spans="1:2" x14ac:dyDescent="0.25">
      <c r="A13130" s="2">
        <v>13125</v>
      </c>
      <c r="B13130" s="3" t="str">
        <f>"00646164"</f>
        <v>00646164</v>
      </c>
    </row>
    <row r="13131" spans="1:2" x14ac:dyDescent="0.25">
      <c r="A13131" s="2">
        <v>13126</v>
      </c>
      <c r="B13131" s="3" t="str">
        <f>"00646189"</f>
        <v>00646189</v>
      </c>
    </row>
    <row r="13132" spans="1:2" x14ac:dyDescent="0.25">
      <c r="A13132" s="2">
        <v>13127</v>
      </c>
      <c r="B13132" s="3" t="str">
        <f>"00646230"</f>
        <v>00646230</v>
      </c>
    </row>
    <row r="13133" spans="1:2" x14ac:dyDescent="0.25">
      <c r="A13133" s="2">
        <v>13128</v>
      </c>
      <c r="B13133" s="3" t="str">
        <f>"00646449"</f>
        <v>00646449</v>
      </c>
    </row>
    <row r="13134" spans="1:2" x14ac:dyDescent="0.25">
      <c r="A13134" s="2">
        <v>13129</v>
      </c>
      <c r="B13134" s="3" t="str">
        <f>"00647263"</f>
        <v>00647263</v>
      </c>
    </row>
    <row r="13135" spans="1:2" x14ac:dyDescent="0.25">
      <c r="A13135" s="2">
        <v>13130</v>
      </c>
      <c r="B13135" s="3" t="str">
        <f>"00647333"</f>
        <v>00647333</v>
      </c>
    </row>
    <row r="13136" spans="1:2" x14ac:dyDescent="0.25">
      <c r="A13136" s="2">
        <v>13131</v>
      </c>
      <c r="B13136" s="3" t="str">
        <f>"00647390"</f>
        <v>00647390</v>
      </c>
    </row>
    <row r="13137" spans="1:2" x14ac:dyDescent="0.25">
      <c r="A13137" s="2">
        <v>13132</v>
      </c>
      <c r="B13137" s="3" t="str">
        <f>"00647460"</f>
        <v>00647460</v>
      </c>
    </row>
    <row r="13138" spans="1:2" x14ac:dyDescent="0.25">
      <c r="A13138" s="2">
        <v>13133</v>
      </c>
      <c r="B13138" s="3" t="str">
        <f>"00647495"</f>
        <v>00647495</v>
      </c>
    </row>
    <row r="13139" spans="1:2" x14ac:dyDescent="0.25">
      <c r="A13139" s="2">
        <v>13134</v>
      </c>
      <c r="B13139" s="3" t="str">
        <f>"00647593"</f>
        <v>00647593</v>
      </c>
    </row>
    <row r="13140" spans="1:2" x14ac:dyDescent="0.25">
      <c r="A13140" s="2">
        <v>13135</v>
      </c>
      <c r="B13140" s="3" t="str">
        <f>"00647676"</f>
        <v>00647676</v>
      </c>
    </row>
    <row r="13141" spans="1:2" x14ac:dyDescent="0.25">
      <c r="A13141" s="2">
        <v>13136</v>
      </c>
      <c r="B13141" s="3" t="str">
        <f>"00647766"</f>
        <v>00647766</v>
      </c>
    </row>
    <row r="13142" spans="1:2" x14ac:dyDescent="0.25">
      <c r="A13142" s="2">
        <v>13137</v>
      </c>
      <c r="B13142" s="3" t="str">
        <f>"00647882"</f>
        <v>00647882</v>
      </c>
    </row>
    <row r="13143" spans="1:2" x14ac:dyDescent="0.25">
      <c r="A13143" s="2">
        <v>13138</v>
      </c>
      <c r="B13143" s="3" t="str">
        <f>"00647892"</f>
        <v>00647892</v>
      </c>
    </row>
    <row r="13144" spans="1:2" x14ac:dyDescent="0.25">
      <c r="A13144" s="2">
        <v>13139</v>
      </c>
      <c r="B13144" s="3" t="str">
        <f>"00647945"</f>
        <v>00647945</v>
      </c>
    </row>
    <row r="13145" spans="1:2" x14ac:dyDescent="0.25">
      <c r="A13145" s="2">
        <v>13140</v>
      </c>
      <c r="B13145" s="3" t="str">
        <f>"00647983"</f>
        <v>00647983</v>
      </c>
    </row>
    <row r="13146" spans="1:2" x14ac:dyDescent="0.25">
      <c r="A13146" s="2">
        <v>13141</v>
      </c>
      <c r="B13146" s="3" t="str">
        <f>"00647985"</f>
        <v>00647985</v>
      </c>
    </row>
    <row r="13147" spans="1:2" x14ac:dyDescent="0.25">
      <c r="A13147" s="2">
        <v>13142</v>
      </c>
      <c r="B13147" s="3" t="str">
        <f>"00648016"</f>
        <v>00648016</v>
      </c>
    </row>
    <row r="13148" spans="1:2" x14ac:dyDescent="0.25">
      <c r="A13148" s="2">
        <v>13143</v>
      </c>
      <c r="B13148" s="3" t="str">
        <f>"00648053"</f>
        <v>00648053</v>
      </c>
    </row>
    <row r="13149" spans="1:2" x14ac:dyDescent="0.25">
      <c r="A13149" s="2">
        <v>13144</v>
      </c>
      <c r="B13149" s="3" t="str">
        <f>"00648098"</f>
        <v>00648098</v>
      </c>
    </row>
    <row r="13150" spans="1:2" x14ac:dyDescent="0.25">
      <c r="A13150" s="2">
        <v>13145</v>
      </c>
      <c r="B13150" s="3" t="str">
        <f>"00648102"</f>
        <v>00648102</v>
      </c>
    </row>
    <row r="13151" spans="1:2" x14ac:dyDescent="0.25">
      <c r="A13151" s="2">
        <v>13146</v>
      </c>
      <c r="B13151" s="3" t="str">
        <f>"00648132"</f>
        <v>00648132</v>
      </c>
    </row>
    <row r="13152" spans="1:2" x14ac:dyDescent="0.25">
      <c r="A13152" s="2">
        <v>13147</v>
      </c>
      <c r="B13152" s="3" t="str">
        <f>"00648171"</f>
        <v>00648171</v>
      </c>
    </row>
    <row r="13153" spans="1:2" x14ac:dyDescent="0.25">
      <c r="A13153" s="2">
        <v>13148</v>
      </c>
      <c r="B13153" s="3" t="str">
        <f>"00648199"</f>
        <v>00648199</v>
      </c>
    </row>
    <row r="13154" spans="1:2" x14ac:dyDescent="0.25">
      <c r="A13154" s="2">
        <v>13149</v>
      </c>
      <c r="B13154" s="3" t="str">
        <f>"00648429"</f>
        <v>00648429</v>
      </c>
    </row>
    <row r="13155" spans="1:2" x14ac:dyDescent="0.25">
      <c r="A13155" s="2">
        <v>13150</v>
      </c>
      <c r="B13155" s="3" t="str">
        <f>"00648484"</f>
        <v>00648484</v>
      </c>
    </row>
    <row r="13156" spans="1:2" x14ac:dyDescent="0.25">
      <c r="A13156" s="2">
        <v>13151</v>
      </c>
      <c r="B13156" s="3" t="str">
        <f>"00648568"</f>
        <v>00648568</v>
      </c>
    </row>
    <row r="13157" spans="1:2" x14ac:dyDescent="0.25">
      <c r="A13157" s="2">
        <v>13152</v>
      </c>
      <c r="B13157" s="3" t="str">
        <f>"00648607"</f>
        <v>00648607</v>
      </c>
    </row>
    <row r="13158" spans="1:2" x14ac:dyDescent="0.25">
      <c r="A13158" s="2">
        <v>13153</v>
      </c>
      <c r="B13158" s="3" t="str">
        <f>"00648771"</f>
        <v>00648771</v>
      </c>
    </row>
    <row r="13159" spans="1:2" x14ac:dyDescent="0.25">
      <c r="A13159" s="2">
        <v>13154</v>
      </c>
      <c r="B13159" s="3" t="str">
        <f>"00648851"</f>
        <v>00648851</v>
      </c>
    </row>
    <row r="13160" spans="1:2" x14ac:dyDescent="0.25">
      <c r="A13160" s="2">
        <v>13155</v>
      </c>
      <c r="B13160" s="3" t="str">
        <f>"00648873"</f>
        <v>00648873</v>
      </c>
    </row>
    <row r="13161" spans="1:2" x14ac:dyDescent="0.25">
      <c r="A13161" s="2">
        <v>13156</v>
      </c>
      <c r="B13161" s="3" t="str">
        <f>"00648891"</f>
        <v>00648891</v>
      </c>
    </row>
    <row r="13162" spans="1:2" x14ac:dyDescent="0.25">
      <c r="A13162" s="2">
        <v>13157</v>
      </c>
      <c r="B13162" s="3" t="str">
        <f>"00648935"</f>
        <v>00648935</v>
      </c>
    </row>
    <row r="13163" spans="1:2" x14ac:dyDescent="0.25">
      <c r="A13163" s="2">
        <v>13158</v>
      </c>
      <c r="B13163" s="3" t="str">
        <f>"00648950"</f>
        <v>00648950</v>
      </c>
    </row>
    <row r="13164" spans="1:2" x14ac:dyDescent="0.25">
      <c r="A13164" s="2">
        <v>13159</v>
      </c>
      <c r="B13164" s="3" t="str">
        <f>"00648965"</f>
        <v>00648965</v>
      </c>
    </row>
    <row r="13165" spans="1:2" x14ac:dyDescent="0.25">
      <c r="A13165" s="2">
        <v>13160</v>
      </c>
      <c r="B13165" s="3" t="str">
        <f>"00648992"</f>
        <v>00648992</v>
      </c>
    </row>
    <row r="13166" spans="1:2" x14ac:dyDescent="0.25">
      <c r="A13166" s="2">
        <v>13161</v>
      </c>
      <c r="B13166" s="3" t="str">
        <f>"00649070"</f>
        <v>00649070</v>
      </c>
    </row>
    <row r="13167" spans="1:2" x14ac:dyDescent="0.25">
      <c r="A13167" s="2">
        <v>13162</v>
      </c>
      <c r="B13167" s="3" t="str">
        <f>"00649200"</f>
        <v>00649200</v>
      </c>
    </row>
    <row r="13168" spans="1:2" x14ac:dyDescent="0.25">
      <c r="A13168" s="2">
        <v>13163</v>
      </c>
      <c r="B13168" s="3" t="str">
        <f>"00649231"</f>
        <v>00649231</v>
      </c>
    </row>
    <row r="13169" spans="1:2" x14ac:dyDescent="0.25">
      <c r="A13169" s="2">
        <v>13164</v>
      </c>
      <c r="B13169" s="3" t="str">
        <f>"00649270"</f>
        <v>00649270</v>
      </c>
    </row>
    <row r="13170" spans="1:2" x14ac:dyDescent="0.25">
      <c r="A13170" s="2">
        <v>13165</v>
      </c>
      <c r="B13170" s="3" t="str">
        <f>"00649276"</f>
        <v>00649276</v>
      </c>
    </row>
    <row r="13171" spans="1:2" x14ac:dyDescent="0.25">
      <c r="A13171" s="2">
        <v>13166</v>
      </c>
      <c r="B13171" s="3" t="str">
        <f>"00649361"</f>
        <v>00649361</v>
      </c>
    </row>
    <row r="13172" spans="1:2" x14ac:dyDescent="0.25">
      <c r="A13172" s="2">
        <v>13167</v>
      </c>
      <c r="B13172" s="3" t="str">
        <f>"00649547"</f>
        <v>00649547</v>
      </c>
    </row>
    <row r="13173" spans="1:2" x14ac:dyDescent="0.25">
      <c r="A13173" s="2">
        <v>13168</v>
      </c>
      <c r="B13173" s="3" t="str">
        <f>"00649570"</f>
        <v>00649570</v>
      </c>
    </row>
    <row r="13174" spans="1:2" x14ac:dyDescent="0.25">
      <c r="A13174" s="2">
        <v>13169</v>
      </c>
      <c r="B13174" s="3" t="str">
        <f>"00649608"</f>
        <v>00649608</v>
      </c>
    </row>
    <row r="13175" spans="1:2" x14ac:dyDescent="0.25">
      <c r="A13175" s="2">
        <v>13170</v>
      </c>
      <c r="B13175" s="3" t="str">
        <f>"00649663"</f>
        <v>00649663</v>
      </c>
    </row>
    <row r="13176" spans="1:2" x14ac:dyDescent="0.25">
      <c r="A13176" s="2">
        <v>13171</v>
      </c>
      <c r="B13176" s="3" t="str">
        <f>"00649736"</f>
        <v>00649736</v>
      </c>
    </row>
    <row r="13177" spans="1:2" x14ac:dyDescent="0.25">
      <c r="A13177" s="2">
        <v>13172</v>
      </c>
      <c r="B13177" s="3" t="str">
        <f>"00649742"</f>
        <v>00649742</v>
      </c>
    </row>
    <row r="13178" spans="1:2" x14ac:dyDescent="0.25">
      <c r="A13178" s="2">
        <v>13173</v>
      </c>
      <c r="B13178" s="3" t="str">
        <f>"00649765"</f>
        <v>00649765</v>
      </c>
    </row>
    <row r="13179" spans="1:2" x14ac:dyDescent="0.25">
      <c r="A13179" s="2">
        <v>13174</v>
      </c>
      <c r="B13179" s="3" t="str">
        <f>"00649797"</f>
        <v>00649797</v>
      </c>
    </row>
    <row r="13180" spans="1:2" x14ac:dyDescent="0.25">
      <c r="A13180" s="2">
        <v>13175</v>
      </c>
      <c r="B13180" s="3" t="str">
        <f>"00649929"</f>
        <v>00649929</v>
      </c>
    </row>
    <row r="13181" spans="1:2" x14ac:dyDescent="0.25">
      <c r="A13181" s="2">
        <v>13176</v>
      </c>
      <c r="B13181" s="3" t="str">
        <f>"00649960"</f>
        <v>00649960</v>
      </c>
    </row>
    <row r="13182" spans="1:2" x14ac:dyDescent="0.25">
      <c r="A13182" s="2">
        <v>13177</v>
      </c>
      <c r="B13182" s="3" t="str">
        <f>"00649963"</f>
        <v>00649963</v>
      </c>
    </row>
    <row r="13183" spans="1:2" x14ac:dyDescent="0.25">
      <c r="A13183" s="2">
        <v>13178</v>
      </c>
      <c r="B13183" s="3" t="str">
        <f>"00649975"</f>
        <v>00649975</v>
      </c>
    </row>
    <row r="13184" spans="1:2" x14ac:dyDescent="0.25">
      <c r="A13184" s="2">
        <v>13179</v>
      </c>
      <c r="B13184" s="3" t="str">
        <f>"00650037"</f>
        <v>00650037</v>
      </c>
    </row>
    <row r="13185" spans="1:2" x14ac:dyDescent="0.25">
      <c r="A13185" s="2">
        <v>13180</v>
      </c>
      <c r="B13185" s="3" t="str">
        <f>"00650117"</f>
        <v>00650117</v>
      </c>
    </row>
    <row r="13186" spans="1:2" x14ac:dyDescent="0.25">
      <c r="A13186" s="2">
        <v>13181</v>
      </c>
      <c r="B13186" s="3" t="str">
        <f>"00650209"</f>
        <v>00650209</v>
      </c>
    </row>
    <row r="13187" spans="1:2" x14ac:dyDescent="0.25">
      <c r="A13187" s="2">
        <v>13182</v>
      </c>
      <c r="B13187" s="3" t="str">
        <f>"00650235"</f>
        <v>00650235</v>
      </c>
    </row>
    <row r="13188" spans="1:2" x14ac:dyDescent="0.25">
      <c r="A13188" s="2">
        <v>13183</v>
      </c>
      <c r="B13188" s="3" t="str">
        <f>"00650243"</f>
        <v>00650243</v>
      </c>
    </row>
    <row r="13189" spans="1:2" x14ac:dyDescent="0.25">
      <c r="A13189" s="2">
        <v>13184</v>
      </c>
      <c r="B13189" s="3" t="str">
        <f>"00650340"</f>
        <v>00650340</v>
      </c>
    </row>
    <row r="13190" spans="1:2" x14ac:dyDescent="0.25">
      <c r="A13190" s="2">
        <v>13185</v>
      </c>
      <c r="B13190" s="3" t="str">
        <f>"00650366"</f>
        <v>00650366</v>
      </c>
    </row>
    <row r="13191" spans="1:2" x14ac:dyDescent="0.25">
      <c r="A13191" s="2">
        <v>13186</v>
      </c>
      <c r="B13191" s="3" t="str">
        <f>"00650663"</f>
        <v>00650663</v>
      </c>
    </row>
    <row r="13192" spans="1:2" x14ac:dyDescent="0.25">
      <c r="A13192" s="2">
        <v>13187</v>
      </c>
      <c r="B13192" s="3" t="str">
        <f>"00650745"</f>
        <v>00650745</v>
      </c>
    </row>
    <row r="13193" spans="1:2" x14ac:dyDescent="0.25">
      <c r="A13193" s="2">
        <v>13188</v>
      </c>
      <c r="B13193" s="3" t="str">
        <f>"00650779"</f>
        <v>00650779</v>
      </c>
    </row>
    <row r="13194" spans="1:2" x14ac:dyDescent="0.25">
      <c r="A13194" s="2">
        <v>13189</v>
      </c>
      <c r="B13194" s="3" t="str">
        <f>"00650824"</f>
        <v>00650824</v>
      </c>
    </row>
    <row r="13195" spans="1:2" x14ac:dyDescent="0.25">
      <c r="A13195" s="2">
        <v>13190</v>
      </c>
      <c r="B13195" s="3" t="str">
        <f>"00650829"</f>
        <v>00650829</v>
      </c>
    </row>
    <row r="13196" spans="1:2" x14ac:dyDescent="0.25">
      <c r="A13196" s="2">
        <v>13191</v>
      </c>
      <c r="B13196" s="3" t="str">
        <f>"00650942"</f>
        <v>00650942</v>
      </c>
    </row>
    <row r="13197" spans="1:2" x14ac:dyDescent="0.25">
      <c r="A13197" s="2">
        <v>13192</v>
      </c>
      <c r="B13197" s="3" t="str">
        <f>"00650993"</f>
        <v>00650993</v>
      </c>
    </row>
    <row r="13198" spans="1:2" x14ac:dyDescent="0.25">
      <c r="A13198" s="2">
        <v>13193</v>
      </c>
      <c r="B13198" s="3" t="str">
        <f>"00651075"</f>
        <v>00651075</v>
      </c>
    </row>
    <row r="13199" spans="1:2" x14ac:dyDescent="0.25">
      <c r="A13199" s="2">
        <v>13194</v>
      </c>
      <c r="B13199" s="3" t="str">
        <f>"00651087"</f>
        <v>00651087</v>
      </c>
    </row>
    <row r="13200" spans="1:2" x14ac:dyDescent="0.25">
      <c r="A13200" s="2">
        <v>13195</v>
      </c>
      <c r="B13200" s="3" t="str">
        <f>"00651140"</f>
        <v>00651140</v>
      </c>
    </row>
    <row r="13201" spans="1:2" x14ac:dyDescent="0.25">
      <c r="A13201" s="2">
        <v>13196</v>
      </c>
      <c r="B13201" s="3" t="str">
        <f>"00651290"</f>
        <v>00651290</v>
      </c>
    </row>
    <row r="13202" spans="1:2" x14ac:dyDescent="0.25">
      <c r="A13202" s="2">
        <v>13197</v>
      </c>
      <c r="B13202" s="3" t="str">
        <f>"00651354"</f>
        <v>00651354</v>
      </c>
    </row>
    <row r="13203" spans="1:2" x14ac:dyDescent="0.25">
      <c r="A13203" s="2">
        <v>13198</v>
      </c>
      <c r="B13203" s="3" t="str">
        <f>"00651421"</f>
        <v>00651421</v>
      </c>
    </row>
    <row r="13204" spans="1:2" x14ac:dyDescent="0.25">
      <c r="A13204" s="2">
        <v>13199</v>
      </c>
      <c r="B13204" s="3" t="str">
        <f>"00651444"</f>
        <v>00651444</v>
      </c>
    </row>
    <row r="13205" spans="1:2" x14ac:dyDescent="0.25">
      <c r="A13205" s="2">
        <v>13200</v>
      </c>
      <c r="B13205" s="3" t="str">
        <f>"00651472"</f>
        <v>00651472</v>
      </c>
    </row>
    <row r="13206" spans="1:2" x14ac:dyDescent="0.25">
      <c r="A13206" s="2">
        <v>13201</v>
      </c>
      <c r="B13206" s="3" t="str">
        <f>"00651584"</f>
        <v>00651584</v>
      </c>
    </row>
    <row r="13207" spans="1:2" x14ac:dyDescent="0.25">
      <c r="A13207" s="2">
        <v>13202</v>
      </c>
      <c r="B13207" s="3" t="str">
        <f>"00651586"</f>
        <v>00651586</v>
      </c>
    </row>
    <row r="13208" spans="1:2" x14ac:dyDescent="0.25">
      <c r="A13208" s="2">
        <v>13203</v>
      </c>
      <c r="B13208" s="3" t="str">
        <f>"00651636"</f>
        <v>00651636</v>
      </c>
    </row>
    <row r="13209" spans="1:2" x14ac:dyDescent="0.25">
      <c r="A13209" s="2">
        <v>13204</v>
      </c>
      <c r="B13209" s="3" t="str">
        <f>"00652032"</f>
        <v>00652032</v>
      </c>
    </row>
    <row r="13210" spans="1:2" x14ac:dyDescent="0.25">
      <c r="A13210" s="2">
        <v>13205</v>
      </c>
      <c r="B13210" s="3" t="str">
        <f>"00652075"</f>
        <v>00652075</v>
      </c>
    </row>
    <row r="13211" spans="1:2" x14ac:dyDescent="0.25">
      <c r="A13211" s="2">
        <v>13206</v>
      </c>
      <c r="B13211" s="3" t="str">
        <f>"00652201"</f>
        <v>00652201</v>
      </c>
    </row>
    <row r="13212" spans="1:2" x14ac:dyDescent="0.25">
      <c r="A13212" s="2">
        <v>13207</v>
      </c>
      <c r="B13212" s="3" t="str">
        <f>"00652254"</f>
        <v>00652254</v>
      </c>
    </row>
    <row r="13213" spans="1:2" x14ac:dyDescent="0.25">
      <c r="A13213" s="2">
        <v>13208</v>
      </c>
      <c r="B13213" s="3" t="str">
        <f>"00652255"</f>
        <v>00652255</v>
      </c>
    </row>
    <row r="13214" spans="1:2" x14ac:dyDescent="0.25">
      <c r="A13214" s="2">
        <v>13209</v>
      </c>
      <c r="B13214" s="3" t="str">
        <f>"00652262"</f>
        <v>00652262</v>
      </c>
    </row>
    <row r="13215" spans="1:2" x14ac:dyDescent="0.25">
      <c r="A13215" s="2">
        <v>13210</v>
      </c>
      <c r="B13215" s="3" t="str">
        <f>"00652340"</f>
        <v>00652340</v>
      </c>
    </row>
    <row r="13216" spans="1:2" x14ac:dyDescent="0.25">
      <c r="A13216" s="2">
        <v>13211</v>
      </c>
      <c r="B13216" s="3" t="str">
        <f>"00652348"</f>
        <v>00652348</v>
      </c>
    </row>
    <row r="13217" spans="1:2" x14ac:dyDescent="0.25">
      <c r="A13217" s="2">
        <v>13212</v>
      </c>
      <c r="B13217" s="3" t="str">
        <f>"00652355"</f>
        <v>00652355</v>
      </c>
    </row>
    <row r="13218" spans="1:2" x14ac:dyDescent="0.25">
      <c r="A13218" s="2">
        <v>13213</v>
      </c>
      <c r="B13218" s="3" t="str">
        <f>"00652374"</f>
        <v>00652374</v>
      </c>
    </row>
    <row r="13219" spans="1:2" x14ac:dyDescent="0.25">
      <c r="A13219" s="2">
        <v>13214</v>
      </c>
      <c r="B13219" s="3" t="str">
        <f>"00652449"</f>
        <v>00652449</v>
      </c>
    </row>
    <row r="13220" spans="1:2" x14ac:dyDescent="0.25">
      <c r="A13220" s="2">
        <v>13215</v>
      </c>
      <c r="B13220" s="3" t="str">
        <f>"00652487"</f>
        <v>00652487</v>
      </c>
    </row>
    <row r="13221" spans="1:2" x14ac:dyDescent="0.25">
      <c r="A13221" s="2">
        <v>13216</v>
      </c>
      <c r="B13221" s="3" t="str">
        <f>"00652628"</f>
        <v>00652628</v>
      </c>
    </row>
    <row r="13222" spans="1:2" x14ac:dyDescent="0.25">
      <c r="A13222" s="2">
        <v>13217</v>
      </c>
      <c r="B13222" s="3" t="str">
        <f>"00652629"</f>
        <v>00652629</v>
      </c>
    </row>
    <row r="13223" spans="1:2" x14ac:dyDescent="0.25">
      <c r="A13223" s="2">
        <v>13218</v>
      </c>
      <c r="B13223" s="3" t="str">
        <f>"00652686"</f>
        <v>00652686</v>
      </c>
    </row>
    <row r="13224" spans="1:2" x14ac:dyDescent="0.25">
      <c r="A13224" s="2">
        <v>13219</v>
      </c>
      <c r="B13224" s="3" t="str">
        <f>"00652764"</f>
        <v>00652764</v>
      </c>
    </row>
    <row r="13225" spans="1:2" x14ac:dyDescent="0.25">
      <c r="A13225" s="2">
        <v>13220</v>
      </c>
      <c r="B13225" s="3" t="str">
        <f>"00652766"</f>
        <v>00652766</v>
      </c>
    </row>
    <row r="13226" spans="1:2" x14ac:dyDescent="0.25">
      <c r="A13226" s="2">
        <v>13221</v>
      </c>
      <c r="B13226" s="3" t="str">
        <f>"00652767"</f>
        <v>00652767</v>
      </c>
    </row>
    <row r="13227" spans="1:2" x14ac:dyDescent="0.25">
      <c r="A13227" s="2">
        <v>13222</v>
      </c>
      <c r="B13227" s="3" t="str">
        <f>"00652782"</f>
        <v>00652782</v>
      </c>
    </row>
    <row r="13228" spans="1:2" x14ac:dyDescent="0.25">
      <c r="A13228" s="2">
        <v>13223</v>
      </c>
      <c r="B13228" s="3" t="str">
        <f>"00652810"</f>
        <v>00652810</v>
      </c>
    </row>
    <row r="13229" spans="1:2" x14ac:dyDescent="0.25">
      <c r="A13229" s="2">
        <v>13224</v>
      </c>
      <c r="B13229" s="3" t="str">
        <f>"00652832"</f>
        <v>00652832</v>
      </c>
    </row>
    <row r="13230" spans="1:2" x14ac:dyDescent="0.25">
      <c r="A13230" s="2">
        <v>13225</v>
      </c>
      <c r="B13230" s="3" t="str">
        <f>"00652860"</f>
        <v>00652860</v>
      </c>
    </row>
    <row r="13231" spans="1:2" x14ac:dyDescent="0.25">
      <c r="A13231" s="2">
        <v>13226</v>
      </c>
      <c r="B13231" s="3" t="str">
        <f>"00652939"</f>
        <v>00652939</v>
      </c>
    </row>
    <row r="13232" spans="1:2" x14ac:dyDescent="0.25">
      <c r="A13232" s="2">
        <v>13227</v>
      </c>
      <c r="B13232" s="3" t="str">
        <f>"00652944"</f>
        <v>00652944</v>
      </c>
    </row>
    <row r="13233" spans="1:2" x14ac:dyDescent="0.25">
      <c r="A13233" s="2">
        <v>13228</v>
      </c>
      <c r="B13233" s="3" t="str">
        <f>"00653028"</f>
        <v>00653028</v>
      </c>
    </row>
    <row r="13234" spans="1:2" x14ac:dyDescent="0.25">
      <c r="A13234" s="2">
        <v>13229</v>
      </c>
      <c r="B13234" s="3" t="str">
        <f>"00653030"</f>
        <v>00653030</v>
      </c>
    </row>
    <row r="13235" spans="1:2" x14ac:dyDescent="0.25">
      <c r="A13235" s="2">
        <v>13230</v>
      </c>
      <c r="B13235" s="3" t="str">
        <f>"00653059"</f>
        <v>00653059</v>
      </c>
    </row>
    <row r="13236" spans="1:2" x14ac:dyDescent="0.25">
      <c r="A13236" s="2">
        <v>13231</v>
      </c>
      <c r="B13236" s="3" t="str">
        <f>"00653127"</f>
        <v>00653127</v>
      </c>
    </row>
    <row r="13237" spans="1:2" x14ac:dyDescent="0.25">
      <c r="A13237" s="2">
        <v>13232</v>
      </c>
      <c r="B13237" s="3" t="str">
        <f>"00653142"</f>
        <v>00653142</v>
      </c>
    </row>
    <row r="13238" spans="1:2" x14ac:dyDescent="0.25">
      <c r="A13238" s="2">
        <v>13233</v>
      </c>
      <c r="B13238" s="3" t="str">
        <f>"00653233"</f>
        <v>00653233</v>
      </c>
    </row>
    <row r="13239" spans="1:2" x14ac:dyDescent="0.25">
      <c r="A13239" s="2">
        <v>13234</v>
      </c>
      <c r="B13239" s="3" t="str">
        <f>"00653249"</f>
        <v>00653249</v>
      </c>
    </row>
    <row r="13240" spans="1:2" x14ac:dyDescent="0.25">
      <c r="A13240" s="2">
        <v>13235</v>
      </c>
      <c r="B13240" s="3" t="str">
        <f>"00653254"</f>
        <v>00653254</v>
      </c>
    </row>
    <row r="13241" spans="1:2" x14ac:dyDescent="0.25">
      <c r="A13241" s="2">
        <v>13236</v>
      </c>
      <c r="B13241" s="3" t="str">
        <f>"00653267"</f>
        <v>00653267</v>
      </c>
    </row>
    <row r="13242" spans="1:2" x14ac:dyDescent="0.25">
      <c r="A13242" s="2">
        <v>13237</v>
      </c>
      <c r="B13242" s="3" t="str">
        <f>"00653283"</f>
        <v>00653283</v>
      </c>
    </row>
    <row r="13243" spans="1:2" x14ac:dyDescent="0.25">
      <c r="A13243" s="2">
        <v>13238</v>
      </c>
      <c r="B13243" s="3" t="str">
        <f>"00653298"</f>
        <v>00653298</v>
      </c>
    </row>
    <row r="13244" spans="1:2" x14ac:dyDescent="0.25">
      <c r="A13244" s="2">
        <v>13239</v>
      </c>
      <c r="B13244" s="3" t="str">
        <f>"00653371"</f>
        <v>00653371</v>
      </c>
    </row>
    <row r="13245" spans="1:2" x14ac:dyDescent="0.25">
      <c r="A13245" s="2">
        <v>13240</v>
      </c>
      <c r="B13245" s="3" t="str">
        <f>"00653382"</f>
        <v>00653382</v>
      </c>
    </row>
    <row r="13246" spans="1:2" x14ac:dyDescent="0.25">
      <c r="A13246" s="2">
        <v>13241</v>
      </c>
      <c r="B13246" s="3" t="str">
        <f>"00653410"</f>
        <v>00653410</v>
      </c>
    </row>
    <row r="13247" spans="1:2" x14ac:dyDescent="0.25">
      <c r="A13247" s="2">
        <v>13242</v>
      </c>
      <c r="B13247" s="3" t="str">
        <f>"00653429"</f>
        <v>00653429</v>
      </c>
    </row>
    <row r="13248" spans="1:2" x14ac:dyDescent="0.25">
      <c r="A13248" s="2">
        <v>13243</v>
      </c>
      <c r="B13248" s="3" t="str">
        <f>"00653466"</f>
        <v>00653466</v>
      </c>
    </row>
    <row r="13249" spans="1:2" x14ac:dyDescent="0.25">
      <c r="A13249" s="2">
        <v>13244</v>
      </c>
      <c r="B13249" s="3" t="str">
        <f>"00653615"</f>
        <v>00653615</v>
      </c>
    </row>
    <row r="13250" spans="1:2" x14ac:dyDescent="0.25">
      <c r="A13250" s="2">
        <v>13245</v>
      </c>
      <c r="B13250" s="3" t="str">
        <f>"00653628"</f>
        <v>00653628</v>
      </c>
    </row>
    <row r="13251" spans="1:2" x14ac:dyDescent="0.25">
      <c r="A13251" s="2">
        <v>13246</v>
      </c>
      <c r="B13251" s="3" t="str">
        <f>"00653661"</f>
        <v>00653661</v>
      </c>
    </row>
    <row r="13252" spans="1:2" x14ac:dyDescent="0.25">
      <c r="A13252" s="2">
        <v>13247</v>
      </c>
      <c r="B13252" s="3" t="str">
        <f>"00653678"</f>
        <v>00653678</v>
      </c>
    </row>
    <row r="13253" spans="1:2" x14ac:dyDescent="0.25">
      <c r="A13253" s="2">
        <v>13248</v>
      </c>
      <c r="B13253" s="3" t="str">
        <f>"00653687"</f>
        <v>00653687</v>
      </c>
    </row>
    <row r="13254" spans="1:2" x14ac:dyDescent="0.25">
      <c r="A13254" s="2">
        <v>13249</v>
      </c>
      <c r="B13254" s="3" t="str">
        <f>"00653722"</f>
        <v>00653722</v>
      </c>
    </row>
    <row r="13255" spans="1:2" x14ac:dyDescent="0.25">
      <c r="A13255" s="2">
        <v>13250</v>
      </c>
      <c r="B13255" s="3" t="str">
        <f>"00653725"</f>
        <v>00653725</v>
      </c>
    </row>
    <row r="13256" spans="1:2" x14ac:dyDescent="0.25">
      <c r="A13256" s="2">
        <v>13251</v>
      </c>
      <c r="B13256" s="3" t="str">
        <f>"00653733"</f>
        <v>00653733</v>
      </c>
    </row>
    <row r="13257" spans="1:2" x14ac:dyDescent="0.25">
      <c r="A13257" s="2">
        <v>13252</v>
      </c>
      <c r="B13257" s="3" t="str">
        <f>"00653746"</f>
        <v>00653746</v>
      </c>
    </row>
    <row r="13258" spans="1:2" x14ac:dyDescent="0.25">
      <c r="A13258" s="2">
        <v>13253</v>
      </c>
      <c r="B13258" s="3" t="str">
        <f>"00653832"</f>
        <v>00653832</v>
      </c>
    </row>
    <row r="13259" spans="1:2" x14ac:dyDescent="0.25">
      <c r="A13259" s="2">
        <v>13254</v>
      </c>
      <c r="B13259" s="3" t="str">
        <f>"00653859"</f>
        <v>00653859</v>
      </c>
    </row>
    <row r="13260" spans="1:2" x14ac:dyDescent="0.25">
      <c r="A13260" s="2">
        <v>13255</v>
      </c>
      <c r="B13260" s="3" t="str">
        <f>"00653864"</f>
        <v>00653864</v>
      </c>
    </row>
    <row r="13261" spans="1:2" x14ac:dyDescent="0.25">
      <c r="A13261" s="2">
        <v>13256</v>
      </c>
      <c r="B13261" s="3" t="str">
        <f>"00653876"</f>
        <v>00653876</v>
      </c>
    </row>
    <row r="13262" spans="1:2" x14ac:dyDescent="0.25">
      <c r="A13262" s="2">
        <v>13257</v>
      </c>
      <c r="B13262" s="3" t="str">
        <f>"00653886"</f>
        <v>00653886</v>
      </c>
    </row>
    <row r="13263" spans="1:2" x14ac:dyDescent="0.25">
      <c r="A13263" s="2">
        <v>13258</v>
      </c>
      <c r="B13263" s="3" t="str">
        <f>"00653966"</f>
        <v>00653966</v>
      </c>
    </row>
    <row r="13264" spans="1:2" x14ac:dyDescent="0.25">
      <c r="A13264" s="2">
        <v>13259</v>
      </c>
      <c r="B13264" s="3" t="str">
        <f>"00653970"</f>
        <v>00653970</v>
      </c>
    </row>
    <row r="13265" spans="1:2" x14ac:dyDescent="0.25">
      <c r="A13265" s="2">
        <v>13260</v>
      </c>
      <c r="B13265" s="3" t="str">
        <f>"00653980"</f>
        <v>00653980</v>
      </c>
    </row>
    <row r="13266" spans="1:2" x14ac:dyDescent="0.25">
      <c r="A13266" s="2">
        <v>13261</v>
      </c>
      <c r="B13266" s="3" t="str">
        <f>"00654003"</f>
        <v>00654003</v>
      </c>
    </row>
    <row r="13267" spans="1:2" x14ac:dyDescent="0.25">
      <c r="A13267" s="2">
        <v>13262</v>
      </c>
      <c r="B13267" s="3" t="str">
        <f>"00654032"</f>
        <v>00654032</v>
      </c>
    </row>
    <row r="13268" spans="1:2" x14ac:dyDescent="0.25">
      <c r="A13268" s="2">
        <v>13263</v>
      </c>
      <c r="B13268" s="3" t="str">
        <f>"00654073"</f>
        <v>00654073</v>
      </c>
    </row>
    <row r="13269" spans="1:2" x14ac:dyDescent="0.25">
      <c r="A13269" s="2">
        <v>13264</v>
      </c>
      <c r="B13269" s="3" t="str">
        <f>"00654217"</f>
        <v>00654217</v>
      </c>
    </row>
    <row r="13270" spans="1:2" x14ac:dyDescent="0.25">
      <c r="A13270" s="2">
        <v>13265</v>
      </c>
      <c r="B13270" s="3" t="str">
        <f>"00654230"</f>
        <v>00654230</v>
      </c>
    </row>
    <row r="13271" spans="1:2" x14ac:dyDescent="0.25">
      <c r="A13271" s="2">
        <v>13266</v>
      </c>
      <c r="B13271" s="3" t="str">
        <f>"00654250"</f>
        <v>00654250</v>
      </c>
    </row>
    <row r="13272" spans="1:2" x14ac:dyDescent="0.25">
      <c r="A13272" s="2">
        <v>13267</v>
      </c>
      <c r="B13272" s="3" t="str">
        <f>"00654328"</f>
        <v>00654328</v>
      </c>
    </row>
    <row r="13273" spans="1:2" x14ac:dyDescent="0.25">
      <c r="A13273" s="2">
        <v>13268</v>
      </c>
      <c r="B13273" s="3" t="str">
        <f>"00654329"</f>
        <v>00654329</v>
      </c>
    </row>
    <row r="13274" spans="1:2" x14ac:dyDescent="0.25">
      <c r="A13274" s="2">
        <v>13269</v>
      </c>
      <c r="B13274" s="3" t="str">
        <f>"00654342"</f>
        <v>00654342</v>
      </c>
    </row>
    <row r="13275" spans="1:2" x14ac:dyDescent="0.25">
      <c r="A13275" s="2">
        <v>13270</v>
      </c>
      <c r="B13275" s="3" t="str">
        <f>"00654343"</f>
        <v>00654343</v>
      </c>
    </row>
    <row r="13276" spans="1:2" x14ac:dyDescent="0.25">
      <c r="A13276" s="2">
        <v>13271</v>
      </c>
      <c r="B13276" s="3" t="str">
        <f>"00654379"</f>
        <v>00654379</v>
      </c>
    </row>
    <row r="13277" spans="1:2" x14ac:dyDescent="0.25">
      <c r="A13277" s="2">
        <v>13272</v>
      </c>
      <c r="B13277" s="3" t="str">
        <f>"00654423"</f>
        <v>00654423</v>
      </c>
    </row>
    <row r="13278" spans="1:2" x14ac:dyDescent="0.25">
      <c r="A13278" s="2">
        <v>13273</v>
      </c>
      <c r="B13278" s="3" t="str">
        <f>"00654542"</f>
        <v>00654542</v>
      </c>
    </row>
    <row r="13279" spans="1:2" x14ac:dyDescent="0.25">
      <c r="A13279" s="2">
        <v>13274</v>
      </c>
      <c r="B13279" s="3" t="str">
        <f>"00654578"</f>
        <v>00654578</v>
      </c>
    </row>
    <row r="13280" spans="1:2" x14ac:dyDescent="0.25">
      <c r="A13280" s="2">
        <v>13275</v>
      </c>
      <c r="B13280" s="3" t="str">
        <f>"00654780"</f>
        <v>00654780</v>
      </c>
    </row>
    <row r="13281" spans="1:2" x14ac:dyDescent="0.25">
      <c r="A13281" s="2">
        <v>13276</v>
      </c>
      <c r="B13281" s="3" t="str">
        <f>"00654823"</f>
        <v>00654823</v>
      </c>
    </row>
    <row r="13282" spans="1:2" x14ac:dyDescent="0.25">
      <c r="A13282" s="2">
        <v>13277</v>
      </c>
      <c r="B13282" s="3" t="str">
        <f>"00654835"</f>
        <v>00654835</v>
      </c>
    </row>
    <row r="13283" spans="1:2" x14ac:dyDescent="0.25">
      <c r="A13283" s="2">
        <v>13278</v>
      </c>
      <c r="B13283" s="3" t="str">
        <f>"00654870"</f>
        <v>00654870</v>
      </c>
    </row>
    <row r="13284" spans="1:2" x14ac:dyDescent="0.25">
      <c r="A13284" s="2">
        <v>13279</v>
      </c>
      <c r="B13284" s="3" t="str">
        <f>"00654958"</f>
        <v>00654958</v>
      </c>
    </row>
    <row r="13285" spans="1:2" x14ac:dyDescent="0.25">
      <c r="A13285" s="2">
        <v>13280</v>
      </c>
      <c r="B13285" s="3" t="str">
        <f>"00654989"</f>
        <v>00654989</v>
      </c>
    </row>
    <row r="13286" spans="1:2" x14ac:dyDescent="0.25">
      <c r="A13286" s="2">
        <v>13281</v>
      </c>
      <c r="B13286" s="3" t="str">
        <f>"00655001"</f>
        <v>00655001</v>
      </c>
    </row>
    <row r="13287" spans="1:2" x14ac:dyDescent="0.25">
      <c r="A13287" s="2">
        <v>13282</v>
      </c>
      <c r="B13287" s="3" t="str">
        <f>"00655005"</f>
        <v>00655005</v>
      </c>
    </row>
    <row r="13288" spans="1:2" x14ac:dyDescent="0.25">
      <c r="A13288" s="2">
        <v>13283</v>
      </c>
      <c r="B13288" s="3" t="str">
        <f>"00655056"</f>
        <v>00655056</v>
      </c>
    </row>
    <row r="13289" spans="1:2" x14ac:dyDescent="0.25">
      <c r="A13289" s="2">
        <v>13284</v>
      </c>
      <c r="B13289" s="3" t="str">
        <f>"00655059"</f>
        <v>00655059</v>
      </c>
    </row>
    <row r="13290" spans="1:2" x14ac:dyDescent="0.25">
      <c r="A13290" s="2">
        <v>13285</v>
      </c>
      <c r="B13290" s="3" t="str">
        <f>"00655086"</f>
        <v>00655086</v>
      </c>
    </row>
    <row r="13291" spans="1:2" x14ac:dyDescent="0.25">
      <c r="A13291" s="2">
        <v>13286</v>
      </c>
      <c r="B13291" s="3" t="str">
        <f>"00655093"</f>
        <v>00655093</v>
      </c>
    </row>
    <row r="13292" spans="1:2" x14ac:dyDescent="0.25">
      <c r="A13292" s="2">
        <v>13287</v>
      </c>
      <c r="B13292" s="3" t="str">
        <f>"00655168"</f>
        <v>00655168</v>
      </c>
    </row>
    <row r="13293" spans="1:2" x14ac:dyDescent="0.25">
      <c r="A13293" s="2">
        <v>13288</v>
      </c>
      <c r="B13293" s="3" t="str">
        <f>"00655175"</f>
        <v>00655175</v>
      </c>
    </row>
    <row r="13294" spans="1:2" x14ac:dyDescent="0.25">
      <c r="A13294" s="2">
        <v>13289</v>
      </c>
      <c r="B13294" s="3" t="str">
        <f>"00655190"</f>
        <v>00655190</v>
      </c>
    </row>
    <row r="13295" spans="1:2" x14ac:dyDescent="0.25">
      <c r="A13295" s="2">
        <v>13290</v>
      </c>
      <c r="B13295" s="3" t="str">
        <f>"00655210"</f>
        <v>00655210</v>
      </c>
    </row>
    <row r="13296" spans="1:2" x14ac:dyDescent="0.25">
      <c r="A13296" s="2">
        <v>13291</v>
      </c>
      <c r="B13296" s="3" t="str">
        <f>"00655251"</f>
        <v>00655251</v>
      </c>
    </row>
    <row r="13297" spans="1:2" x14ac:dyDescent="0.25">
      <c r="A13297" s="2">
        <v>13292</v>
      </c>
      <c r="B13297" s="3" t="str">
        <f>"00655258"</f>
        <v>00655258</v>
      </c>
    </row>
    <row r="13298" spans="1:2" x14ac:dyDescent="0.25">
      <c r="A13298" s="2">
        <v>13293</v>
      </c>
      <c r="B13298" s="3" t="str">
        <f>"00655328"</f>
        <v>00655328</v>
      </c>
    </row>
    <row r="13299" spans="1:2" x14ac:dyDescent="0.25">
      <c r="A13299" s="2">
        <v>13294</v>
      </c>
      <c r="B13299" s="3" t="str">
        <f>"00655337"</f>
        <v>00655337</v>
      </c>
    </row>
    <row r="13300" spans="1:2" x14ac:dyDescent="0.25">
      <c r="A13300" s="2">
        <v>13295</v>
      </c>
      <c r="B13300" s="3" t="str">
        <f>"00655369"</f>
        <v>00655369</v>
      </c>
    </row>
    <row r="13301" spans="1:2" x14ac:dyDescent="0.25">
      <c r="A13301" s="2">
        <v>13296</v>
      </c>
      <c r="B13301" s="3" t="str">
        <f>"00655376"</f>
        <v>00655376</v>
      </c>
    </row>
    <row r="13302" spans="1:2" x14ac:dyDescent="0.25">
      <c r="A13302" s="2">
        <v>13297</v>
      </c>
      <c r="B13302" s="3" t="str">
        <f>"00655387"</f>
        <v>00655387</v>
      </c>
    </row>
    <row r="13303" spans="1:2" x14ac:dyDescent="0.25">
      <c r="A13303" s="2">
        <v>13298</v>
      </c>
      <c r="B13303" s="3" t="str">
        <f>"00655525"</f>
        <v>00655525</v>
      </c>
    </row>
    <row r="13304" spans="1:2" x14ac:dyDescent="0.25">
      <c r="A13304" s="2">
        <v>13299</v>
      </c>
      <c r="B13304" s="3" t="str">
        <f>"00655534"</f>
        <v>00655534</v>
      </c>
    </row>
    <row r="13305" spans="1:2" x14ac:dyDescent="0.25">
      <c r="A13305" s="2">
        <v>13300</v>
      </c>
      <c r="B13305" s="3" t="str">
        <f>"00655604"</f>
        <v>00655604</v>
      </c>
    </row>
    <row r="13306" spans="1:2" x14ac:dyDescent="0.25">
      <c r="A13306" s="2">
        <v>13301</v>
      </c>
      <c r="B13306" s="3" t="str">
        <f>"00655608"</f>
        <v>00655608</v>
      </c>
    </row>
    <row r="13307" spans="1:2" x14ac:dyDescent="0.25">
      <c r="A13307" s="2">
        <v>13302</v>
      </c>
      <c r="B13307" s="3" t="str">
        <f>"00655711"</f>
        <v>00655711</v>
      </c>
    </row>
    <row r="13308" spans="1:2" x14ac:dyDescent="0.25">
      <c r="A13308" s="2">
        <v>13303</v>
      </c>
      <c r="B13308" s="3" t="str">
        <f>"00655734"</f>
        <v>00655734</v>
      </c>
    </row>
    <row r="13309" spans="1:2" x14ac:dyDescent="0.25">
      <c r="A13309" s="2">
        <v>13304</v>
      </c>
      <c r="B13309" s="3" t="str">
        <f>"00655769"</f>
        <v>00655769</v>
      </c>
    </row>
    <row r="13310" spans="1:2" x14ac:dyDescent="0.25">
      <c r="A13310" s="2">
        <v>13305</v>
      </c>
      <c r="B13310" s="3" t="str">
        <f>"00655915"</f>
        <v>00655915</v>
      </c>
    </row>
    <row r="13311" spans="1:2" x14ac:dyDescent="0.25">
      <c r="A13311" s="2">
        <v>13306</v>
      </c>
      <c r="B13311" s="3" t="str">
        <f>"00655950"</f>
        <v>00655950</v>
      </c>
    </row>
    <row r="13312" spans="1:2" x14ac:dyDescent="0.25">
      <c r="A13312" s="2">
        <v>13307</v>
      </c>
      <c r="B13312" s="3" t="str">
        <f>"00655963"</f>
        <v>00655963</v>
      </c>
    </row>
    <row r="13313" spans="1:2" x14ac:dyDescent="0.25">
      <c r="A13313" s="2">
        <v>13308</v>
      </c>
      <c r="B13313" s="3" t="str">
        <f>"00655999"</f>
        <v>00655999</v>
      </c>
    </row>
    <row r="13314" spans="1:2" x14ac:dyDescent="0.25">
      <c r="A13314" s="2">
        <v>13309</v>
      </c>
      <c r="B13314" s="3" t="str">
        <f>"00656025"</f>
        <v>00656025</v>
      </c>
    </row>
    <row r="13315" spans="1:2" x14ac:dyDescent="0.25">
      <c r="A13315" s="2">
        <v>13310</v>
      </c>
      <c r="B13315" s="3" t="str">
        <f>"00656095"</f>
        <v>00656095</v>
      </c>
    </row>
    <row r="13316" spans="1:2" x14ac:dyDescent="0.25">
      <c r="A13316" s="2">
        <v>13311</v>
      </c>
      <c r="B13316" s="3" t="str">
        <f>"00656161"</f>
        <v>00656161</v>
      </c>
    </row>
    <row r="13317" spans="1:2" x14ac:dyDescent="0.25">
      <c r="A13317" s="2">
        <v>13312</v>
      </c>
      <c r="B13317" s="3" t="str">
        <f>"00656195"</f>
        <v>00656195</v>
      </c>
    </row>
    <row r="13318" spans="1:2" x14ac:dyDescent="0.25">
      <c r="A13318" s="2">
        <v>13313</v>
      </c>
      <c r="B13318" s="3" t="str">
        <f>"00656246"</f>
        <v>00656246</v>
      </c>
    </row>
    <row r="13319" spans="1:2" x14ac:dyDescent="0.25">
      <c r="A13319" s="2">
        <v>13314</v>
      </c>
      <c r="B13319" s="3" t="str">
        <f>"00656253"</f>
        <v>00656253</v>
      </c>
    </row>
    <row r="13320" spans="1:2" x14ac:dyDescent="0.25">
      <c r="A13320" s="2">
        <v>13315</v>
      </c>
      <c r="B13320" s="3" t="str">
        <f>"00656269"</f>
        <v>00656269</v>
      </c>
    </row>
    <row r="13321" spans="1:2" x14ac:dyDescent="0.25">
      <c r="A13321" s="2">
        <v>13316</v>
      </c>
      <c r="B13321" s="3" t="str">
        <f>"00656329"</f>
        <v>00656329</v>
      </c>
    </row>
    <row r="13322" spans="1:2" x14ac:dyDescent="0.25">
      <c r="A13322" s="2">
        <v>13317</v>
      </c>
      <c r="B13322" s="3" t="str">
        <f>"00656352"</f>
        <v>00656352</v>
      </c>
    </row>
    <row r="13323" spans="1:2" x14ac:dyDescent="0.25">
      <c r="A13323" s="2">
        <v>13318</v>
      </c>
      <c r="B13323" s="3" t="str">
        <f>"00656354"</f>
        <v>00656354</v>
      </c>
    </row>
    <row r="13324" spans="1:2" x14ac:dyDescent="0.25">
      <c r="A13324" s="2">
        <v>13319</v>
      </c>
      <c r="B13324" s="3" t="str">
        <f>"00656361"</f>
        <v>00656361</v>
      </c>
    </row>
    <row r="13325" spans="1:2" x14ac:dyDescent="0.25">
      <c r="A13325" s="2">
        <v>13320</v>
      </c>
      <c r="B13325" s="3" t="str">
        <f>"00656375"</f>
        <v>00656375</v>
      </c>
    </row>
    <row r="13326" spans="1:2" x14ac:dyDescent="0.25">
      <c r="A13326" s="2">
        <v>13321</v>
      </c>
      <c r="B13326" s="3" t="str">
        <f>"00656383"</f>
        <v>00656383</v>
      </c>
    </row>
    <row r="13327" spans="1:2" x14ac:dyDescent="0.25">
      <c r="A13327" s="2">
        <v>13322</v>
      </c>
      <c r="B13327" s="3" t="str">
        <f>"00656435"</f>
        <v>00656435</v>
      </c>
    </row>
    <row r="13328" spans="1:2" x14ac:dyDescent="0.25">
      <c r="A13328" s="2">
        <v>13323</v>
      </c>
      <c r="B13328" s="3" t="str">
        <f>"00656466"</f>
        <v>00656466</v>
      </c>
    </row>
    <row r="13329" spans="1:2" x14ac:dyDescent="0.25">
      <c r="A13329" s="2">
        <v>13324</v>
      </c>
      <c r="B13329" s="3" t="str">
        <f>"00656572"</f>
        <v>00656572</v>
      </c>
    </row>
    <row r="13330" spans="1:2" x14ac:dyDescent="0.25">
      <c r="A13330" s="2">
        <v>13325</v>
      </c>
      <c r="B13330" s="3" t="str">
        <f>"00656610"</f>
        <v>00656610</v>
      </c>
    </row>
    <row r="13331" spans="1:2" x14ac:dyDescent="0.25">
      <c r="A13331" s="2">
        <v>13326</v>
      </c>
      <c r="B13331" s="3" t="str">
        <f>"00656633"</f>
        <v>00656633</v>
      </c>
    </row>
    <row r="13332" spans="1:2" x14ac:dyDescent="0.25">
      <c r="A13332" s="2">
        <v>13327</v>
      </c>
      <c r="B13332" s="3" t="str">
        <f>"00656686"</f>
        <v>00656686</v>
      </c>
    </row>
    <row r="13333" spans="1:2" x14ac:dyDescent="0.25">
      <c r="A13333" s="2">
        <v>13328</v>
      </c>
      <c r="B13333" s="3" t="str">
        <f>"00656770"</f>
        <v>00656770</v>
      </c>
    </row>
    <row r="13334" spans="1:2" x14ac:dyDescent="0.25">
      <c r="A13334" s="2">
        <v>13329</v>
      </c>
      <c r="B13334" s="3" t="str">
        <f>"00656866"</f>
        <v>00656866</v>
      </c>
    </row>
    <row r="13335" spans="1:2" x14ac:dyDescent="0.25">
      <c r="A13335" s="2">
        <v>13330</v>
      </c>
      <c r="B13335" s="3" t="str">
        <f>"00656892"</f>
        <v>00656892</v>
      </c>
    </row>
    <row r="13336" spans="1:2" x14ac:dyDescent="0.25">
      <c r="A13336" s="2">
        <v>13331</v>
      </c>
      <c r="B13336" s="3" t="str">
        <f>"00656898"</f>
        <v>00656898</v>
      </c>
    </row>
    <row r="13337" spans="1:2" x14ac:dyDescent="0.25">
      <c r="A13337" s="2">
        <v>13332</v>
      </c>
      <c r="B13337" s="3" t="str">
        <f>"00657001"</f>
        <v>00657001</v>
      </c>
    </row>
    <row r="13338" spans="1:2" x14ac:dyDescent="0.25">
      <c r="A13338" s="2">
        <v>13333</v>
      </c>
      <c r="B13338" s="3" t="str">
        <f>"00657024"</f>
        <v>00657024</v>
      </c>
    </row>
    <row r="13339" spans="1:2" x14ac:dyDescent="0.25">
      <c r="A13339" s="2">
        <v>13334</v>
      </c>
      <c r="B13339" s="3" t="str">
        <f>"00657054"</f>
        <v>00657054</v>
      </c>
    </row>
    <row r="13340" spans="1:2" x14ac:dyDescent="0.25">
      <c r="A13340" s="2">
        <v>13335</v>
      </c>
      <c r="B13340" s="3" t="str">
        <f>"00657075"</f>
        <v>00657075</v>
      </c>
    </row>
    <row r="13341" spans="1:2" x14ac:dyDescent="0.25">
      <c r="A13341" s="2">
        <v>13336</v>
      </c>
      <c r="B13341" s="3" t="str">
        <f>"00657096"</f>
        <v>00657096</v>
      </c>
    </row>
    <row r="13342" spans="1:2" x14ac:dyDescent="0.25">
      <c r="A13342" s="2">
        <v>13337</v>
      </c>
      <c r="B13342" s="3" t="str">
        <f>"00657123"</f>
        <v>00657123</v>
      </c>
    </row>
    <row r="13343" spans="1:2" x14ac:dyDescent="0.25">
      <c r="A13343" s="2">
        <v>13338</v>
      </c>
      <c r="B13343" s="3" t="str">
        <f>"00657143"</f>
        <v>00657143</v>
      </c>
    </row>
    <row r="13344" spans="1:2" x14ac:dyDescent="0.25">
      <c r="A13344" s="2">
        <v>13339</v>
      </c>
      <c r="B13344" s="3" t="str">
        <f>"00657160"</f>
        <v>00657160</v>
      </c>
    </row>
    <row r="13345" spans="1:2" x14ac:dyDescent="0.25">
      <c r="A13345" s="2">
        <v>13340</v>
      </c>
      <c r="B13345" s="3" t="str">
        <f>"00657218"</f>
        <v>00657218</v>
      </c>
    </row>
    <row r="13346" spans="1:2" x14ac:dyDescent="0.25">
      <c r="A13346" s="2">
        <v>13341</v>
      </c>
      <c r="B13346" s="3" t="str">
        <f>"00657224"</f>
        <v>00657224</v>
      </c>
    </row>
    <row r="13347" spans="1:2" x14ac:dyDescent="0.25">
      <c r="A13347" s="2">
        <v>13342</v>
      </c>
      <c r="B13347" s="3" t="str">
        <f>"00657281"</f>
        <v>00657281</v>
      </c>
    </row>
    <row r="13348" spans="1:2" x14ac:dyDescent="0.25">
      <c r="A13348" s="2">
        <v>13343</v>
      </c>
      <c r="B13348" s="3" t="str">
        <f>"00657322"</f>
        <v>00657322</v>
      </c>
    </row>
    <row r="13349" spans="1:2" x14ac:dyDescent="0.25">
      <c r="A13349" s="2">
        <v>13344</v>
      </c>
      <c r="B13349" s="3" t="str">
        <f>"00657324"</f>
        <v>00657324</v>
      </c>
    </row>
    <row r="13350" spans="1:2" x14ac:dyDescent="0.25">
      <c r="A13350" s="2">
        <v>13345</v>
      </c>
      <c r="B13350" s="3" t="str">
        <f>"00657326"</f>
        <v>00657326</v>
      </c>
    </row>
    <row r="13351" spans="1:2" x14ac:dyDescent="0.25">
      <c r="A13351" s="2">
        <v>13346</v>
      </c>
      <c r="B13351" s="3" t="str">
        <f>"00657374"</f>
        <v>00657374</v>
      </c>
    </row>
    <row r="13352" spans="1:2" x14ac:dyDescent="0.25">
      <c r="A13352" s="2">
        <v>13347</v>
      </c>
      <c r="B13352" s="3" t="str">
        <f>"00657389"</f>
        <v>00657389</v>
      </c>
    </row>
    <row r="13353" spans="1:2" x14ac:dyDescent="0.25">
      <c r="A13353" s="2">
        <v>13348</v>
      </c>
      <c r="B13353" s="3" t="str">
        <f>"00657418"</f>
        <v>00657418</v>
      </c>
    </row>
    <row r="13354" spans="1:2" x14ac:dyDescent="0.25">
      <c r="A13354" s="2">
        <v>13349</v>
      </c>
      <c r="B13354" s="3" t="str">
        <f>"00657424"</f>
        <v>00657424</v>
      </c>
    </row>
    <row r="13355" spans="1:2" x14ac:dyDescent="0.25">
      <c r="A13355" s="2">
        <v>13350</v>
      </c>
      <c r="B13355" s="3" t="str">
        <f>"00657437"</f>
        <v>00657437</v>
      </c>
    </row>
    <row r="13356" spans="1:2" x14ac:dyDescent="0.25">
      <c r="A13356" s="2">
        <v>13351</v>
      </c>
      <c r="B13356" s="3" t="str">
        <f>"00657489"</f>
        <v>00657489</v>
      </c>
    </row>
    <row r="13357" spans="1:2" x14ac:dyDescent="0.25">
      <c r="A13357" s="2">
        <v>13352</v>
      </c>
      <c r="B13357" s="3" t="str">
        <f>"00657491"</f>
        <v>00657491</v>
      </c>
    </row>
    <row r="13358" spans="1:2" x14ac:dyDescent="0.25">
      <c r="A13358" s="2">
        <v>13353</v>
      </c>
      <c r="B13358" s="3" t="str">
        <f>"00657504"</f>
        <v>00657504</v>
      </c>
    </row>
    <row r="13359" spans="1:2" x14ac:dyDescent="0.25">
      <c r="A13359" s="2">
        <v>13354</v>
      </c>
      <c r="B13359" s="3" t="str">
        <f>"00657541"</f>
        <v>00657541</v>
      </c>
    </row>
    <row r="13360" spans="1:2" x14ac:dyDescent="0.25">
      <c r="A13360" s="2">
        <v>13355</v>
      </c>
      <c r="B13360" s="3" t="str">
        <f>"00657574"</f>
        <v>00657574</v>
      </c>
    </row>
    <row r="13361" spans="1:2" x14ac:dyDescent="0.25">
      <c r="A13361" s="2">
        <v>13356</v>
      </c>
      <c r="B13361" s="3" t="str">
        <f>"00657582"</f>
        <v>00657582</v>
      </c>
    </row>
    <row r="13362" spans="1:2" x14ac:dyDescent="0.25">
      <c r="A13362" s="2">
        <v>13357</v>
      </c>
      <c r="B13362" s="3" t="str">
        <f>"00657596"</f>
        <v>00657596</v>
      </c>
    </row>
    <row r="13363" spans="1:2" x14ac:dyDescent="0.25">
      <c r="A13363" s="2">
        <v>13358</v>
      </c>
      <c r="B13363" s="3" t="str">
        <f>"00657640"</f>
        <v>00657640</v>
      </c>
    </row>
    <row r="13364" spans="1:2" x14ac:dyDescent="0.25">
      <c r="A13364" s="2">
        <v>13359</v>
      </c>
      <c r="B13364" s="3" t="str">
        <f>"00657700"</f>
        <v>00657700</v>
      </c>
    </row>
    <row r="13365" spans="1:2" x14ac:dyDescent="0.25">
      <c r="A13365" s="2">
        <v>13360</v>
      </c>
      <c r="B13365" s="3" t="str">
        <f>"00657711"</f>
        <v>00657711</v>
      </c>
    </row>
    <row r="13366" spans="1:2" x14ac:dyDescent="0.25">
      <c r="A13366" s="2">
        <v>13361</v>
      </c>
      <c r="B13366" s="3" t="str">
        <f>"00657733"</f>
        <v>00657733</v>
      </c>
    </row>
    <row r="13367" spans="1:2" x14ac:dyDescent="0.25">
      <c r="A13367" s="2">
        <v>13362</v>
      </c>
      <c r="B13367" s="3" t="str">
        <f>"00657802"</f>
        <v>00657802</v>
      </c>
    </row>
    <row r="13368" spans="1:2" x14ac:dyDescent="0.25">
      <c r="A13368" s="2">
        <v>13363</v>
      </c>
      <c r="B13368" s="3" t="str">
        <f>"00657826"</f>
        <v>00657826</v>
      </c>
    </row>
    <row r="13369" spans="1:2" x14ac:dyDescent="0.25">
      <c r="A13369" s="2">
        <v>13364</v>
      </c>
      <c r="B13369" s="3" t="str">
        <f>"00657862"</f>
        <v>00657862</v>
      </c>
    </row>
    <row r="13370" spans="1:2" x14ac:dyDescent="0.25">
      <c r="A13370" s="2">
        <v>13365</v>
      </c>
      <c r="B13370" s="3" t="str">
        <f>"00657865"</f>
        <v>00657865</v>
      </c>
    </row>
    <row r="13371" spans="1:2" x14ac:dyDescent="0.25">
      <c r="A13371" s="2">
        <v>13366</v>
      </c>
      <c r="B13371" s="3" t="str">
        <f>"00657878"</f>
        <v>00657878</v>
      </c>
    </row>
    <row r="13372" spans="1:2" x14ac:dyDescent="0.25">
      <c r="A13372" s="2">
        <v>13367</v>
      </c>
      <c r="B13372" s="3" t="str">
        <f>"00657892"</f>
        <v>00657892</v>
      </c>
    </row>
    <row r="13373" spans="1:2" x14ac:dyDescent="0.25">
      <c r="A13373" s="2">
        <v>13368</v>
      </c>
      <c r="B13373" s="3" t="str">
        <f>"00657902"</f>
        <v>00657902</v>
      </c>
    </row>
    <row r="13374" spans="1:2" x14ac:dyDescent="0.25">
      <c r="A13374" s="2">
        <v>13369</v>
      </c>
      <c r="B13374" s="3" t="str">
        <f>"00657905"</f>
        <v>00657905</v>
      </c>
    </row>
    <row r="13375" spans="1:2" x14ac:dyDescent="0.25">
      <c r="A13375" s="2">
        <v>13370</v>
      </c>
      <c r="B13375" s="3" t="str">
        <f>"00657910"</f>
        <v>00657910</v>
      </c>
    </row>
    <row r="13376" spans="1:2" x14ac:dyDescent="0.25">
      <c r="A13376" s="2">
        <v>13371</v>
      </c>
      <c r="B13376" s="3" t="str">
        <f>"00657977"</f>
        <v>00657977</v>
      </c>
    </row>
    <row r="13377" spans="1:2" x14ac:dyDescent="0.25">
      <c r="A13377" s="2">
        <v>13372</v>
      </c>
      <c r="B13377" s="3" t="str">
        <f>"00658025"</f>
        <v>00658025</v>
      </c>
    </row>
    <row r="13378" spans="1:2" x14ac:dyDescent="0.25">
      <c r="A13378" s="2">
        <v>13373</v>
      </c>
      <c r="B13378" s="3" t="str">
        <f>"00658052"</f>
        <v>00658052</v>
      </c>
    </row>
    <row r="13379" spans="1:2" x14ac:dyDescent="0.25">
      <c r="A13379" s="2">
        <v>13374</v>
      </c>
      <c r="B13379" s="3" t="str">
        <f>"00658083"</f>
        <v>00658083</v>
      </c>
    </row>
    <row r="13380" spans="1:2" x14ac:dyDescent="0.25">
      <c r="A13380" s="2">
        <v>13375</v>
      </c>
      <c r="B13380" s="3" t="str">
        <f>"00658123"</f>
        <v>00658123</v>
      </c>
    </row>
    <row r="13381" spans="1:2" x14ac:dyDescent="0.25">
      <c r="A13381" s="2">
        <v>13376</v>
      </c>
      <c r="B13381" s="3" t="str">
        <f>"00658158"</f>
        <v>00658158</v>
      </c>
    </row>
    <row r="13382" spans="1:2" x14ac:dyDescent="0.25">
      <c r="A13382" s="2">
        <v>13377</v>
      </c>
      <c r="B13382" s="3" t="str">
        <f>"00658226"</f>
        <v>00658226</v>
      </c>
    </row>
    <row r="13383" spans="1:2" x14ac:dyDescent="0.25">
      <c r="A13383" s="2">
        <v>13378</v>
      </c>
      <c r="B13383" s="3" t="str">
        <f>"00658243"</f>
        <v>00658243</v>
      </c>
    </row>
    <row r="13384" spans="1:2" x14ac:dyDescent="0.25">
      <c r="A13384" s="2">
        <v>13379</v>
      </c>
      <c r="B13384" s="3" t="str">
        <f>"00658267"</f>
        <v>00658267</v>
      </c>
    </row>
    <row r="13385" spans="1:2" x14ac:dyDescent="0.25">
      <c r="A13385" s="2">
        <v>13380</v>
      </c>
      <c r="B13385" s="3" t="str">
        <f>"00658294"</f>
        <v>00658294</v>
      </c>
    </row>
    <row r="13386" spans="1:2" x14ac:dyDescent="0.25">
      <c r="A13386" s="2">
        <v>13381</v>
      </c>
      <c r="B13386" s="3" t="str">
        <f>"00658300"</f>
        <v>00658300</v>
      </c>
    </row>
    <row r="13387" spans="1:2" x14ac:dyDescent="0.25">
      <c r="A13387" s="2">
        <v>13382</v>
      </c>
      <c r="B13387" s="3" t="str">
        <f>"00658306"</f>
        <v>00658306</v>
      </c>
    </row>
    <row r="13388" spans="1:2" x14ac:dyDescent="0.25">
      <c r="A13388" s="2">
        <v>13383</v>
      </c>
      <c r="B13388" s="3" t="str">
        <f>"00658321"</f>
        <v>00658321</v>
      </c>
    </row>
    <row r="13389" spans="1:2" x14ac:dyDescent="0.25">
      <c r="A13389" s="2">
        <v>13384</v>
      </c>
      <c r="B13389" s="3" t="str">
        <f>"00658359"</f>
        <v>00658359</v>
      </c>
    </row>
    <row r="13390" spans="1:2" x14ac:dyDescent="0.25">
      <c r="A13390" s="2">
        <v>13385</v>
      </c>
      <c r="B13390" s="3" t="str">
        <f>"00658367"</f>
        <v>00658367</v>
      </c>
    </row>
    <row r="13391" spans="1:2" x14ac:dyDescent="0.25">
      <c r="A13391" s="2">
        <v>13386</v>
      </c>
      <c r="B13391" s="3" t="str">
        <f>"00658378"</f>
        <v>00658378</v>
      </c>
    </row>
    <row r="13392" spans="1:2" x14ac:dyDescent="0.25">
      <c r="A13392" s="2">
        <v>13387</v>
      </c>
      <c r="B13392" s="3" t="str">
        <f>"00658393"</f>
        <v>00658393</v>
      </c>
    </row>
    <row r="13393" spans="1:2" x14ac:dyDescent="0.25">
      <c r="A13393" s="2">
        <v>13388</v>
      </c>
      <c r="B13393" s="3" t="str">
        <f>"00658394"</f>
        <v>00658394</v>
      </c>
    </row>
    <row r="13394" spans="1:2" x14ac:dyDescent="0.25">
      <c r="A13394" s="2">
        <v>13389</v>
      </c>
      <c r="B13394" s="3" t="str">
        <f>"00658428"</f>
        <v>00658428</v>
      </c>
    </row>
    <row r="13395" spans="1:2" x14ac:dyDescent="0.25">
      <c r="A13395" s="2">
        <v>13390</v>
      </c>
      <c r="B13395" s="3" t="str">
        <f>"00658482"</f>
        <v>00658482</v>
      </c>
    </row>
    <row r="13396" spans="1:2" x14ac:dyDescent="0.25">
      <c r="A13396" s="2">
        <v>13391</v>
      </c>
      <c r="B13396" s="3" t="str">
        <f>"00658556"</f>
        <v>00658556</v>
      </c>
    </row>
    <row r="13397" spans="1:2" x14ac:dyDescent="0.25">
      <c r="A13397" s="2">
        <v>13392</v>
      </c>
      <c r="B13397" s="3" t="str">
        <f>"00658590"</f>
        <v>00658590</v>
      </c>
    </row>
    <row r="13398" spans="1:2" x14ac:dyDescent="0.25">
      <c r="A13398" s="2">
        <v>13393</v>
      </c>
      <c r="B13398" s="3" t="str">
        <f>"00658635"</f>
        <v>00658635</v>
      </c>
    </row>
    <row r="13399" spans="1:2" x14ac:dyDescent="0.25">
      <c r="A13399" s="2">
        <v>13394</v>
      </c>
      <c r="B13399" s="3" t="str">
        <f>"00658670"</f>
        <v>00658670</v>
      </c>
    </row>
    <row r="13400" spans="1:2" x14ac:dyDescent="0.25">
      <c r="A13400" s="2">
        <v>13395</v>
      </c>
      <c r="B13400" s="3" t="str">
        <f>"00658692"</f>
        <v>00658692</v>
      </c>
    </row>
    <row r="13401" spans="1:2" x14ac:dyDescent="0.25">
      <c r="A13401" s="2">
        <v>13396</v>
      </c>
      <c r="B13401" s="3" t="str">
        <f>"00658695"</f>
        <v>00658695</v>
      </c>
    </row>
    <row r="13402" spans="1:2" x14ac:dyDescent="0.25">
      <c r="A13402" s="2">
        <v>13397</v>
      </c>
      <c r="B13402" s="3" t="str">
        <f>"00658744"</f>
        <v>00658744</v>
      </c>
    </row>
    <row r="13403" spans="1:2" x14ac:dyDescent="0.25">
      <c r="A13403" s="2">
        <v>13398</v>
      </c>
      <c r="B13403" s="3" t="str">
        <f>"00658758"</f>
        <v>00658758</v>
      </c>
    </row>
    <row r="13404" spans="1:2" x14ac:dyDescent="0.25">
      <c r="A13404" s="2">
        <v>13399</v>
      </c>
      <c r="B13404" s="3" t="str">
        <f>"00658763"</f>
        <v>00658763</v>
      </c>
    </row>
    <row r="13405" spans="1:2" x14ac:dyDescent="0.25">
      <c r="A13405" s="2">
        <v>13400</v>
      </c>
      <c r="B13405" s="3" t="str">
        <f>"00658786"</f>
        <v>00658786</v>
      </c>
    </row>
    <row r="13406" spans="1:2" x14ac:dyDescent="0.25">
      <c r="A13406" s="2">
        <v>13401</v>
      </c>
      <c r="B13406" s="3" t="str">
        <f>"00658791"</f>
        <v>00658791</v>
      </c>
    </row>
    <row r="13407" spans="1:2" x14ac:dyDescent="0.25">
      <c r="A13407" s="2">
        <v>13402</v>
      </c>
      <c r="B13407" s="3" t="str">
        <f>"00658829"</f>
        <v>00658829</v>
      </c>
    </row>
    <row r="13408" spans="1:2" x14ac:dyDescent="0.25">
      <c r="A13408" s="2">
        <v>13403</v>
      </c>
      <c r="B13408" s="3" t="str">
        <f>"00658840"</f>
        <v>00658840</v>
      </c>
    </row>
    <row r="13409" spans="1:2" x14ac:dyDescent="0.25">
      <c r="A13409" s="2">
        <v>13404</v>
      </c>
      <c r="B13409" s="3" t="str">
        <f>"00658900"</f>
        <v>00658900</v>
      </c>
    </row>
    <row r="13410" spans="1:2" x14ac:dyDescent="0.25">
      <c r="A13410" s="2">
        <v>13405</v>
      </c>
      <c r="B13410" s="3" t="str">
        <f>"00658902"</f>
        <v>00658902</v>
      </c>
    </row>
    <row r="13411" spans="1:2" x14ac:dyDescent="0.25">
      <c r="A13411" s="2">
        <v>13406</v>
      </c>
      <c r="B13411" s="3" t="str">
        <f>"00658931"</f>
        <v>00658931</v>
      </c>
    </row>
    <row r="13412" spans="1:2" x14ac:dyDescent="0.25">
      <c r="A13412" s="2">
        <v>13407</v>
      </c>
      <c r="B13412" s="3" t="str">
        <f>"00658959"</f>
        <v>00658959</v>
      </c>
    </row>
    <row r="13413" spans="1:2" x14ac:dyDescent="0.25">
      <c r="A13413" s="2">
        <v>13408</v>
      </c>
      <c r="B13413" s="3" t="str">
        <f>"00659089"</f>
        <v>00659089</v>
      </c>
    </row>
    <row r="13414" spans="1:2" x14ac:dyDescent="0.25">
      <c r="A13414" s="2">
        <v>13409</v>
      </c>
      <c r="B13414" s="3" t="str">
        <f>"00659090"</f>
        <v>00659090</v>
      </c>
    </row>
    <row r="13415" spans="1:2" x14ac:dyDescent="0.25">
      <c r="A13415" s="2">
        <v>13410</v>
      </c>
      <c r="B13415" s="3" t="str">
        <f>"00659098"</f>
        <v>00659098</v>
      </c>
    </row>
    <row r="13416" spans="1:2" x14ac:dyDescent="0.25">
      <c r="A13416" s="2">
        <v>13411</v>
      </c>
      <c r="B13416" s="3" t="str">
        <f>"00659194"</f>
        <v>00659194</v>
      </c>
    </row>
    <row r="13417" spans="1:2" x14ac:dyDescent="0.25">
      <c r="A13417" s="2">
        <v>13412</v>
      </c>
      <c r="B13417" s="3" t="str">
        <f>"00659226"</f>
        <v>00659226</v>
      </c>
    </row>
    <row r="13418" spans="1:2" x14ac:dyDescent="0.25">
      <c r="A13418" s="2">
        <v>13413</v>
      </c>
      <c r="B13418" s="3" t="str">
        <f>"00659231"</f>
        <v>00659231</v>
      </c>
    </row>
    <row r="13419" spans="1:2" x14ac:dyDescent="0.25">
      <c r="A13419" s="2">
        <v>13414</v>
      </c>
      <c r="B13419" s="3" t="str">
        <f>"00659271"</f>
        <v>00659271</v>
      </c>
    </row>
    <row r="13420" spans="1:2" x14ac:dyDescent="0.25">
      <c r="A13420" s="2">
        <v>13415</v>
      </c>
      <c r="B13420" s="3" t="str">
        <f>"00659281"</f>
        <v>00659281</v>
      </c>
    </row>
    <row r="13421" spans="1:2" x14ac:dyDescent="0.25">
      <c r="A13421" s="2">
        <v>13416</v>
      </c>
      <c r="B13421" s="3" t="str">
        <f>"00659308"</f>
        <v>00659308</v>
      </c>
    </row>
    <row r="13422" spans="1:2" x14ac:dyDescent="0.25">
      <c r="A13422" s="2">
        <v>13417</v>
      </c>
      <c r="B13422" s="3" t="str">
        <f>"00659387"</f>
        <v>00659387</v>
      </c>
    </row>
    <row r="13423" spans="1:2" x14ac:dyDescent="0.25">
      <c r="A13423" s="2">
        <v>13418</v>
      </c>
      <c r="B13423" s="3" t="str">
        <f>"00659395"</f>
        <v>00659395</v>
      </c>
    </row>
    <row r="13424" spans="1:2" x14ac:dyDescent="0.25">
      <c r="A13424" s="2">
        <v>13419</v>
      </c>
      <c r="B13424" s="3" t="str">
        <f>"00659401"</f>
        <v>00659401</v>
      </c>
    </row>
    <row r="13425" spans="1:2" x14ac:dyDescent="0.25">
      <c r="A13425" s="2">
        <v>13420</v>
      </c>
      <c r="B13425" s="3" t="str">
        <f>"00659410"</f>
        <v>00659410</v>
      </c>
    </row>
    <row r="13426" spans="1:2" x14ac:dyDescent="0.25">
      <c r="A13426" s="2">
        <v>13421</v>
      </c>
      <c r="B13426" s="3" t="str">
        <f>"00659441"</f>
        <v>00659441</v>
      </c>
    </row>
    <row r="13427" spans="1:2" x14ac:dyDescent="0.25">
      <c r="A13427" s="2">
        <v>13422</v>
      </c>
      <c r="B13427" s="3" t="str">
        <f>"00659446"</f>
        <v>00659446</v>
      </c>
    </row>
    <row r="13428" spans="1:2" x14ac:dyDescent="0.25">
      <c r="A13428" s="2">
        <v>13423</v>
      </c>
      <c r="B13428" s="3" t="str">
        <f>"00659522"</f>
        <v>00659522</v>
      </c>
    </row>
    <row r="13429" spans="1:2" x14ac:dyDescent="0.25">
      <c r="A13429" s="2">
        <v>13424</v>
      </c>
      <c r="B13429" s="3" t="str">
        <f>"00659530"</f>
        <v>00659530</v>
      </c>
    </row>
    <row r="13430" spans="1:2" x14ac:dyDescent="0.25">
      <c r="A13430" s="2">
        <v>13425</v>
      </c>
      <c r="B13430" s="3" t="str">
        <f>"00659536"</f>
        <v>00659536</v>
      </c>
    </row>
    <row r="13431" spans="1:2" x14ac:dyDescent="0.25">
      <c r="A13431" s="2">
        <v>13426</v>
      </c>
      <c r="B13431" s="3" t="str">
        <f>"00659577"</f>
        <v>00659577</v>
      </c>
    </row>
    <row r="13432" spans="1:2" x14ac:dyDescent="0.25">
      <c r="A13432" s="2">
        <v>13427</v>
      </c>
      <c r="B13432" s="3" t="str">
        <f>"00659582"</f>
        <v>00659582</v>
      </c>
    </row>
    <row r="13433" spans="1:2" x14ac:dyDescent="0.25">
      <c r="A13433" s="2">
        <v>13428</v>
      </c>
      <c r="B13433" s="3" t="str">
        <f>"00659638"</f>
        <v>00659638</v>
      </c>
    </row>
    <row r="13434" spans="1:2" x14ac:dyDescent="0.25">
      <c r="A13434" s="2">
        <v>13429</v>
      </c>
      <c r="B13434" s="3" t="str">
        <f>"00659645"</f>
        <v>00659645</v>
      </c>
    </row>
    <row r="13435" spans="1:2" x14ac:dyDescent="0.25">
      <c r="A13435" s="2">
        <v>13430</v>
      </c>
      <c r="B13435" s="3" t="str">
        <f>"00659650"</f>
        <v>00659650</v>
      </c>
    </row>
    <row r="13436" spans="1:2" x14ac:dyDescent="0.25">
      <c r="A13436" s="2">
        <v>13431</v>
      </c>
      <c r="B13436" s="3" t="str">
        <f>"00659682"</f>
        <v>00659682</v>
      </c>
    </row>
    <row r="13437" spans="1:2" x14ac:dyDescent="0.25">
      <c r="A13437" s="2">
        <v>13432</v>
      </c>
      <c r="B13437" s="3" t="str">
        <f>"00659705"</f>
        <v>00659705</v>
      </c>
    </row>
    <row r="13438" spans="1:2" x14ac:dyDescent="0.25">
      <c r="A13438" s="2">
        <v>13433</v>
      </c>
      <c r="B13438" s="3" t="str">
        <f>"00659746"</f>
        <v>00659746</v>
      </c>
    </row>
    <row r="13439" spans="1:2" x14ac:dyDescent="0.25">
      <c r="A13439" s="2">
        <v>13434</v>
      </c>
      <c r="B13439" s="3" t="str">
        <f>"00659759"</f>
        <v>00659759</v>
      </c>
    </row>
    <row r="13440" spans="1:2" x14ac:dyDescent="0.25">
      <c r="A13440" s="2">
        <v>13435</v>
      </c>
      <c r="B13440" s="3" t="str">
        <f>"00659766"</f>
        <v>00659766</v>
      </c>
    </row>
    <row r="13441" spans="1:2" x14ac:dyDescent="0.25">
      <c r="A13441" s="2">
        <v>13436</v>
      </c>
      <c r="B13441" s="3" t="str">
        <f>"00659775"</f>
        <v>00659775</v>
      </c>
    </row>
    <row r="13442" spans="1:2" x14ac:dyDescent="0.25">
      <c r="A13442" s="2">
        <v>13437</v>
      </c>
      <c r="B13442" s="3" t="str">
        <f>"00659786"</f>
        <v>00659786</v>
      </c>
    </row>
    <row r="13443" spans="1:2" x14ac:dyDescent="0.25">
      <c r="A13443" s="2">
        <v>13438</v>
      </c>
      <c r="B13443" s="3" t="str">
        <f>"00659814"</f>
        <v>00659814</v>
      </c>
    </row>
    <row r="13444" spans="1:2" x14ac:dyDescent="0.25">
      <c r="A13444" s="2">
        <v>13439</v>
      </c>
      <c r="B13444" s="3" t="str">
        <f>"00659945"</f>
        <v>00659945</v>
      </c>
    </row>
    <row r="13445" spans="1:2" x14ac:dyDescent="0.25">
      <c r="A13445" s="2">
        <v>13440</v>
      </c>
      <c r="B13445" s="3" t="str">
        <f>"00659957"</f>
        <v>00659957</v>
      </c>
    </row>
    <row r="13446" spans="1:2" x14ac:dyDescent="0.25">
      <c r="A13446" s="2">
        <v>13441</v>
      </c>
      <c r="B13446" s="3" t="str">
        <f>"00660036"</f>
        <v>00660036</v>
      </c>
    </row>
    <row r="13447" spans="1:2" x14ac:dyDescent="0.25">
      <c r="A13447" s="2">
        <v>13442</v>
      </c>
      <c r="B13447" s="3" t="str">
        <f>"00660059"</f>
        <v>00660059</v>
      </c>
    </row>
    <row r="13448" spans="1:2" x14ac:dyDescent="0.25">
      <c r="A13448" s="2">
        <v>13443</v>
      </c>
      <c r="B13448" s="3" t="str">
        <f>"00660191"</f>
        <v>00660191</v>
      </c>
    </row>
    <row r="13449" spans="1:2" x14ac:dyDescent="0.25">
      <c r="A13449" s="2">
        <v>13444</v>
      </c>
      <c r="B13449" s="3" t="str">
        <f>"00660221"</f>
        <v>00660221</v>
      </c>
    </row>
    <row r="13450" spans="1:2" x14ac:dyDescent="0.25">
      <c r="A13450" s="2">
        <v>13445</v>
      </c>
      <c r="B13450" s="3" t="str">
        <f>"00660246"</f>
        <v>00660246</v>
      </c>
    </row>
    <row r="13451" spans="1:2" x14ac:dyDescent="0.25">
      <c r="A13451" s="2">
        <v>13446</v>
      </c>
      <c r="B13451" s="3" t="str">
        <f>"00660247"</f>
        <v>00660247</v>
      </c>
    </row>
    <row r="13452" spans="1:2" x14ac:dyDescent="0.25">
      <c r="A13452" s="2">
        <v>13447</v>
      </c>
      <c r="B13452" s="3" t="str">
        <f>"00660286"</f>
        <v>00660286</v>
      </c>
    </row>
    <row r="13453" spans="1:2" x14ac:dyDescent="0.25">
      <c r="A13453" s="2">
        <v>13448</v>
      </c>
      <c r="B13453" s="3" t="str">
        <f>"00660371"</f>
        <v>00660371</v>
      </c>
    </row>
    <row r="13454" spans="1:2" x14ac:dyDescent="0.25">
      <c r="A13454" s="2">
        <v>13449</v>
      </c>
      <c r="B13454" s="3" t="str">
        <f>"00660410"</f>
        <v>00660410</v>
      </c>
    </row>
    <row r="13455" spans="1:2" x14ac:dyDescent="0.25">
      <c r="A13455" s="2">
        <v>13450</v>
      </c>
      <c r="B13455" s="3" t="str">
        <f>"00660510"</f>
        <v>00660510</v>
      </c>
    </row>
    <row r="13456" spans="1:2" x14ac:dyDescent="0.25">
      <c r="A13456" s="2">
        <v>13451</v>
      </c>
      <c r="B13456" s="3" t="str">
        <f>"00660763"</f>
        <v>00660763</v>
      </c>
    </row>
    <row r="13457" spans="1:2" x14ac:dyDescent="0.25">
      <c r="A13457" s="2">
        <v>13452</v>
      </c>
      <c r="B13457" s="3" t="str">
        <f>"00660860"</f>
        <v>00660860</v>
      </c>
    </row>
    <row r="13458" spans="1:2" x14ac:dyDescent="0.25">
      <c r="A13458" s="2">
        <v>13453</v>
      </c>
      <c r="B13458" s="3" t="str">
        <f>"00660884"</f>
        <v>00660884</v>
      </c>
    </row>
    <row r="13459" spans="1:2" x14ac:dyDescent="0.25">
      <c r="A13459" s="2">
        <v>13454</v>
      </c>
      <c r="B13459" s="3" t="str">
        <f>"00660982"</f>
        <v>00660982</v>
      </c>
    </row>
    <row r="13460" spans="1:2" x14ac:dyDescent="0.25">
      <c r="A13460" s="2">
        <v>13455</v>
      </c>
      <c r="B13460" s="3" t="str">
        <f>"00660989"</f>
        <v>00660989</v>
      </c>
    </row>
    <row r="13461" spans="1:2" x14ac:dyDescent="0.25">
      <c r="A13461" s="2">
        <v>13456</v>
      </c>
      <c r="B13461" s="3" t="str">
        <f>"00660990"</f>
        <v>00660990</v>
      </c>
    </row>
    <row r="13462" spans="1:2" x14ac:dyDescent="0.25">
      <c r="A13462" s="2">
        <v>13457</v>
      </c>
      <c r="B13462" s="3" t="str">
        <f>"00660995"</f>
        <v>00660995</v>
      </c>
    </row>
    <row r="13463" spans="1:2" x14ac:dyDescent="0.25">
      <c r="A13463" s="2">
        <v>13458</v>
      </c>
      <c r="B13463" s="3" t="str">
        <f>"00661026"</f>
        <v>00661026</v>
      </c>
    </row>
    <row r="13464" spans="1:2" x14ac:dyDescent="0.25">
      <c r="A13464" s="2">
        <v>13459</v>
      </c>
      <c r="B13464" s="3" t="str">
        <f>"00661096"</f>
        <v>00661096</v>
      </c>
    </row>
    <row r="13465" spans="1:2" x14ac:dyDescent="0.25">
      <c r="A13465" s="2">
        <v>13460</v>
      </c>
      <c r="B13465" s="3" t="str">
        <f>"00661137"</f>
        <v>00661137</v>
      </c>
    </row>
    <row r="13466" spans="1:2" x14ac:dyDescent="0.25">
      <c r="A13466" s="2">
        <v>13461</v>
      </c>
      <c r="B13466" s="3" t="str">
        <f>"00661139"</f>
        <v>00661139</v>
      </c>
    </row>
    <row r="13467" spans="1:2" x14ac:dyDescent="0.25">
      <c r="A13467" s="2">
        <v>13462</v>
      </c>
      <c r="B13467" s="3" t="str">
        <f>"00661240"</f>
        <v>00661240</v>
      </c>
    </row>
    <row r="13468" spans="1:2" x14ac:dyDescent="0.25">
      <c r="A13468" s="2">
        <v>13463</v>
      </c>
      <c r="B13468" s="3" t="str">
        <f>"00661245"</f>
        <v>00661245</v>
      </c>
    </row>
    <row r="13469" spans="1:2" x14ac:dyDescent="0.25">
      <c r="A13469" s="2">
        <v>13464</v>
      </c>
      <c r="B13469" s="3" t="str">
        <f>"00661269"</f>
        <v>00661269</v>
      </c>
    </row>
    <row r="13470" spans="1:2" x14ac:dyDescent="0.25">
      <c r="A13470" s="2">
        <v>13465</v>
      </c>
      <c r="B13470" s="3" t="str">
        <f>"00661307"</f>
        <v>00661307</v>
      </c>
    </row>
    <row r="13471" spans="1:2" x14ac:dyDescent="0.25">
      <c r="A13471" s="2">
        <v>13466</v>
      </c>
      <c r="B13471" s="3" t="str">
        <f>"00661432"</f>
        <v>00661432</v>
      </c>
    </row>
    <row r="13472" spans="1:2" x14ac:dyDescent="0.25">
      <c r="A13472" s="2">
        <v>13467</v>
      </c>
      <c r="B13472" s="3" t="str">
        <f>"00661493"</f>
        <v>00661493</v>
      </c>
    </row>
    <row r="13473" spans="1:2" x14ac:dyDescent="0.25">
      <c r="A13473" s="2">
        <v>13468</v>
      </c>
      <c r="B13473" s="3" t="str">
        <f>"00661503"</f>
        <v>00661503</v>
      </c>
    </row>
    <row r="13474" spans="1:2" x14ac:dyDescent="0.25">
      <c r="A13474" s="2">
        <v>13469</v>
      </c>
      <c r="B13474" s="3" t="str">
        <f>"00661508"</f>
        <v>00661508</v>
      </c>
    </row>
    <row r="13475" spans="1:2" x14ac:dyDescent="0.25">
      <c r="A13475" s="2">
        <v>13470</v>
      </c>
      <c r="B13475" s="3" t="str">
        <f>"00661522"</f>
        <v>00661522</v>
      </c>
    </row>
    <row r="13476" spans="1:2" x14ac:dyDescent="0.25">
      <c r="A13476" s="2">
        <v>13471</v>
      </c>
      <c r="B13476" s="3" t="str">
        <f>"00661533"</f>
        <v>00661533</v>
      </c>
    </row>
    <row r="13477" spans="1:2" x14ac:dyDescent="0.25">
      <c r="A13477" s="2">
        <v>13472</v>
      </c>
      <c r="B13477" s="3" t="str">
        <f>"00661669"</f>
        <v>00661669</v>
      </c>
    </row>
    <row r="13478" spans="1:2" x14ac:dyDescent="0.25">
      <c r="A13478" s="2">
        <v>13473</v>
      </c>
      <c r="B13478" s="3" t="str">
        <f>"00661721"</f>
        <v>00661721</v>
      </c>
    </row>
    <row r="13479" spans="1:2" x14ac:dyDescent="0.25">
      <c r="A13479" s="2">
        <v>13474</v>
      </c>
      <c r="B13479" s="3" t="str">
        <f>"00661751"</f>
        <v>00661751</v>
      </c>
    </row>
    <row r="13480" spans="1:2" x14ac:dyDescent="0.25">
      <c r="A13480" s="2">
        <v>13475</v>
      </c>
      <c r="B13480" s="3" t="str">
        <f>"00661774"</f>
        <v>00661774</v>
      </c>
    </row>
    <row r="13481" spans="1:2" x14ac:dyDescent="0.25">
      <c r="A13481" s="2">
        <v>13476</v>
      </c>
      <c r="B13481" s="3" t="str">
        <f>"00661802"</f>
        <v>00661802</v>
      </c>
    </row>
    <row r="13482" spans="1:2" x14ac:dyDescent="0.25">
      <c r="A13482" s="2">
        <v>13477</v>
      </c>
      <c r="B13482" s="3" t="str">
        <f>"00661980"</f>
        <v>00661980</v>
      </c>
    </row>
    <row r="13483" spans="1:2" x14ac:dyDescent="0.25">
      <c r="A13483" s="2">
        <v>13478</v>
      </c>
      <c r="B13483" s="3" t="str">
        <f>"00662083"</f>
        <v>00662083</v>
      </c>
    </row>
    <row r="13484" spans="1:2" x14ac:dyDescent="0.25">
      <c r="A13484" s="2">
        <v>13479</v>
      </c>
      <c r="B13484" s="3" t="str">
        <f>"00662112"</f>
        <v>00662112</v>
      </c>
    </row>
    <row r="13485" spans="1:2" x14ac:dyDescent="0.25">
      <c r="A13485" s="2">
        <v>13480</v>
      </c>
      <c r="B13485" s="3" t="str">
        <f>"00662144"</f>
        <v>00662144</v>
      </c>
    </row>
    <row r="13486" spans="1:2" x14ac:dyDescent="0.25">
      <c r="A13486" s="2">
        <v>13481</v>
      </c>
      <c r="B13486" s="3" t="str">
        <f>"00662184"</f>
        <v>00662184</v>
      </c>
    </row>
    <row r="13487" spans="1:2" x14ac:dyDescent="0.25">
      <c r="A13487" s="2">
        <v>13482</v>
      </c>
      <c r="B13487" s="3" t="str">
        <f>"00662213"</f>
        <v>00662213</v>
      </c>
    </row>
    <row r="13488" spans="1:2" x14ac:dyDescent="0.25">
      <c r="A13488" s="2">
        <v>13483</v>
      </c>
      <c r="B13488" s="3" t="str">
        <f>"00662216"</f>
        <v>00662216</v>
      </c>
    </row>
    <row r="13489" spans="1:2" x14ac:dyDescent="0.25">
      <c r="A13489" s="2">
        <v>13484</v>
      </c>
      <c r="B13489" s="3" t="str">
        <f>"00662224"</f>
        <v>00662224</v>
      </c>
    </row>
    <row r="13490" spans="1:2" x14ac:dyDescent="0.25">
      <c r="A13490" s="2">
        <v>13485</v>
      </c>
      <c r="B13490" s="3" t="str">
        <f>"00662290"</f>
        <v>00662290</v>
      </c>
    </row>
    <row r="13491" spans="1:2" x14ac:dyDescent="0.25">
      <c r="A13491" s="2">
        <v>13486</v>
      </c>
      <c r="B13491" s="3" t="str">
        <f>"00662375"</f>
        <v>00662375</v>
      </c>
    </row>
    <row r="13492" spans="1:2" x14ac:dyDescent="0.25">
      <c r="A13492" s="2">
        <v>13487</v>
      </c>
      <c r="B13492" s="3" t="str">
        <f>"00662497"</f>
        <v>00662497</v>
      </c>
    </row>
    <row r="13493" spans="1:2" x14ac:dyDescent="0.25">
      <c r="A13493" s="2">
        <v>13488</v>
      </c>
      <c r="B13493" s="3" t="str">
        <f>"00662602"</f>
        <v>00662602</v>
      </c>
    </row>
    <row r="13494" spans="1:2" x14ac:dyDescent="0.25">
      <c r="A13494" s="2">
        <v>13489</v>
      </c>
      <c r="B13494" s="3" t="str">
        <f>"00662718"</f>
        <v>00662718</v>
      </c>
    </row>
    <row r="13495" spans="1:2" x14ac:dyDescent="0.25">
      <c r="A13495" s="2">
        <v>13490</v>
      </c>
      <c r="B13495" s="3" t="str">
        <f>"00662784"</f>
        <v>00662784</v>
      </c>
    </row>
    <row r="13496" spans="1:2" x14ac:dyDescent="0.25">
      <c r="A13496" s="2">
        <v>13491</v>
      </c>
      <c r="B13496" s="3" t="str">
        <f>"00662816"</f>
        <v>00662816</v>
      </c>
    </row>
    <row r="13497" spans="1:2" x14ac:dyDescent="0.25">
      <c r="A13497" s="2">
        <v>13492</v>
      </c>
      <c r="B13497" s="3" t="str">
        <f>"00662855"</f>
        <v>00662855</v>
      </c>
    </row>
    <row r="13498" spans="1:2" x14ac:dyDescent="0.25">
      <c r="A13498" s="2">
        <v>13493</v>
      </c>
      <c r="B13498" s="3" t="str">
        <f>"00662866"</f>
        <v>00662866</v>
      </c>
    </row>
    <row r="13499" spans="1:2" x14ac:dyDescent="0.25">
      <c r="A13499" s="2">
        <v>13494</v>
      </c>
      <c r="B13499" s="3" t="str">
        <f>"00662911"</f>
        <v>00662911</v>
      </c>
    </row>
    <row r="13500" spans="1:2" x14ac:dyDescent="0.25">
      <c r="A13500" s="2">
        <v>13495</v>
      </c>
      <c r="B13500" s="3" t="str">
        <f>"00662943"</f>
        <v>00662943</v>
      </c>
    </row>
    <row r="13501" spans="1:2" x14ac:dyDescent="0.25">
      <c r="A13501" s="2">
        <v>13496</v>
      </c>
      <c r="B13501" s="3" t="str">
        <f>"00662972"</f>
        <v>00662972</v>
      </c>
    </row>
    <row r="13502" spans="1:2" x14ac:dyDescent="0.25">
      <c r="A13502" s="2">
        <v>13497</v>
      </c>
      <c r="B13502" s="3" t="str">
        <f>"00662998"</f>
        <v>00662998</v>
      </c>
    </row>
    <row r="13503" spans="1:2" x14ac:dyDescent="0.25">
      <c r="A13503" s="2">
        <v>13498</v>
      </c>
      <c r="B13503" s="3" t="str">
        <f>"00663046"</f>
        <v>00663046</v>
      </c>
    </row>
    <row r="13504" spans="1:2" x14ac:dyDescent="0.25">
      <c r="A13504" s="2">
        <v>13499</v>
      </c>
      <c r="B13504" s="3" t="str">
        <f>"00663072"</f>
        <v>00663072</v>
      </c>
    </row>
    <row r="13505" spans="1:2" x14ac:dyDescent="0.25">
      <c r="A13505" s="2">
        <v>13500</v>
      </c>
      <c r="B13505" s="3" t="str">
        <f>"00663171"</f>
        <v>00663171</v>
      </c>
    </row>
    <row r="13506" spans="1:2" x14ac:dyDescent="0.25">
      <c r="A13506" s="2">
        <v>13501</v>
      </c>
      <c r="B13506" s="3" t="str">
        <f>"00663261"</f>
        <v>00663261</v>
      </c>
    </row>
    <row r="13507" spans="1:2" x14ac:dyDescent="0.25">
      <c r="A13507" s="2">
        <v>13502</v>
      </c>
      <c r="B13507" s="3" t="str">
        <f>"00663275"</f>
        <v>00663275</v>
      </c>
    </row>
    <row r="13508" spans="1:2" x14ac:dyDescent="0.25">
      <c r="A13508" s="2">
        <v>13503</v>
      </c>
      <c r="B13508" s="3" t="str">
        <f>"00663302"</f>
        <v>00663302</v>
      </c>
    </row>
    <row r="13509" spans="1:2" x14ac:dyDescent="0.25">
      <c r="A13509" s="2">
        <v>13504</v>
      </c>
      <c r="B13509" s="3" t="str">
        <f>"00663326"</f>
        <v>00663326</v>
      </c>
    </row>
    <row r="13510" spans="1:2" x14ac:dyDescent="0.25">
      <c r="A13510" s="2">
        <v>13505</v>
      </c>
      <c r="B13510" s="3" t="str">
        <f>"00663346"</f>
        <v>00663346</v>
      </c>
    </row>
    <row r="13511" spans="1:2" x14ac:dyDescent="0.25">
      <c r="A13511" s="2">
        <v>13506</v>
      </c>
      <c r="B13511" s="3" t="str">
        <f>"00663379"</f>
        <v>00663379</v>
      </c>
    </row>
    <row r="13512" spans="1:2" x14ac:dyDescent="0.25">
      <c r="A13512" s="2">
        <v>13507</v>
      </c>
      <c r="B13512" s="3" t="str">
        <f>"00663521"</f>
        <v>00663521</v>
      </c>
    </row>
    <row r="13513" spans="1:2" x14ac:dyDescent="0.25">
      <c r="A13513" s="2">
        <v>13508</v>
      </c>
      <c r="B13513" s="3" t="str">
        <f>"00663558"</f>
        <v>00663558</v>
      </c>
    </row>
    <row r="13514" spans="1:2" x14ac:dyDescent="0.25">
      <c r="A13514" s="2">
        <v>13509</v>
      </c>
      <c r="B13514" s="3" t="str">
        <f>"00663615"</f>
        <v>00663615</v>
      </c>
    </row>
    <row r="13515" spans="1:2" x14ac:dyDescent="0.25">
      <c r="A13515" s="2">
        <v>13510</v>
      </c>
      <c r="B13515" s="3" t="str">
        <f>"00663680"</f>
        <v>00663680</v>
      </c>
    </row>
    <row r="13516" spans="1:2" x14ac:dyDescent="0.25">
      <c r="A13516" s="2">
        <v>13511</v>
      </c>
      <c r="B13516" s="3" t="str">
        <f>"00663725"</f>
        <v>00663725</v>
      </c>
    </row>
    <row r="13517" spans="1:2" x14ac:dyDescent="0.25">
      <c r="A13517" s="2">
        <v>13512</v>
      </c>
      <c r="B13517" s="3" t="str">
        <f>"00663730"</f>
        <v>00663730</v>
      </c>
    </row>
    <row r="13518" spans="1:2" x14ac:dyDescent="0.25">
      <c r="A13518" s="2">
        <v>13513</v>
      </c>
      <c r="B13518" s="3" t="str">
        <f>"00663740"</f>
        <v>00663740</v>
      </c>
    </row>
    <row r="13519" spans="1:2" x14ac:dyDescent="0.25">
      <c r="A13519" s="2">
        <v>13514</v>
      </c>
      <c r="B13519" s="3" t="str">
        <f>"00663758"</f>
        <v>00663758</v>
      </c>
    </row>
    <row r="13520" spans="1:2" x14ac:dyDescent="0.25">
      <c r="A13520" s="2">
        <v>13515</v>
      </c>
      <c r="B13520" s="3" t="str">
        <f>"00663784"</f>
        <v>00663784</v>
      </c>
    </row>
    <row r="13521" spans="1:2" x14ac:dyDescent="0.25">
      <c r="A13521" s="2">
        <v>13516</v>
      </c>
      <c r="B13521" s="3" t="str">
        <f>"00663800"</f>
        <v>00663800</v>
      </c>
    </row>
    <row r="13522" spans="1:2" x14ac:dyDescent="0.25">
      <c r="A13522" s="2">
        <v>13517</v>
      </c>
      <c r="B13522" s="3" t="str">
        <f>"00663811"</f>
        <v>00663811</v>
      </c>
    </row>
    <row r="13523" spans="1:2" x14ac:dyDescent="0.25">
      <c r="A13523" s="2">
        <v>13518</v>
      </c>
      <c r="B13523" s="3" t="str">
        <f>"00663858"</f>
        <v>00663858</v>
      </c>
    </row>
    <row r="13524" spans="1:2" x14ac:dyDescent="0.25">
      <c r="A13524" s="2">
        <v>13519</v>
      </c>
      <c r="B13524" s="3" t="str">
        <f>"00663861"</f>
        <v>00663861</v>
      </c>
    </row>
    <row r="13525" spans="1:2" x14ac:dyDescent="0.25">
      <c r="A13525" s="2">
        <v>13520</v>
      </c>
      <c r="B13525" s="3" t="str">
        <f>"00663871"</f>
        <v>00663871</v>
      </c>
    </row>
    <row r="13526" spans="1:2" x14ac:dyDescent="0.25">
      <c r="A13526" s="2">
        <v>13521</v>
      </c>
      <c r="B13526" s="3" t="str">
        <f>"00663893"</f>
        <v>00663893</v>
      </c>
    </row>
    <row r="13527" spans="1:2" x14ac:dyDescent="0.25">
      <c r="A13527" s="2">
        <v>13522</v>
      </c>
      <c r="B13527" s="3" t="str">
        <f>"00663951"</f>
        <v>00663951</v>
      </c>
    </row>
    <row r="13528" spans="1:2" x14ac:dyDescent="0.25">
      <c r="A13528" s="2">
        <v>13523</v>
      </c>
      <c r="B13528" s="3" t="str">
        <f>"00663971"</f>
        <v>00663971</v>
      </c>
    </row>
    <row r="13529" spans="1:2" x14ac:dyDescent="0.25">
      <c r="A13529" s="2">
        <v>13524</v>
      </c>
      <c r="B13529" s="3" t="str">
        <f>"00663974"</f>
        <v>00663974</v>
      </c>
    </row>
    <row r="13530" spans="1:2" x14ac:dyDescent="0.25">
      <c r="A13530" s="2">
        <v>13525</v>
      </c>
      <c r="B13530" s="3" t="str">
        <f>"00663995"</f>
        <v>00663995</v>
      </c>
    </row>
    <row r="13531" spans="1:2" x14ac:dyDescent="0.25">
      <c r="A13531" s="2">
        <v>13526</v>
      </c>
      <c r="B13531" s="3" t="str">
        <f>"00664108"</f>
        <v>00664108</v>
      </c>
    </row>
    <row r="13532" spans="1:2" x14ac:dyDescent="0.25">
      <c r="A13532" s="2">
        <v>13527</v>
      </c>
      <c r="B13532" s="3" t="str">
        <f>"00664121"</f>
        <v>00664121</v>
      </c>
    </row>
    <row r="13533" spans="1:2" x14ac:dyDescent="0.25">
      <c r="A13533" s="2">
        <v>13528</v>
      </c>
      <c r="B13533" s="3" t="str">
        <f>"00664198"</f>
        <v>00664198</v>
      </c>
    </row>
    <row r="13534" spans="1:2" x14ac:dyDescent="0.25">
      <c r="A13534" s="2">
        <v>13529</v>
      </c>
      <c r="B13534" s="3" t="str">
        <f>"00664219"</f>
        <v>00664219</v>
      </c>
    </row>
    <row r="13535" spans="1:2" x14ac:dyDescent="0.25">
      <c r="A13535" s="2">
        <v>13530</v>
      </c>
      <c r="B13535" s="3" t="str">
        <f>"00664225"</f>
        <v>00664225</v>
      </c>
    </row>
    <row r="13536" spans="1:2" x14ac:dyDescent="0.25">
      <c r="A13536" s="2">
        <v>13531</v>
      </c>
      <c r="B13536" s="3" t="str">
        <f>"00664248"</f>
        <v>00664248</v>
      </c>
    </row>
    <row r="13537" spans="1:2" x14ac:dyDescent="0.25">
      <c r="A13537" s="2">
        <v>13532</v>
      </c>
      <c r="B13537" s="3" t="str">
        <f>"00664272"</f>
        <v>00664272</v>
      </c>
    </row>
    <row r="13538" spans="1:2" x14ac:dyDescent="0.25">
      <c r="A13538" s="2">
        <v>13533</v>
      </c>
      <c r="B13538" s="3" t="str">
        <f>"00664395"</f>
        <v>00664395</v>
      </c>
    </row>
    <row r="13539" spans="1:2" x14ac:dyDescent="0.25">
      <c r="A13539" s="2">
        <v>13534</v>
      </c>
      <c r="B13539" s="3" t="str">
        <f>"00664422"</f>
        <v>00664422</v>
      </c>
    </row>
    <row r="13540" spans="1:2" x14ac:dyDescent="0.25">
      <c r="A13540" s="2">
        <v>13535</v>
      </c>
      <c r="B13540" s="3" t="str">
        <f>"00664442"</f>
        <v>00664442</v>
      </c>
    </row>
    <row r="13541" spans="1:2" x14ac:dyDescent="0.25">
      <c r="A13541" s="2">
        <v>13536</v>
      </c>
      <c r="B13541" s="3" t="str">
        <f>"00664504"</f>
        <v>00664504</v>
      </c>
    </row>
    <row r="13542" spans="1:2" x14ac:dyDescent="0.25">
      <c r="A13542" s="2">
        <v>13537</v>
      </c>
      <c r="B13542" s="3" t="str">
        <f>"00664529"</f>
        <v>00664529</v>
      </c>
    </row>
    <row r="13543" spans="1:2" x14ac:dyDescent="0.25">
      <c r="A13543" s="2">
        <v>13538</v>
      </c>
      <c r="B13543" s="3" t="str">
        <f>"00664620"</f>
        <v>00664620</v>
      </c>
    </row>
    <row r="13544" spans="1:2" x14ac:dyDescent="0.25">
      <c r="A13544" s="2">
        <v>13539</v>
      </c>
      <c r="B13544" s="3" t="str">
        <f>"00664684"</f>
        <v>00664684</v>
      </c>
    </row>
    <row r="13545" spans="1:2" x14ac:dyDescent="0.25">
      <c r="A13545" s="2">
        <v>13540</v>
      </c>
      <c r="B13545" s="3" t="str">
        <f>"00664826"</f>
        <v>00664826</v>
      </c>
    </row>
    <row r="13546" spans="1:2" x14ac:dyDescent="0.25">
      <c r="A13546" s="2">
        <v>13541</v>
      </c>
      <c r="B13546" s="3" t="str">
        <f>"00664847"</f>
        <v>00664847</v>
      </c>
    </row>
    <row r="13547" spans="1:2" x14ac:dyDescent="0.25">
      <c r="A13547" s="2">
        <v>13542</v>
      </c>
      <c r="B13547" s="3" t="str">
        <f>"00664887"</f>
        <v>00664887</v>
      </c>
    </row>
    <row r="13548" spans="1:2" x14ac:dyDescent="0.25">
      <c r="A13548" s="2">
        <v>13543</v>
      </c>
      <c r="B13548" s="3" t="str">
        <f>"00664903"</f>
        <v>00664903</v>
      </c>
    </row>
    <row r="13549" spans="1:2" x14ac:dyDescent="0.25">
      <c r="A13549" s="2">
        <v>13544</v>
      </c>
      <c r="B13549" s="3" t="str">
        <f>"00664913"</f>
        <v>00664913</v>
      </c>
    </row>
    <row r="13550" spans="1:2" x14ac:dyDescent="0.25">
      <c r="A13550" s="2">
        <v>13545</v>
      </c>
      <c r="B13550" s="3" t="str">
        <f>"00664929"</f>
        <v>00664929</v>
      </c>
    </row>
    <row r="13551" spans="1:2" x14ac:dyDescent="0.25">
      <c r="A13551" s="2">
        <v>13546</v>
      </c>
      <c r="B13551" s="3" t="str">
        <f>"00664997"</f>
        <v>00664997</v>
      </c>
    </row>
    <row r="13552" spans="1:2" x14ac:dyDescent="0.25">
      <c r="A13552" s="2">
        <v>13547</v>
      </c>
      <c r="B13552" s="3" t="str">
        <f>"00665142"</f>
        <v>00665142</v>
      </c>
    </row>
    <row r="13553" spans="1:2" x14ac:dyDescent="0.25">
      <c r="A13553" s="2">
        <v>13548</v>
      </c>
      <c r="B13553" s="3" t="str">
        <f>"00665174"</f>
        <v>00665174</v>
      </c>
    </row>
    <row r="13554" spans="1:2" x14ac:dyDescent="0.25">
      <c r="A13554" s="2">
        <v>13549</v>
      </c>
      <c r="B13554" s="3" t="str">
        <f>"00665177"</f>
        <v>00665177</v>
      </c>
    </row>
    <row r="13555" spans="1:2" x14ac:dyDescent="0.25">
      <c r="A13555" s="2">
        <v>13550</v>
      </c>
      <c r="B13555" s="3" t="str">
        <f>"00665183"</f>
        <v>00665183</v>
      </c>
    </row>
    <row r="13556" spans="1:2" x14ac:dyDescent="0.25">
      <c r="A13556" s="2">
        <v>13551</v>
      </c>
      <c r="B13556" s="3" t="str">
        <f>"00665190"</f>
        <v>00665190</v>
      </c>
    </row>
    <row r="13557" spans="1:2" x14ac:dyDescent="0.25">
      <c r="A13557" s="2">
        <v>13552</v>
      </c>
      <c r="B13557" s="3" t="str">
        <f>"00665200"</f>
        <v>00665200</v>
      </c>
    </row>
    <row r="13558" spans="1:2" x14ac:dyDescent="0.25">
      <c r="A13558" s="2">
        <v>13553</v>
      </c>
      <c r="B13558" s="3" t="str">
        <f>"00665257"</f>
        <v>00665257</v>
      </c>
    </row>
    <row r="13559" spans="1:2" x14ac:dyDescent="0.25">
      <c r="A13559" s="2">
        <v>13554</v>
      </c>
      <c r="B13559" s="3" t="str">
        <f>"00665263"</f>
        <v>00665263</v>
      </c>
    </row>
    <row r="13560" spans="1:2" x14ac:dyDescent="0.25">
      <c r="A13560" s="2">
        <v>13555</v>
      </c>
      <c r="B13560" s="3" t="str">
        <f>"00665300"</f>
        <v>00665300</v>
      </c>
    </row>
    <row r="13561" spans="1:2" x14ac:dyDescent="0.25">
      <c r="A13561" s="2">
        <v>13556</v>
      </c>
      <c r="B13561" s="3" t="str">
        <f>"00665341"</f>
        <v>00665341</v>
      </c>
    </row>
    <row r="13562" spans="1:2" x14ac:dyDescent="0.25">
      <c r="A13562" s="2">
        <v>13557</v>
      </c>
      <c r="B13562" s="3" t="str">
        <f>"00665348"</f>
        <v>00665348</v>
      </c>
    </row>
    <row r="13563" spans="1:2" x14ac:dyDescent="0.25">
      <c r="A13563" s="2">
        <v>13558</v>
      </c>
      <c r="B13563" s="3" t="str">
        <f>"00665537"</f>
        <v>00665537</v>
      </c>
    </row>
    <row r="13564" spans="1:2" x14ac:dyDescent="0.25">
      <c r="A13564" s="2">
        <v>13559</v>
      </c>
      <c r="B13564" s="3" t="str">
        <f>"00665544"</f>
        <v>00665544</v>
      </c>
    </row>
    <row r="13565" spans="1:2" x14ac:dyDescent="0.25">
      <c r="A13565" s="2">
        <v>13560</v>
      </c>
      <c r="B13565" s="3" t="str">
        <f>"00665565"</f>
        <v>00665565</v>
      </c>
    </row>
    <row r="13566" spans="1:2" x14ac:dyDescent="0.25">
      <c r="A13566" s="2">
        <v>13561</v>
      </c>
      <c r="B13566" s="3" t="str">
        <f>"00665610"</f>
        <v>00665610</v>
      </c>
    </row>
    <row r="13567" spans="1:2" x14ac:dyDescent="0.25">
      <c r="A13567" s="2">
        <v>13562</v>
      </c>
      <c r="B13567" s="3" t="str">
        <f>"00665619"</f>
        <v>00665619</v>
      </c>
    </row>
    <row r="13568" spans="1:2" x14ac:dyDescent="0.25">
      <c r="A13568" s="2">
        <v>13563</v>
      </c>
      <c r="B13568" s="3" t="str">
        <f>"00665752"</f>
        <v>00665752</v>
      </c>
    </row>
    <row r="13569" spans="1:2" x14ac:dyDescent="0.25">
      <c r="A13569" s="2">
        <v>13564</v>
      </c>
      <c r="B13569" s="3" t="str">
        <f>"00665768"</f>
        <v>00665768</v>
      </c>
    </row>
    <row r="13570" spans="1:2" x14ac:dyDescent="0.25">
      <c r="A13570" s="2">
        <v>13565</v>
      </c>
      <c r="B13570" s="3" t="str">
        <f>"00665788"</f>
        <v>00665788</v>
      </c>
    </row>
    <row r="13571" spans="1:2" x14ac:dyDescent="0.25">
      <c r="A13571" s="2">
        <v>13566</v>
      </c>
      <c r="B13571" s="3" t="str">
        <f>"00665824"</f>
        <v>00665824</v>
      </c>
    </row>
    <row r="13572" spans="1:2" x14ac:dyDescent="0.25">
      <c r="A13572" s="2">
        <v>13567</v>
      </c>
      <c r="B13572" s="3" t="str">
        <f>"00665831"</f>
        <v>00665831</v>
      </c>
    </row>
    <row r="13573" spans="1:2" x14ac:dyDescent="0.25">
      <c r="A13573" s="2">
        <v>13568</v>
      </c>
      <c r="B13573" s="3" t="str">
        <f>"00665848"</f>
        <v>00665848</v>
      </c>
    </row>
    <row r="13574" spans="1:2" x14ac:dyDescent="0.25">
      <c r="A13574" s="2">
        <v>13569</v>
      </c>
      <c r="B13574" s="3" t="str">
        <f>"00665863"</f>
        <v>00665863</v>
      </c>
    </row>
    <row r="13575" spans="1:2" x14ac:dyDescent="0.25">
      <c r="A13575" s="2">
        <v>13570</v>
      </c>
      <c r="B13575" s="3" t="str">
        <f>"00665868"</f>
        <v>00665868</v>
      </c>
    </row>
    <row r="13576" spans="1:2" x14ac:dyDescent="0.25">
      <c r="A13576" s="2">
        <v>13571</v>
      </c>
      <c r="B13576" s="3" t="str">
        <f>"00665877"</f>
        <v>00665877</v>
      </c>
    </row>
    <row r="13577" spans="1:2" x14ac:dyDescent="0.25">
      <c r="A13577" s="2">
        <v>13572</v>
      </c>
      <c r="B13577" s="3" t="str">
        <f>"00665957"</f>
        <v>00665957</v>
      </c>
    </row>
    <row r="13578" spans="1:2" x14ac:dyDescent="0.25">
      <c r="A13578" s="2">
        <v>13573</v>
      </c>
      <c r="B13578" s="3" t="str">
        <f>"00665975"</f>
        <v>00665975</v>
      </c>
    </row>
    <row r="13579" spans="1:2" x14ac:dyDescent="0.25">
      <c r="A13579" s="2">
        <v>13574</v>
      </c>
      <c r="B13579" s="3" t="str">
        <f>"00665998"</f>
        <v>00665998</v>
      </c>
    </row>
    <row r="13580" spans="1:2" x14ac:dyDescent="0.25">
      <c r="A13580" s="2">
        <v>13575</v>
      </c>
      <c r="B13580" s="3" t="str">
        <f>"00666051"</f>
        <v>00666051</v>
      </c>
    </row>
    <row r="13581" spans="1:2" x14ac:dyDescent="0.25">
      <c r="A13581" s="2">
        <v>13576</v>
      </c>
      <c r="B13581" s="3" t="str">
        <f>"00666076"</f>
        <v>00666076</v>
      </c>
    </row>
    <row r="13582" spans="1:2" x14ac:dyDescent="0.25">
      <c r="A13582" s="2">
        <v>13577</v>
      </c>
      <c r="B13582" s="3" t="str">
        <f>"00666087"</f>
        <v>00666087</v>
      </c>
    </row>
    <row r="13583" spans="1:2" x14ac:dyDescent="0.25">
      <c r="A13583" s="2">
        <v>13578</v>
      </c>
      <c r="B13583" s="3" t="str">
        <f>"00666163"</f>
        <v>00666163</v>
      </c>
    </row>
    <row r="13584" spans="1:2" x14ac:dyDescent="0.25">
      <c r="A13584" s="2">
        <v>13579</v>
      </c>
      <c r="B13584" s="3" t="str">
        <f>"00666185"</f>
        <v>00666185</v>
      </c>
    </row>
    <row r="13585" spans="1:2" x14ac:dyDescent="0.25">
      <c r="A13585" s="2">
        <v>13580</v>
      </c>
      <c r="B13585" s="3" t="str">
        <f>"00666206"</f>
        <v>00666206</v>
      </c>
    </row>
    <row r="13586" spans="1:2" x14ac:dyDescent="0.25">
      <c r="A13586" s="2">
        <v>13581</v>
      </c>
      <c r="B13586" s="3" t="str">
        <f>"00666228"</f>
        <v>00666228</v>
      </c>
    </row>
    <row r="13587" spans="1:2" x14ac:dyDescent="0.25">
      <c r="A13587" s="2">
        <v>13582</v>
      </c>
      <c r="B13587" s="3" t="str">
        <f>"00666277"</f>
        <v>00666277</v>
      </c>
    </row>
    <row r="13588" spans="1:2" x14ac:dyDescent="0.25">
      <c r="A13588" s="2">
        <v>13583</v>
      </c>
      <c r="B13588" s="3" t="str">
        <f>"00666428"</f>
        <v>00666428</v>
      </c>
    </row>
    <row r="13589" spans="1:2" x14ac:dyDescent="0.25">
      <c r="A13589" s="2">
        <v>13584</v>
      </c>
      <c r="B13589" s="3" t="str">
        <f>"00666596"</f>
        <v>00666596</v>
      </c>
    </row>
    <row r="13590" spans="1:2" x14ac:dyDescent="0.25">
      <c r="A13590" s="2">
        <v>13585</v>
      </c>
      <c r="B13590" s="3" t="str">
        <f>"00666637"</f>
        <v>00666637</v>
      </c>
    </row>
    <row r="13591" spans="1:2" x14ac:dyDescent="0.25">
      <c r="A13591" s="2">
        <v>13586</v>
      </c>
      <c r="B13591" s="3" t="str">
        <f>"00666642"</f>
        <v>00666642</v>
      </c>
    </row>
    <row r="13592" spans="1:2" x14ac:dyDescent="0.25">
      <c r="A13592" s="2">
        <v>13587</v>
      </c>
      <c r="B13592" s="3" t="str">
        <f>"00666734"</f>
        <v>00666734</v>
      </c>
    </row>
    <row r="13593" spans="1:2" x14ac:dyDescent="0.25">
      <c r="A13593" s="2">
        <v>13588</v>
      </c>
      <c r="B13593" s="3" t="str">
        <f>"00666848"</f>
        <v>00666848</v>
      </c>
    </row>
    <row r="13594" spans="1:2" x14ac:dyDescent="0.25">
      <c r="A13594" s="2">
        <v>13589</v>
      </c>
      <c r="B13594" s="3" t="str">
        <f>"00666865"</f>
        <v>00666865</v>
      </c>
    </row>
    <row r="13595" spans="1:2" x14ac:dyDescent="0.25">
      <c r="A13595" s="2">
        <v>13590</v>
      </c>
      <c r="B13595" s="3" t="str">
        <f>"00666893"</f>
        <v>00666893</v>
      </c>
    </row>
    <row r="13596" spans="1:2" x14ac:dyDescent="0.25">
      <c r="A13596" s="2">
        <v>13591</v>
      </c>
      <c r="B13596" s="3" t="str">
        <f>"00666949"</f>
        <v>00666949</v>
      </c>
    </row>
    <row r="13597" spans="1:2" x14ac:dyDescent="0.25">
      <c r="A13597" s="2">
        <v>13592</v>
      </c>
      <c r="B13597" s="3" t="str">
        <f>"00666956"</f>
        <v>00666956</v>
      </c>
    </row>
    <row r="13598" spans="1:2" x14ac:dyDescent="0.25">
      <c r="A13598" s="2">
        <v>13593</v>
      </c>
      <c r="B13598" s="3" t="str">
        <f>"00666970"</f>
        <v>00666970</v>
      </c>
    </row>
    <row r="13599" spans="1:2" x14ac:dyDescent="0.25">
      <c r="A13599" s="2">
        <v>13594</v>
      </c>
      <c r="B13599" s="3" t="str">
        <f>"00667015"</f>
        <v>00667015</v>
      </c>
    </row>
    <row r="13600" spans="1:2" x14ac:dyDescent="0.25">
      <c r="A13600" s="2">
        <v>13595</v>
      </c>
      <c r="B13600" s="3" t="str">
        <f>"00667180"</f>
        <v>00667180</v>
      </c>
    </row>
    <row r="13601" spans="1:2" x14ac:dyDescent="0.25">
      <c r="A13601" s="2">
        <v>13596</v>
      </c>
      <c r="B13601" s="3" t="str">
        <f>"00667219"</f>
        <v>00667219</v>
      </c>
    </row>
    <row r="13602" spans="1:2" x14ac:dyDescent="0.25">
      <c r="A13602" s="2">
        <v>13597</v>
      </c>
      <c r="B13602" s="3" t="str">
        <f>"00667239"</f>
        <v>00667239</v>
      </c>
    </row>
    <row r="13603" spans="1:2" x14ac:dyDescent="0.25">
      <c r="A13603" s="2">
        <v>13598</v>
      </c>
      <c r="B13603" s="3" t="str">
        <f>"00667258"</f>
        <v>00667258</v>
      </c>
    </row>
    <row r="13604" spans="1:2" x14ac:dyDescent="0.25">
      <c r="A13604" s="2">
        <v>13599</v>
      </c>
      <c r="B13604" s="3" t="str">
        <f>"00667284"</f>
        <v>00667284</v>
      </c>
    </row>
    <row r="13605" spans="1:2" x14ac:dyDescent="0.25">
      <c r="A13605" s="2">
        <v>13600</v>
      </c>
      <c r="B13605" s="3" t="str">
        <f>"00667378"</f>
        <v>00667378</v>
      </c>
    </row>
    <row r="13606" spans="1:2" x14ac:dyDescent="0.25">
      <c r="A13606" s="2">
        <v>13601</v>
      </c>
      <c r="B13606" s="3" t="str">
        <f>"00667380"</f>
        <v>00667380</v>
      </c>
    </row>
    <row r="13607" spans="1:2" x14ac:dyDescent="0.25">
      <c r="A13607" s="2">
        <v>13602</v>
      </c>
      <c r="B13607" s="3" t="str">
        <f>"00667421"</f>
        <v>00667421</v>
      </c>
    </row>
    <row r="13608" spans="1:2" x14ac:dyDescent="0.25">
      <c r="A13608" s="2">
        <v>13603</v>
      </c>
      <c r="B13608" s="3" t="str">
        <f>"00667440"</f>
        <v>00667440</v>
      </c>
    </row>
    <row r="13609" spans="1:2" x14ac:dyDescent="0.25">
      <c r="A13609" s="2">
        <v>13604</v>
      </c>
      <c r="B13609" s="3" t="str">
        <f>"00667445"</f>
        <v>00667445</v>
      </c>
    </row>
    <row r="13610" spans="1:2" x14ac:dyDescent="0.25">
      <c r="A13610" s="2">
        <v>13605</v>
      </c>
      <c r="B13610" s="3" t="str">
        <f>"00667458"</f>
        <v>00667458</v>
      </c>
    </row>
    <row r="13611" spans="1:2" x14ac:dyDescent="0.25">
      <c r="A13611" s="2">
        <v>13606</v>
      </c>
      <c r="B13611" s="3" t="str">
        <f>"00667481"</f>
        <v>00667481</v>
      </c>
    </row>
    <row r="13612" spans="1:2" x14ac:dyDescent="0.25">
      <c r="A13612" s="2">
        <v>13607</v>
      </c>
      <c r="B13612" s="3" t="str">
        <f>"00667623"</f>
        <v>00667623</v>
      </c>
    </row>
    <row r="13613" spans="1:2" x14ac:dyDescent="0.25">
      <c r="A13613" s="2">
        <v>13608</v>
      </c>
      <c r="B13613" s="3" t="str">
        <f>"00667738"</f>
        <v>00667738</v>
      </c>
    </row>
    <row r="13614" spans="1:2" x14ac:dyDescent="0.25">
      <c r="A13614" s="2">
        <v>13609</v>
      </c>
      <c r="B13614" s="3" t="str">
        <f>"00667811"</f>
        <v>00667811</v>
      </c>
    </row>
    <row r="13615" spans="1:2" x14ac:dyDescent="0.25">
      <c r="A13615" s="2">
        <v>13610</v>
      </c>
      <c r="B13615" s="3" t="str">
        <f>"00667833"</f>
        <v>00667833</v>
      </c>
    </row>
    <row r="13616" spans="1:2" x14ac:dyDescent="0.25">
      <c r="A13616" s="2">
        <v>13611</v>
      </c>
      <c r="B13616" s="3" t="str">
        <f>"00667946"</f>
        <v>00667946</v>
      </c>
    </row>
    <row r="13617" spans="1:2" x14ac:dyDescent="0.25">
      <c r="A13617" s="2">
        <v>13612</v>
      </c>
      <c r="B13617" s="3" t="str">
        <f>"00667950"</f>
        <v>00667950</v>
      </c>
    </row>
    <row r="13618" spans="1:2" x14ac:dyDescent="0.25">
      <c r="A13618" s="2">
        <v>13613</v>
      </c>
      <c r="B13618" s="3" t="str">
        <f>"00668248"</f>
        <v>00668248</v>
      </c>
    </row>
    <row r="13619" spans="1:2" x14ac:dyDescent="0.25">
      <c r="A13619" s="2">
        <v>13614</v>
      </c>
      <c r="B13619" s="3" t="str">
        <f>"00668304"</f>
        <v>00668304</v>
      </c>
    </row>
    <row r="13620" spans="1:2" x14ac:dyDescent="0.25">
      <c r="A13620" s="2">
        <v>13615</v>
      </c>
      <c r="B13620" s="3" t="str">
        <f>"00668334"</f>
        <v>00668334</v>
      </c>
    </row>
    <row r="13621" spans="1:2" x14ac:dyDescent="0.25">
      <c r="A13621" s="2">
        <v>13616</v>
      </c>
      <c r="B13621" s="3" t="str">
        <f>"00668390"</f>
        <v>00668390</v>
      </c>
    </row>
    <row r="13622" spans="1:2" x14ac:dyDescent="0.25">
      <c r="A13622" s="2">
        <v>13617</v>
      </c>
      <c r="B13622" s="3" t="str">
        <f>"00668501"</f>
        <v>00668501</v>
      </c>
    </row>
    <row r="13623" spans="1:2" x14ac:dyDescent="0.25">
      <c r="A13623" s="2">
        <v>13618</v>
      </c>
      <c r="B13623" s="3" t="str">
        <f>"00668504"</f>
        <v>00668504</v>
      </c>
    </row>
    <row r="13624" spans="1:2" x14ac:dyDescent="0.25">
      <c r="A13624" s="2">
        <v>13619</v>
      </c>
      <c r="B13624" s="3" t="str">
        <f>"00668568"</f>
        <v>00668568</v>
      </c>
    </row>
    <row r="13625" spans="1:2" x14ac:dyDescent="0.25">
      <c r="A13625" s="2">
        <v>13620</v>
      </c>
      <c r="B13625" s="3" t="str">
        <f>"00668570"</f>
        <v>00668570</v>
      </c>
    </row>
    <row r="13626" spans="1:2" x14ac:dyDescent="0.25">
      <c r="A13626" s="2">
        <v>13621</v>
      </c>
      <c r="B13626" s="3" t="str">
        <f>"00668571"</f>
        <v>00668571</v>
      </c>
    </row>
    <row r="13627" spans="1:2" x14ac:dyDescent="0.25">
      <c r="A13627" s="2">
        <v>13622</v>
      </c>
      <c r="B13627" s="3" t="str">
        <f>"00668575"</f>
        <v>00668575</v>
      </c>
    </row>
    <row r="13628" spans="1:2" x14ac:dyDescent="0.25">
      <c r="A13628" s="2">
        <v>13623</v>
      </c>
      <c r="B13628" s="3" t="str">
        <f>"00668665"</f>
        <v>00668665</v>
      </c>
    </row>
    <row r="13629" spans="1:2" x14ac:dyDescent="0.25">
      <c r="A13629" s="2">
        <v>13624</v>
      </c>
      <c r="B13629" s="3" t="str">
        <f>"00668667"</f>
        <v>00668667</v>
      </c>
    </row>
    <row r="13630" spans="1:2" x14ac:dyDescent="0.25">
      <c r="A13630" s="2">
        <v>13625</v>
      </c>
      <c r="B13630" s="3" t="str">
        <f>"00668705"</f>
        <v>00668705</v>
      </c>
    </row>
    <row r="13631" spans="1:2" x14ac:dyDescent="0.25">
      <c r="A13631" s="2">
        <v>13626</v>
      </c>
      <c r="B13631" s="3" t="str">
        <f>"00668716"</f>
        <v>00668716</v>
      </c>
    </row>
    <row r="13632" spans="1:2" x14ac:dyDescent="0.25">
      <c r="A13632" s="2">
        <v>13627</v>
      </c>
      <c r="B13632" s="3" t="str">
        <f>"00668793"</f>
        <v>00668793</v>
      </c>
    </row>
    <row r="13633" spans="1:2" x14ac:dyDescent="0.25">
      <c r="A13633" s="2">
        <v>13628</v>
      </c>
      <c r="B13633" s="3" t="str">
        <f>"00668796"</f>
        <v>00668796</v>
      </c>
    </row>
    <row r="13634" spans="1:2" x14ac:dyDescent="0.25">
      <c r="A13634" s="2">
        <v>13629</v>
      </c>
      <c r="B13634" s="3" t="str">
        <f>"00668836"</f>
        <v>00668836</v>
      </c>
    </row>
    <row r="13635" spans="1:2" x14ac:dyDescent="0.25">
      <c r="A13635" s="2">
        <v>13630</v>
      </c>
      <c r="B13635" s="3" t="str">
        <f>"00668842"</f>
        <v>00668842</v>
      </c>
    </row>
    <row r="13636" spans="1:2" x14ac:dyDescent="0.25">
      <c r="A13636" s="2">
        <v>13631</v>
      </c>
      <c r="B13636" s="3" t="str">
        <f>"00668855"</f>
        <v>00668855</v>
      </c>
    </row>
    <row r="13637" spans="1:2" x14ac:dyDescent="0.25">
      <c r="A13637" s="2">
        <v>13632</v>
      </c>
      <c r="B13637" s="3" t="str">
        <f>"00668857"</f>
        <v>00668857</v>
      </c>
    </row>
    <row r="13638" spans="1:2" x14ac:dyDescent="0.25">
      <c r="A13638" s="2">
        <v>13633</v>
      </c>
      <c r="B13638" s="3" t="str">
        <f>"00668881"</f>
        <v>00668881</v>
      </c>
    </row>
    <row r="13639" spans="1:2" x14ac:dyDescent="0.25">
      <c r="A13639" s="2">
        <v>13634</v>
      </c>
      <c r="B13639" s="3" t="str">
        <f>"00668903"</f>
        <v>00668903</v>
      </c>
    </row>
    <row r="13640" spans="1:2" x14ac:dyDescent="0.25">
      <c r="A13640" s="2">
        <v>13635</v>
      </c>
      <c r="B13640" s="3" t="str">
        <f>"00668930"</f>
        <v>00668930</v>
      </c>
    </row>
    <row r="13641" spans="1:2" x14ac:dyDescent="0.25">
      <c r="A13641" s="2">
        <v>13636</v>
      </c>
      <c r="B13641" s="3" t="str">
        <f>"00668965"</f>
        <v>00668965</v>
      </c>
    </row>
    <row r="13642" spans="1:2" x14ac:dyDescent="0.25">
      <c r="A13642" s="2">
        <v>13637</v>
      </c>
      <c r="B13642" s="3" t="str">
        <f>"00668998"</f>
        <v>00668998</v>
      </c>
    </row>
    <row r="13643" spans="1:2" x14ac:dyDescent="0.25">
      <c r="A13643" s="2">
        <v>13638</v>
      </c>
      <c r="B13643" s="3" t="str">
        <f>"00669016"</f>
        <v>00669016</v>
      </c>
    </row>
    <row r="13644" spans="1:2" x14ac:dyDescent="0.25">
      <c r="A13644" s="2">
        <v>13639</v>
      </c>
      <c r="B13644" s="3" t="str">
        <f>"00669060"</f>
        <v>00669060</v>
      </c>
    </row>
    <row r="13645" spans="1:2" x14ac:dyDescent="0.25">
      <c r="A13645" s="2">
        <v>13640</v>
      </c>
      <c r="B13645" s="3" t="str">
        <f>"00669145"</f>
        <v>00669145</v>
      </c>
    </row>
    <row r="13646" spans="1:2" x14ac:dyDescent="0.25">
      <c r="A13646" s="2">
        <v>13641</v>
      </c>
      <c r="B13646" s="3" t="str">
        <f>"00669183"</f>
        <v>00669183</v>
      </c>
    </row>
    <row r="13647" spans="1:2" x14ac:dyDescent="0.25">
      <c r="A13647" s="2">
        <v>13642</v>
      </c>
      <c r="B13647" s="3" t="str">
        <f>"00669245"</f>
        <v>00669245</v>
      </c>
    </row>
    <row r="13648" spans="1:2" x14ac:dyDescent="0.25">
      <c r="A13648" s="2">
        <v>13643</v>
      </c>
      <c r="B13648" s="3" t="str">
        <f>"00669312"</f>
        <v>00669312</v>
      </c>
    </row>
    <row r="13649" spans="1:2" x14ac:dyDescent="0.25">
      <c r="A13649" s="2">
        <v>13644</v>
      </c>
      <c r="B13649" s="3" t="str">
        <f>"00669400"</f>
        <v>00669400</v>
      </c>
    </row>
    <row r="13650" spans="1:2" x14ac:dyDescent="0.25">
      <c r="A13650" s="2">
        <v>13645</v>
      </c>
      <c r="B13650" s="3" t="str">
        <f>"00669500"</f>
        <v>00669500</v>
      </c>
    </row>
    <row r="13651" spans="1:2" x14ac:dyDescent="0.25">
      <c r="A13651" s="2">
        <v>13646</v>
      </c>
      <c r="B13651" s="3" t="str">
        <f>"00669549"</f>
        <v>00669549</v>
      </c>
    </row>
    <row r="13652" spans="1:2" x14ac:dyDescent="0.25">
      <c r="A13652" s="2">
        <v>13647</v>
      </c>
      <c r="B13652" s="3" t="str">
        <f>"00669587"</f>
        <v>00669587</v>
      </c>
    </row>
    <row r="13653" spans="1:2" x14ac:dyDescent="0.25">
      <c r="A13653" s="2">
        <v>13648</v>
      </c>
      <c r="B13653" s="3" t="str">
        <f>"00669595"</f>
        <v>00669595</v>
      </c>
    </row>
    <row r="13654" spans="1:2" x14ac:dyDescent="0.25">
      <c r="A13654" s="2">
        <v>13649</v>
      </c>
      <c r="B13654" s="3" t="str">
        <f>"00669638"</f>
        <v>00669638</v>
      </c>
    </row>
    <row r="13655" spans="1:2" x14ac:dyDescent="0.25">
      <c r="A13655" s="2">
        <v>13650</v>
      </c>
      <c r="B13655" s="3" t="str">
        <f>"00669651"</f>
        <v>00669651</v>
      </c>
    </row>
    <row r="13656" spans="1:2" x14ac:dyDescent="0.25">
      <c r="A13656" s="2">
        <v>13651</v>
      </c>
      <c r="B13656" s="3" t="str">
        <f>"00669660"</f>
        <v>00669660</v>
      </c>
    </row>
    <row r="13657" spans="1:2" x14ac:dyDescent="0.25">
      <c r="A13657" s="2">
        <v>13652</v>
      </c>
      <c r="B13657" s="3" t="str">
        <f>"00669681"</f>
        <v>00669681</v>
      </c>
    </row>
    <row r="13658" spans="1:2" x14ac:dyDescent="0.25">
      <c r="A13658" s="2">
        <v>13653</v>
      </c>
      <c r="B13658" s="3" t="str">
        <f>"00669689"</f>
        <v>00669689</v>
      </c>
    </row>
    <row r="13659" spans="1:2" x14ac:dyDescent="0.25">
      <c r="A13659" s="2">
        <v>13654</v>
      </c>
      <c r="B13659" s="3" t="str">
        <f>"00669702"</f>
        <v>00669702</v>
      </c>
    </row>
    <row r="13660" spans="1:2" x14ac:dyDescent="0.25">
      <c r="A13660" s="2">
        <v>13655</v>
      </c>
      <c r="B13660" s="3" t="str">
        <f>"00669743"</f>
        <v>00669743</v>
      </c>
    </row>
    <row r="13661" spans="1:2" x14ac:dyDescent="0.25">
      <c r="A13661" s="2">
        <v>13656</v>
      </c>
      <c r="B13661" s="3" t="str">
        <f>"00669765"</f>
        <v>00669765</v>
      </c>
    </row>
    <row r="13662" spans="1:2" x14ac:dyDescent="0.25">
      <c r="A13662" s="2">
        <v>13657</v>
      </c>
      <c r="B13662" s="3" t="str">
        <f>"00669787"</f>
        <v>00669787</v>
      </c>
    </row>
    <row r="13663" spans="1:2" x14ac:dyDescent="0.25">
      <c r="A13663" s="2">
        <v>13658</v>
      </c>
      <c r="B13663" s="3" t="str">
        <f>"00669810"</f>
        <v>00669810</v>
      </c>
    </row>
    <row r="13664" spans="1:2" x14ac:dyDescent="0.25">
      <c r="A13664" s="2">
        <v>13659</v>
      </c>
      <c r="B13664" s="3" t="str">
        <f>"00669972"</f>
        <v>00669972</v>
      </c>
    </row>
    <row r="13665" spans="1:2" x14ac:dyDescent="0.25">
      <c r="A13665" s="2">
        <v>13660</v>
      </c>
      <c r="B13665" s="3" t="str">
        <f>"00670010"</f>
        <v>00670010</v>
      </c>
    </row>
    <row r="13666" spans="1:2" x14ac:dyDescent="0.25">
      <c r="A13666" s="2">
        <v>13661</v>
      </c>
      <c r="B13666" s="3" t="str">
        <f>"00670064"</f>
        <v>00670064</v>
      </c>
    </row>
    <row r="13667" spans="1:2" x14ac:dyDescent="0.25">
      <c r="A13667" s="2">
        <v>13662</v>
      </c>
      <c r="B13667" s="3" t="str">
        <f>"00670081"</f>
        <v>00670081</v>
      </c>
    </row>
    <row r="13668" spans="1:2" x14ac:dyDescent="0.25">
      <c r="A13668" s="2">
        <v>13663</v>
      </c>
      <c r="B13668" s="3" t="str">
        <f>"00670122"</f>
        <v>00670122</v>
      </c>
    </row>
    <row r="13669" spans="1:2" x14ac:dyDescent="0.25">
      <c r="A13669" s="2">
        <v>13664</v>
      </c>
      <c r="B13669" s="3" t="str">
        <f>"00670131"</f>
        <v>00670131</v>
      </c>
    </row>
    <row r="13670" spans="1:2" x14ac:dyDescent="0.25">
      <c r="A13670" s="2">
        <v>13665</v>
      </c>
      <c r="B13670" s="3" t="str">
        <f>"00670161"</f>
        <v>00670161</v>
      </c>
    </row>
    <row r="13671" spans="1:2" x14ac:dyDescent="0.25">
      <c r="A13671" s="2">
        <v>13666</v>
      </c>
      <c r="B13671" s="3" t="str">
        <f>"00670167"</f>
        <v>00670167</v>
      </c>
    </row>
    <row r="13672" spans="1:2" x14ac:dyDescent="0.25">
      <c r="A13672" s="2">
        <v>13667</v>
      </c>
      <c r="B13672" s="3" t="str">
        <f>"00670181"</f>
        <v>00670181</v>
      </c>
    </row>
    <row r="13673" spans="1:2" x14ac:dyDescent="0.25">
      <c r="A13673" s="2">
        <v>13668</v>
      </c>
      <c r="B13673" s="3" t="str">
        <f>"00670199"</f>
        <v>00670199</v>
      </c>
    </row>
    <row r="13674" spans="1:2" x14ac:dyDescent="0.25">
      <c r="A13674" s="2">
        <v>13669</v>
      </c>
      <c r="B13674" s="3" t="str">
        <f>"00670298"</f>
        <v>00670298</v>
      </c>
    </row>
    <row r="13675" spans="1:2" x14ac:dyDescent="0.25">
      <c r="A13675" s="2">
        <v>13670</v>
      </c>
      <c r="B13675" s="3" t="str">
        <f>"00670306"</f>
        <v>00670306</v>
      </c>
    </row>
    <row r="13676" spans="1:2" x14ac:dyDescent="0.25">
      <c r="A13676" s="2">
        <v>13671</v>
      </c>
      <c r="B13676" s="3" t="str">
        <f>"00670354"</f>
        <v>00670354</v>
      </c>
    </row>
    <row r="13677" spans="1:2" x14ac:dyDescent="0.25">
      <c r="A13677" s="2">
        <v>13672</v>
      </c>
      <c r="B13677" s="3" t="str">
        <f>"00670369"</f>
        <v>00670369</v>
      </c>
    </row>
    <row r="13678" spans="1:2" x14ac:dyDescent="0.25">
      <c r="A13678" s="2">
        <v>13673</v>
      </c>
      <c r="B13678" s="3" t="str">
        <f>"00670384"</f>
        <v>00670384</v>
      </c>
    </row>
    <row r="13679" spans="1:2" x14ac:dyDescent="0.25">
      <c r="A13679" s="2">
        <v>13674</v>
      </c>
      <c r="B13679" s="3" t="str">
        <f>"00670402"</f>
        <v>00670402</v>
      </c>
    </row>
    <row r="13680" spans="1:2" x14ac:dyDescent="0.25">
      <c r="A13680" s="2">
        <v>13675</v>
      </c>
      <c r="B13680" s="3" t="str">
        <f>"00670423"</f>
        <v>00670423</v>
      </c>
    </row>
    <row r="13681" spans="1:2" x14ac:dyDescent="0.25">
      <c r="A13681" s="2">
        <v>13676</v>
      </c>
      <c r="B13681" s="3" t="str">
        <f>"00670443"</f>
        <v>00670443</v>
      </c>
    </row>
    <row r="13682" spans="1:2" x14ac:dyDescent="0.25">
      <c r="A13682" s="2">
        <v>13677</v>
      </c>
      <c r="B13682" s="3" t="str">
        <f>"00670468"</f>
        <v>00670468</v>
      </c>
    </row>
    <row r="13683" spans="1:2" x14ac:dyDescent="0.25">
      <c r="A13683" s="2">
        <v>13678</v>
      </c>
      <c r="B13683" s="3" t="str">
        <f>"00670485"</f>
        <v>00670485</v>
      </c>
    </row>
    <row r="13684" spans="1:2" x14ac:dyDescent="0.25">
      <c r="A13684" s="2">
        <v>13679</v>
      </c>
      <c r="B13684" s="3" t="str">
        <f>"00670532"</f>
        <v>00670532</v>
      </c>
    </row>
    <row r="13685" spans="1:2" x14ac:dyDescent="0.25">
      <c r="A13685" s="2">
        <v>13680</v>
      </c>
      <c r="B13685" s="3" t="str">
        <f>"00670549"</f>
        <v>00670549</v>
      </c>
    </row>
    <row r="13686" spans="1:2" x14ac:dyDescent="0.25">
      <c r="A13686" s="2">
        <v>13681</v>
      </c>
      <c r="B13686" s="3" t="str">
        <f>"00670619"</f>
        <v>00670619</v>
      </c>
    </row>
    <row r="13687" spans="1:2" x14ac:dyDescent="0.25">
      <c r="A13687" s="2">
        <v>13682</v>
      </c>
      <c r="B13687" s="3" t="str">
        <f>"00670740"</f>
        <v>00670740</v>
      </c>
    </row>
    <row r="13688" spans="1:2" x14ac:dyDescent="0.25">
      <c r="A13688" s="2">
        <v>13683</v>
      </c>
      <c r="B13688" s="3" t="str">
        <f>"00670746"</f>
        <v>00670746</v>
      </c>
    </row>
    <row r="13689" spans="1:2" x14ac:dyDescent="0.25">
      <c r="A13689" s="2">
        <v>13684</v>
      </c>
      <c r="B13689" s="3" t="str">
        <f>"00670758"</f>
        <v>00670758</v>
      </c>
    </row>
    <row r="13690" spans="1:2" x14ac:dyDescent="0.25">
      <c r="A13690" s="2">
        <v>13685</v>
      </c>
      <c r="B13690" s="3" t="str">
        <f>"00670779"</f>
        <v>00670779</v>
      </c>
    </row>
    <row r="13691" spans="1:2" x14ac:dyDescent="0.25">
      <c r="A13691" s="2">
        <v>13686</v>
      </c>
      <c r="B13691" s="3" t="str">
        <f>"00670786"</f>
        <v>00670786</v>
      </c>
    </row>
    <row r="13692" spans="1:2" x14ac:dyDescent="0.25">
      <c r="A13692" s="2">
        <v>13687</v>
      </c>
      <c r="B13692" s="3" t="str">
        <f>"00670800"</f>
        <v>00670800</v>
      </c>
    </row>
    <row r="13693" spans="1:2" x14ac:dyDescent="0.25">
      <c r="A13693" s="2">
        <v>13688</v>
      </c>
      <c r="B13693" s="3" t="str">
        <f>"00670801"</f>
        <v>00670801</v>
      </c>
    </row>
    <row r="13694" spans="1:2" x14ac:dyDescent="0.25">
      <c r="A13694" s="2">
        <v>13689</v>
      </c>
      <c r="B13694" s="3" t="str">
        <f>"00670841"</f>
        <v>00670841</v>
      </c>
    </row>
    <row r="13695" spans="1:2" x14ac:dyDescent="0.25">
      <c r="A13695" s="2">
        <v>13690</v>
      </c>
      <c r="B13695" s="3" t="str">
        <f>"00670861"</f>
        <v>00670861</v>
      </c>
    </row>
    <row r="13696" spans="1:2" x14ac:dyDescent="0.25">
      <c r="A13696" s="2">
        <v>13691</v>
      </c>
      <c r="B13696" s="3" t="str">
        <f>"00670878"</f>
        <v>00670878</v>
      </c>
    </row>
    <row r="13697" spans="1:2" x14ac:dyDescent="0.25">
      <c r="A13697" s="2">
        <v>13692</v>
      </c>
      <c r="B13697" s="3" t="str">
        <f>"00670918"</f>
        <v>00670918</v>
      </c>
    </row>
    <row r="13698" spans="1:2" x14ac:dyDescent="0.25">
      <c r="A13698" s="2">
        <v>13693</v>
      </c>
      <c r="B13698" s="3" t="str">
        <f>"00670926"</f>
        <v>00670926</v>
      </c>
    </row>
    <row r="13699" spans="1:2" x14ac:dyDescent="0.25">
      <c r="A13699" s="2">
        <v>13694</v>
      </c>
      <c r="B13699" s="3" t="str">
        <f>"00670931"</f>
        <v>00670931</v>
      </c>
    </row>
    <row r="13700" spans="1:2" x14ac:dyDescent="0.25">
      <c r="A13700" s="2">
        <v>13695</v>
      </c>
      <c r="B13700" s="3" t="str">
        <f>"00670965"</f>
        <v>00670965</v>
      </c>
    </row>
    <row r="13701" spans="1:2" x14ac:dyDescent="0.25">
      <c r="A13701" s="2">
        <v>13696</v>
      </c>
      <c r="B13701" s="3" t="str">
        <f>"00671023"</f>
        <v>00671023</v>
      </c>
    </row>
    <row r="13702" spans="1:2" x14ac:dyDescent="0.25">
      <c r="A13702" s="2">
        <v>13697</v>
      </c>
      <c r="B13702" s="3" t="str">
        <f>"00671139"</f>
        <v>00671139</v>
      </c>
    </row>
    <row r="13703" spans="1:2" x14ac:dyDescent="0.25">
      <c r="A13703" s="2">
        <v>13698</v>
      </c>
      <c r="B13703" s="3" t="str">
        <f>"00671148"</f>
        <v>00671148</v>
      </c>
    </row>
    <row r="13704" spans="1:2" x14ac:dyDescent="0.25">
      <c r="A13704" s="2">
        <v>13699</v>
      </c>
      <c r="B13704" s="3" t="str">
        <f>"00671238"</f>
        <v>00671238</v>
      </c>
    </row>
    <row r="13705" spans="1:2" x14ac:dyDescent="0.25">
      <c r="A13705" s="2">
        <v>13700</v>
      </c>
      <c r="B13705" s="3" t="str">
        <f>"00671241"</f>
        <v>00671241</v>
      </c>
    </row>
    <row r="13706" spans="1:2" x14ac:dyDescent="0.25">
      <c r="A13706" s="2">
        <v>13701</v>
      </c>
      <c r="B13706" s="3" t="str">
        <f>"00671257"</f>
        <v>00671257</v>
      </c>
    </row>
    <row r="13707" spans="1:2" x14ac:dyDescent="0.25">
      <c r="A13707" s="2">
        <v>13702</v>
      </c>
      <c r="B13707" s="3" t="str">
        <f>"00671273"</f>
        <v>00671273</v>
      </c>
    </row>
    <row r="13708" spans="1:2" x14ac:dyDescent="0.25">
      <c r="A13708" s="2">
        <v>13703</v>
      </c>
      <c r="B13708" s="3" t="str">
        <f>"00671286"</f>
        <v>00671286</v>
      </c>
    </row>
    <row r="13709" spans="1:2" x14ac:dyDescent="0.25">
      <c r="A13709" s="2">
        <v>13704</v>
      </c>
      <c r="B13709" s="3" t="str">
        <f>"00671309"</f>
        <v>00671309</v>
      </c>
    </row>
    <row r="13710" spans="1:2" x14ac:dyDescent="0.25">
      <c r="A13710" s="2">
        <v>13705</v>
      </c>
      <c r="B13710" s="3" t="str">
        <f>"00671344"</f>
        <v>00671344</v>
      </c>
    </row>
    <row r="13711" spans="1:2" x14ac:dyDescent="0.25">
      <c r="A13711" s="2">
        <v>13706</v>
      </c>
      <c r="B13711" s="3" t="str">
        <f>"00671495"</f>
        <v>00671495</v>
      </c>
    </row>
    <row r="13712" spans="1:2" x14ac:dyDescent="0.25">
      <c r="A13712" s="2">
        <v>13707</v>
      </c>
      <c r="B13712" s="3" t="str">
        <f>"00671507"</f>
        <v>00671507</v>
      </c>
    </row>
    <row r="13713" spans="1:2" x14ac:dyDescent="0.25">
      <c r="A13713" s="2">
        <v>13708</v>
      </c>
      <c r="B13713" s="3" t="str">
        <f>"00671556"</f>
        <v>00671556</v>
      </c>
    </row>
    <row r="13714" spans="1:2" x14ac:dyDescent="0.25">
      <c r="A13714" s="2">
        <v>13709</v>
      </c>
      <c r="B13714" s="3" t="str">
        <f>"00671572"</f>
        <v>00671572</v>
      </c>
    </row>
    <row r="13715" spans="1:2" x14ac:dyDescent="0.25">
      <c r="A13715" s="2">
        <v>13710</v>
      </c>
      <c r="B13715" s="3" t="str">
        <f>"00671593"</f>
        <v>00671593</v>
      </c>
    </row>
    <row r="13716" spans="1:2" x14ac:dyDescent="0.25">
      <c r="A13716" s="2">
        <v>13711</v>
      </c>
      <c r="B13716" s="3" t="str">
        <f>"00671629"</f>
        <v>00671629</v>
      </c>
    </row>
    <row r="13717" spans="1:2" x14ac:dyDescent="0.25">
      <c r="A13717" s="2">
        <v>13712</v>
      </c>
      <c r="B13717" s="3" t="str">
        <f>"00671648"</f>
        <v>00671648</v>
      </c>
    </row>
    <row r="13718" spans="1:2" x14ac:dyDescent="0.25">
      <c r="A13718" s="2">
        <v>13713</v>
      </c>
      <c r="B13718" s="3" t="str">
        <f>"00671722"</f>
        <v>00671722</v>
      </c>
    </row>
    <row r="13719" spans="1:2" x14ac:dyDescent="0.25">
      <c r="A13719" s="2">
        <v>13714</v>
      </c>
      <c r="B13719" s="3" t="str">
        <f>"00671776"</f>
        <v>00671776</v>
      </c>
    </row>
    <row r="13720" spans="1:2" x14ac:dyDescent="0.25">
      <c r="A13720" s="2">
        <v>13715</v>
      </c>
      <c r="B13720" s="3" t="str">
        <f>"00671831"</f>
        <v>00671831</v>
      </c>
    </row>
    <row r="13721" spans="1:2" x14ac:dyDescent="0.25">
      <c r="A13721" s="2">
        <v>13716</v>
      </c>
      <c r="B13721" s="3" t="str">
        <f>"00671904"</f>
        <v>00671904</v>
      </c>
    </row>
    <row r="13722" spans="1:2" x14ac:dyDescent="0.25">
      <c r="A13722" s="2">
        <v>13717</v>
      </c>
      <c r="B13722" s="3" t="str">
        <f>"00671911"</f>
        <v>00671911</v>
      </c>
    </row>
    <row r="13723" spans="1:2" x14ac:dyDescent="0.25">
      <c r="A13723" s="2">
        <v>13718</v>
      </c>
      <c r="B13723" s="3" t="str">
        <f>"00671958"</f>
        <v>00671958</v>
      </c>
    </row>
    <row r="13724" spans="1:2" x14ac:dyDescent="0.25">
      <c r="A13724" s="2">
        <v>13719</v>
      </c>
      <c r="B13724" s="3" t="str">
        <f>"00672018"</f>
        <v>00672018</v>
      </c>
    </row>
    <row r="13725" spans="1:2" x14ac:dyDescent="0.25">
      <c r="A13725" s="2">
        <v>13720</v>
      </c>
      <c r="B13725" s="3" t="str">
        <f>"00672044"</f>
        <v>00672044</v>
      </c>
    </row>
    <row r="13726" spans="1:2" x14ac:dyDescent="0.25">
      <c r="A13726" s="2">
        <v>13721</v>
      </c>
      <c r="B13726" s="3" t="str">
        <f>"00672098"</f>
        <v>00672098</v>
      </c>
    </row>
    <row r="13727" spans="1:2" x14ac:dyDescent="0.25">
      <c r="A13727" s="2">
        <v>13722</v>
      </c>
      <c r="B13727" s="3" t="str">
        <f>"00672099"</f>
        <v>00672099</v>
      </c>
    </row>
    <row r="13728" spans="1:2" x14ac:dyDescent="0.25">
      <c r="A13728" s="2">
        <v>13723</v>
      </c>
      <c r="B13728" s="3" t="str">
        <f>"00672104"</f>
        <v>00672104</v>
      </c>
    </row>
    <row r="13729" spans="1:2" x14ac:dyDescent="0.25">
      <c r="A13729" s="2">
        <v>13724</v>
      </c>
      <c r="B13729" s="3" t="str">
        <f>"00672130"</f>
        <v>00672130</v>
      </c>
    </row>
    <row r="13730" spans="1:2" x14ac:dyDescent="0.25">
      <c r="A13730" s="2">
        <v>13725</v>
      </c>
      <c r="B13730" s="3" t="str">
        <f>"00672205"</f>
        <v>00672205</v>
      </c>
    </row>
    <row r="13731" spans="1:2" x14ac:dyDescent="0.25">
      <c r="A13731" s="2">
        <v>13726</v>
      </c>
      <c r="B13731" s="3" t="str">
        <f>"00672207"</f>
        <v>00672207</v>
      </c>
    </row>
    <row r="13732" spans="1:2" x14ac:dyDescent="0.25">
      <c r="A13732" s="2">
        <v>13727</v>
      </c>
      <c r="B13732" s="3" t="str">
        <f>"00672215"</f>
        <v>00672215</v>
      </c>
    </row>
    <row r="13733" spans="1:2" x14ac:dyDescent="0.25">
      <c r="A13733" s="2">
        <v>13728</v>
      </c>
      <c r="B13733" s="3" t="str">
        <f>"00672256"</f>
        <v>00672256</v>
      </c>
    </row>
    <row r="13734" spans="1:2" x14ac:dyDescent="0.25">
      <c r="A13734" s="2">
        <v>13729</v>
      </c>
      <c r="B13734" s="3" t="str">
        <f>"00672347"</f>
        <v>00672347</v>
      </c>
    </row>
    <row r="13735" spans="1:2" x14ac:dyDescent="0.25">
      <c r="A13735" s="2">
        <v>13730</v>
      </c>
      <c r="B13735" s="3" t="str">
        <f>"00672367"</f>
        <v>00672367</v>
      </c>
    </row>
    <row r="13736" spans="1:2" x14ac:dyDescent="0.25">
      <c r="A13736" s="2">
        <v>13731</v>
      </c>
      <c r="B13736" s="3" t="str">
        <f>"00672382"</f>
        <v>00672382</v>
      </c>
    </row>
    <row r="13737" spans="1:2" x14ac:dyDescent="0.25">
      <c r="A13737" s="2">
        <v>13732</v>
      </c>
      <c r="B13737" s="3" t="str">
        <f>"00672398"</f>
        <v>00672398</v>
      </c>
    </row>
    <row r="13738" spans="1:2" x14ac:dyDescent="0.25">
      <c r="A13738" s="2">
        <v>13733</v>
      </c>
      <c r="B13738" s="3" t="str">
        <f>"00672580"</f>
        <v>00672580</v>
      </c>
    </row>
    <row r="13739" spans="1:2" x14ac:dyDescent="0.25">
      <c r="A13739" s="2">
        <v>13734</v>
      </c>
      <c r="B13739" s="3" t="str">
        <f>"00672668"</f>
        <v>00672668</v>
      </c>
    </row>
    <row r="13740" spans="1:2" x14ac:dyDescent="0.25">
      <c r="A13740" s="2">
        <v>13735</v>
      </c>
      <c r="B13740" s="3" t="str">
        <f>"00672782"</f>
        <v>00672782</v>
      </c>
    </row>
    <row r="13741" spans="1:2" x14ac:dyDescent="0.25">
      <c r="A13741" s="2">
        <v>13736</v>
      </c>
      <c r="B13741" s="3" t="str">
        <f>"00672790"</f>
        <v>00672790</v>
      </c>
    </row>
    <row r="13742" spans="1:2" x14ac:dyDescent="0.25">
      <c r="A13742" s="2">
        <v>13737</v>
      </c>
      <c r="B13742" s="3" t="str">
        <f>"00672845"</f>
        <v>00672845</v>
      </c>
    </row>
    <row r="13743" spans="1:2" x14ac:dyDescent="0.25">
      <c r="A13743" s="2">
        <v>13738</v>
      </c>
      <c r="B13743" s="3" t="str">
        <f>"00672894"</f>
        <v>00672894</v>
      </c>
    </row>
    <row r="13744" spans="1:2" x14ac:dyDescent="0.25">
      <c r="A13744" s="2">
        <v>13739</v>
      </c>
      <c r="B13744" s="3" t="str">
        <f>"00672900"</f>
        <v>00672900</v>
      </c>
    </row>
    <row r="13745" spans="1:2" x14ac:dyDescent="0.25">
      <c r="A13745" s="2">
        <v>13740</v>
      </c>
      <c r="B13745" s="3" t="str">
        <f>"00672914"</f>
        <v>00672914</v>
      </c>
    </row>
    <row r="13746" spans="1:2" x14ac:dyDescent="0.25">
      <c r="A13746" s="2">
        <v>13741</v>
      </c>
      <c r="B13746" s="3" t="str">
        <f>"00672922"</f>
        <v>00672922</v>
      </c>
    </row>
    <row r="13747" spans="1:2" x14ac:dyDescent="0.25">
      <c r="A13747" s="2">
        <v>13742</v>
      </c>
      <c r="B13747" s="3" t="str">
        <f>"00672929"</f>
        <v>00672929</v>
      </c>
    </row>
    <row r="13748" spans="1:2" x14ac:dyDescent="0.25">
      <c r="A13748" s="2">
        <v>13743</v>
      </c>
      <c r="B13748" s="3" t="str">
        <f>"00672987"</f>
        <v>00672987</v>
      </c>
    </row>
    <row r="13749" spans="1:2" x14ac:dyDescent="0.25">
      <c r="A13749" s="2">
        <v>13744</v>
      </c>
      <c r="B13749" s="3" t="str">
        <f>"00672994"</f>
        <v>00672994</v>
      </c>
    </row>
    <row r="13750" spans="1:2" x14ac:dyDescent="0.25">
      <c r="A13750" s="2">
        <v>13745</v>
      </c>
      <c r="B13750" s="3" t="str">
        <f>"00673002"</f>
        <v>00673002</v>
      </c>
    </row>
    <row r="13751" spans="1:2" x14ac:dyDescent="0.25">
      <c r="A13751" s="2">
        <v>13746</v>
      </c>
      <c r="B13751" s="3" t="str">
        <f>"00673028"</f>
        <v>00673028</v>
      </c>
    </row>
    <row r="13752" spans="1:2" x14ac:dyDescent="0.25">
      <c r="A13752" s="2">
        <v>13747</v>
      </c>
      <c r="B13752" s="3" t="str">
        <f>"00673029"</f>
        <v>00673029</v>
      </c>
    </row>
    <row r="13753" spans="1:2" x14ac:dyDescent="0.25">
      <c r="A13753" s="2">
        <v>13748</v>
      </c>
      <c r="B13753" s="3" t="str">
        <f>"00673036"</f>
        <v>00673036</v>
      </c>
    </row>
    <row r="13754" spans="1:2" x14ac:dyDescent="0.25">
      <c r="A13754" s="2">
        <v>13749</v>
      </c>
      <c r="B13754" s="3" t="str">
        <f>"00673083"</f>
        <v>00673083</v>
      </c>
    </row>
    <row r="13755" spans="1:2" x14ac:dyDescent="0.25">
      <c r="A13755" s="2">
        <v>13750</v>
      </c>
      <c r="B13755" s="3" t="str">
        <f>"00673182"</f>
        <v>00673182</v>
      </c>
    </row>
    <row r="13756" spans="1:2" x14ac:dyDescent="0.25">
      <c r="A13756" s="2">
        <v>13751</v>
      </c>
      <c r="B13756" s="3" t="str">
        <f>"00673287"</f>
        <v>00673287</v>
      </c>
    </row>
    <row r="13757" spans="1:2" x14ac:dyDescent="0.25">
      <c r="A13757" s="2">
        <v>13752</v>
      </c>
      <c r="B13757" s="3" t="str">
        <f>"00673330"</f>
        <v>00673330</v>
      </c>
    </row>
    <row r="13758" spans="1:2" x14ac:dyDescent="0.25">
      <c r="A13758" s="2">
        <v>13753</v>
      </c>
      <c r="B13758" s="3" t="str">
        <f>"00673332"</f>
        <v>00673332</v>
      </c>
    </row>
    <row r="13759" spans="1:2" x14ac:dyDescent="0.25">
      <c r="A13759" s="2">
        <v>13754</v>
      </c>
      <c r="B13759" s="3" t="str">
        <f>"00673474"</f>
        <v>00673474</v>
      </c>
    </row>
    <row r="13760" spans="1:2" x14ac:dyDescent="0.25">
      <c r="A13760" s="2">
        <v>13755</v>
      </c>
      <c r="B13760" s="3" t="str">
        <f>"00673517"</f>
        <v>00673517</v>
      </c>
    </row>
    <row r="13761" spans="1:2" x14ac:dyDescent="0.25">
      <c r="A13761" s="2">
        <v>13756</v>
      </c>
      <c r="B13761" s="3" t="str">
        <f>"00673562"</f>
        <v>00673562</v>
      </c>
    </row>
    <row r="13762" spans="1:2" x14ac:dyDescent="0.25">
      <c r="A13762" s="2">
        <v>13757</v>
      </c>
      <c r="B13762" s="3" t="str">
        <f>"00673567"</f>
        <v>00673567</v>
      </c>
    </row>
    <row r="13763" spans="1:2" x14ac:dyDescent="0.25">
      <c r="A13763" s="2">
        <v>13758</v>
      </c>
      <c r="B13763" s="3" t="str">
        <f>"00673582"</f>
        <v>00673582</v>
      </c>
    </row>
    <row r="13764" spans="1:2" x14ac:dyDescent="0.25">
      <c r="A13764" s="2">
        <v>13759</v>
      </c>
      <c r="B13764" s="3" t="str">
        <f>"00673593"</f>
        <v>00673593</v>
      </c>
    </row>
    <row r="13765" spans="1:2" x14ac:dyDescent="0.25">
      <c r="A13765" s="2">
        <v>13760</v>
      </c>
      <c r="B13765" s="3" t="str">
        <f>"00673609"</f>
        <v>00673609</v>
      </c>
    </row>
    <row r="13766" spans="1:2" x14ac:dyDescent="0.25">
      <c r="A13766" s="2">
        <v>13761</v>
      </c>
      <c r="B13766" s="3" t="str">
        <f>"00673681"</f>
        <v>00673681</v>
      </c>
    </row>
    <row r="13767" spans="1:2" x14ac:dyDescent="0.25">
      <c r="A13767" s="2">
        <v>13762</v>
      </c>
      <c r="B13767" s="3" t="str">
        <f>"00673694"</f>
        <v>00673694</v>
      </c>
    </row>
    <row r="13768" spans="1:2" x14ac:dyDescent="0.25">
      <c r="A13768" s="2">
        <v>13763</v>
      </c>
      <c r="B13768" s="3" t="str">
        <f>"00673700"</f>
        <v>00673700</v>
      </c>
    </row>
    <row r="13769" spans="1:2" x14ac:dyDescent="0.25">
      <c r="A13769" s="2">
        <v>13764</v>
      </c>
      <c r="B13769" s="3" t="str">
        <f>"00673727"</f>
        <v>00673727</v>
      </c>
    </row>
    <row r="13770" spans="1:2" x14ac:dyDescent="0.25">
      <c r="A13770" s="2">
        <v>13765</v>
      </c>
      <c r="B13770" s="3" t="str">
        <f>"00673757"</f>
        <v>00673757</v>
      </c>
    </row>
    <row r="13771" spans="1:2" x14ac:dyDescent="0.25">
      <c r="A13771" s="2">
        <v>13766</v>
      </c>
      <c r="B13771" s="3" t="str">
        <f>"00673758"</f>
        <v>00673758</v>
      </c>
    </row>
    <row r="13772" spans="1:2" x14ac:dyDescent="0.25">
      <c r="A13772" s="2">
        <v>13767</v>
      </c>
      <c r="B13772" s="3" t="str">
        <f>"00673767"</f>
        <v>00673767</v>
      </c>
    </row>
    <row r="13773" spans="1:2" x14ac:dyDescent="0.25">
      <c r="A13773" s="2">
        <v>13768</v>
      </c>
      <c r="B13773" s="3" t="str">
        <f>"00673806"</f>
        <v>00673806</v>
      </c>
    </row>
    <row r="13774" spans="1:2" x14ac:dyDescent="0.25">
      <c r="A13774" s="2">
        <v>13769</v>
      </c>
      <c r="B13774" s="3" t="str">
        <f>"00673834"</f>
        <v>00673834</v>
      </c>
    </row>
    <row r="13775" spans="1:2" x14ac:dyDescent="0.25">
      <c r="A13775" s="2">
        <v>13770</v>
      </c>
      <c r="B13775" s="3" t="str">
        <f>"00673850"</f>
        <v>00673850</v>
      </c>
    </row>
    <row r="13776" spans="1:2" x14ac:dyDescent="0.25">
      <c r="A13776" s="2">
        <v>13771</v>
      </c>
      <c r="B13776" s="3" t="str">
        <f>"00673864"</f>
        <v>00673864</v>
      </c>
    </row>
    <row r="13777" spans="1:2" x14ac:dyDescent="0.25">
      <c r="A13777" s="2">
        <v>13772</v>
      </c>
      <c r="B13777" s="3" t="str">
        <f>"00673883"</f>
        <v>00673883</v>
      </c>
    </row>
    <row r="13778" spans="1:2" x14ac:dyDescent="0.25">
      <c r="A13778" s="2">
        <v>13773</v>
      </c>
      <c r="B13778" s="3" t="str">
        <f>"00673933"</f>
        <v>00673933</v>
      </c>
    </row>
    <row r="13779" spans="1:2" x14ac:dyDescent="0.25">
      <c r="A13779" s="2">
        <v>13774</v>
      </c>
      <c r="B13779" s="3" t="str">
        <f>"00673967"</f>
        <v>00673967</v>
      </c>
    </row>
    <row r="13780" spans="1:2" x14ac:dyDescent="0.25">
      <c r="A13780" s="2">
        <v>13775</v>
      </c>
      <c r="B13780" s="3" t="str">
        <f>"00673989"</f>
        <v>00673989</v>
      </c>
    </row>
    <row r="13781" spans="1:2" x14ac:dyDescent="0.25">
      <c r="A13781" s="2">
        <v>13776</v>
      </c>
      <c r="B13781" s="3" t="str">
        <f>"00673998"</f>
        <v>00673998</v>
      </c>
    </row>
    <row r="13782" spans="1:2" x14ac:dyDescent="0.25">
      <c r="A13782" s="2">
        <v>13777</v>
      </c>
      <c r="B13782" s="3" t="str">
        <f>"00674001"</f>
        <v>00674001</v>
      </c>
    </row>
    <row r="13783" spans="1:2" x14ac:dyDescent="0.25">
      <c r="A13783" s="2">
        <v>13778</v>
      </c>
      <c r="B13783" s="3" t="str">
        <f>"00674016"</f>
        <v>00674016</v>
      </c>
    </row>
    <row r="13784" spans="1:2" x14ac:dyDescent="0.25">
      <c r="A13784" s="2">
        <v>13779</v>
      </c>
      <c r="B13784" s="3" t="str">
        <f>"00674088"</f>
        <v>00674088</v>
      </c>
    </row>
    <row r="13785" spans="1:2" x14ac:dyDescent="0.25">
      <c r="A13785" s="2">
        <v>13780</v>
      </c>
      <c r="B13785" s="3" t="str">
        <f>"00674096"</f>
        <v>00674096</v>
      </c>
    </row>
    <row r="13786" spans="1:2" x14ac:dyDescent="0.25">
      <c r="A13786" s="2">
        <v>13781</v>
      </c>
      <c r="B13786" s="3" t="str">
        <f>"00674148"</f>
        <v>00674148</v>
      </c>
    </row>
    <row r="13787" spans="1:2" x14ac:dyDescent="0.25">
      <c r="A13787" s="2">
        <v>13782</v>
      </c>
      <c r="B13787" s="3" t="str">
        <f>"00674200"</f>
        <v>00674200</v>
      </c>
    </row>
    <row r="13788" spans="1:2" x14ac:dyDescent="0.25">
      <c r="A13788" s="2">
        <v>13783</v>
      </c>
      <c r="B13788" s="3" t="str">
        <f>"00674280"</f>
        <v>00674280</v>
      </c>
    </row>
    <row r="13789" spans="1:2" x14ac:dyDescent="0.25">
      <c r="A13789" s="2">
        <v>13784</v>
      </c>
      <c r="B13789" s="3" t="str">
        <f>"00674294"</f>
        <v>00674294</v>
      </c>
    </row>
    <row r="13790" spans="1:2" x14ac:dyDescent="0.25">
      <c r="A13790" s="2">
        <v>13785</v>
      </c>
      <c r="B13790" s="3" t="str">
        <f>"00674305"</f>
        <v>00674305</v>
      </c>
    </row>
    <row r="13791" spans="1:2" x14ac:dyDescent="0.25">
      <c r="A13791" s="2">
        <v>13786</v>
      </c>
      <c r="B13791" s="3" t="str">
        <f>"00674349"</f>
        <v>00674349</v>
      </c>
    </row>
    <row r="13792" spans="1:2" x14ac:dyDescent="0.25">
      <c r="A13792" s="2">
        <v>13787</v>
      </c>
      <c r="B13792" s="3" t="str">
        <f>"00674361"</f>
        <v>00674361</v>
      </c>
    </row>
    <row r="13793" spans="1:2" x14ac:dyDescent="0.25">
      <c r="A13793" s="2">
        <v>13788</v>
      </c>
      <c r="B13793" s="3" t="str">
        <f>"00674374"</f>
        <v>00674374</v>
      </c>
    </row>
    <row r="13794" spans="1:2" x14ac:dyDescent="0.25">
      <c r="A13794" s="2">
        <v>13789</v>
      </c>
      <c r="B13794" s="3" t="str">
        <f>"00674398"</f>
        <v>00674398</v>
      </c>
    </row>
    <row r="13795" spans="1:2" x14ac:dyDescent="0.25">
      <c r="A13795" s="2">
        <v>13790</v>
      </c>
      <c r="B13795" s="3" t="str">
        <f>"00674405"</f>
        <v>00674405</v>
      </c>
    </row>
    <row r="13796" spans="1:2" x14ac:dyDescent="0.25">
      <c r="A13796" s="2">
        <v>13791</v>
      </c>
      <c r="B13796" s="3" t="str">
        <f>"00674512"</f>
        <v>00674512</v>
      </c>
    </row>
    <row r="13797" spans="1:2" x14ac:dyDescent="0.25">
      <c r="A13797" s="2">
        <v>13792</v>
      </c>
      <c r="B13797" s="3" t="str">
        <f>"00674534"</f>
        <v>00674534</v>
      </c>
    </row>
    <row r="13798" spans="1:2" x14ac:dyDescent="0.25">
      <c r="A13798" s="2">
        <v>13793</v>
      </c>
      <c r="B13798" s="3" t="str">
        <f>"00674616"</f>
        <v>00674616</v>
      </c>
    </row>
    <row r="13799" spans="1:2" x14ac:dyDescent="0.25">
      <c r="A13799" s="2">
        <v>13794</v>
      </c>
      <c r="B13799" s="3" t="str">
        <f>"00674700"</f>
        <v>00674700</v>
      </c>
    </row>
    <row r="13800" spans="1:2" x14ac:dyDescent="0.25">
      <c r="A13800" s="2">
        <v>13795</v>
      </c>
      <c r="B13800" s="3" t="str">
        <f>"00674704"</f>
        <v>00674704</v>
      </c>
    </row>
    <row r="13801" spans="1:2" x14ac:dyDescent="0.25">
      <c r="A13801" s="2">
        <v>13796</v>
      </c>
      <c r="B13801" s="3" t="str">
        <f>"00674709"</f>
        <v>00674709</v>
      </c>
    </row>
    <row r="13802" spans="1:2" x14ac:dyDescent="0.25">
      <c r="A13802" s="2">
        <v>13797</v>
      </c>
      <c r="B13802" s="3" t="str">
        <f>"00674753"</f>
        <v>00674753</v>
      </c>
    </row>
    <row r="13803" spans="1:2" x14ac:dyDescent="0.25">
      <c r="A13803" s="2">
        <v>13798</v>
      </c>
      <c r="B13803" s="3" t="str">
        <f>"00674779"</f>
        <v>00674779</v>
      </c>
    </row>
    <row r="13804" spans="1:2" x14ac:dyDescent="0.25">
      <c r="A13804" s="2">
        <v>13799</v>
      </c>
      <c r="B13804" s="3" t="str">
        <f>"00674781"</f>
        <v>00674781</v>
      </c>
    </row>
    <row r="13805" spans="1:2" x14ac:dyDescent="0.25">
      <c r="A13805" s="2">
        <v>13800</v>
      </c>
      <c r="B13805" s="3" t="str">
        <f>"00674980"</f>
        <v>00674980</v>
      </c>
    </row>
    <row r="13806" spans="1:2" x14ac:dyDescent="0.25">
      <c r="A13806" s="2">
        <v>13801</v>
      </c>
      <c r="B13806" s="3" t="str">
        <f>"00674998"</f>
        <v>00674998</v>
      </c>
    </row>
    <row r="13807" spans="1:2" x14ac:dyDescent="0.25">
      <c r="A13807" s="2">
        <v>13802</v>
      </c>
      <c r="B13807" s="3" t="str">
        <f>"00675048"</f>
        <v>00675048</v>
      </c>
    </row>
    <row r="13808" spans="1:2" x14ac:dyDescent="0.25">
      <c r="A13808" s="2">
        <v>13803</v>
      </c>
      <c r="B13808" s="3" t="str">
        <f>"00675051"</f>
        <v>00675051</v>
      </c>
    </row>
    <row r="13809" spans="1:2" x14ac:dyDescent="0.25">
      <c r="A13809" s="2">
        <v>13804</v>
      </c>
      <c r="B13809" s="3" t="str">
        <f>"00675096"</f>
        <v>00675096</v>
      </c>
    </row>
    <row r="13810" spans="1:2" x14ac:dyDescent="0.25">
      <c r="A13810" s="2">
        <v>13805</v>
      </c>
      <c r="B13810" s="3" t="str">
        <f>"00675150"</f>
        <v>00675150</v>
      </c>
    </row>
    <row r="13811" spans="1:2" x14ac:dyDescent="0.25">
      <c r="A13811" s="2">
        <v>13806</v>
      </c>
      <c r="B13811" s="3" t="str">
        <f>"00675156"</f>
        <v>00675156</v>
      </c>
    </row>
    <row r="13812" spans="1:2" x14ac:dyDescent="0.25">
      <c r="A13812" s="2">
        <v>13807</v>
      </c>
      <c r="B13812" s="3" t="str">
        <f>"00675183"</f>
        <v>00675183</v>
      </c>
    </row>
    <row r="13813" spans="1:2" x14ac:dyDescent="0.25">
      <c r="A13813" s="2">
        <v>13808</v>
      </c>
      <c r="B13813" s="3" t="str">
        <f>"00675200"</f>
        <v>00675200</v>
      </c>
    </row>
    <row r="13814" spans="1:2" x14ac:dyDescent="0.25">
      <c r="A13814" s="2">
        <v>13809</v>
      </c>
      <c r="B13814" s="3" t="str">
        <f>"00675255"</f>
        <v>00675255</v>
      </c>
    </row>
    <row r="13815" spans="1:2" x14ac:dyDescent="0.25">
      <c r="A13815" s="2">
        <v>13810</v>
      </c>
      <c r="B13815" s="3" t="str">
        <f>"00675286"</f>
        <v>00675286</v>
      </c>
    </row>
    <row r="13816" spans="1:2" x14ac:dyDescent="0.25">
      <c r="A13816" s="2">
        <v>13811</v>
      </c>
      <c r="B13816" s="3" t="str">
        <f>"00675294"</f>
        <v>00675294</v>
      </c>
    </row>
    <row r="13817" spans="1:2" x14ac:dyDescent="0.25">
      <c r="A13817" s="2">
        <v>13812</v>
      </c>
      <c r="B13817" s="3" t="str">
        <f>"00675375"</f>
        <v>00675375</v>
      </c>
    </row>
    <row r="13818" spans="1:2" x14ac:dyDescent="0.25">
      <c r="A13818" s="2">
        <v>13813</v>
      </c>
      <c r="B13818" s="3" t="str">
        <f>"00675386"</f>
        <v>00675386</v>
      </c>
    </row>
    <row r="13819" spans="1:2" x14ac:dyDescent="0.25">
      <c r="A13819" s="2">
        <v>13814</v>
      </c>
      <c r="B13819" s="3" t="str">
        <f>"00675394"</f>
        <v>00675394</v>
      </c>
    </row>
    <row r="13820" spans="1:2" x14ac:dyDescent="0.25">
      <c r="A13820" s="2">
        <v>13815</v>
      </c>
      <c r="B13820" s="3" t="str">
        <f>"00675444"</f>
        <v>00675444</v>
      </c>
    </row>
    <row r="13821" spans="1:2" x14ac:dyDescent="0.25">
      <c r="A13821" s="2">
        <v>13816</v>
      </c>
      <c r="B13821" s="3" t="str">
        <f>"00675464"</f>
        <v>00675464</v>
      </c>
    </row>
    <row r="13822" spans="1:2" x14ac:dyDescent="0.25">
      <c r="A13822" s="2">
        <v>13817</v>
      </c>
      <c r="B13822" s="3" t="str">
        <f>"00675465"</f>
        <v>00675465</v>
      </c>
    </row>
    <row r="13823" spans="1:2" x14ac:dyDescent="0.25">
      <c r="A13823" s="2">
        <v>13818</v>
      </c>
      <c r="B13823" s="3" t="str">
        <f>"00675482"</f>
        <v>00675482</v>
      </c>
    </row>
    <row r="13824" spans="1:2" x14ac:dyDescent="0.25">
      <c r="A13824" s="2">
        <v>13819</v>
      </c>
      <c r="B13824" s="3" t="str">
        <f>"00675510"</f>
        <v>00675510</v>
      </c>
    </row>
    <row r="13825" spans="1:2" x14ac:dyDescent="0.25">
      <c r="A13825" s="2">
        <v>13820</v>
      </c>
      <c r="B13825" s="3" t="str">
        <f>"00675519"</f>
        <v>00675519</v>
      </c>
    </row>
    <row r="13826" spans="1:2" x14ac:dyDescent="0.25">
      <c r="A13826" s="2">
        <v>13821</v>
      </c>
      <c r="B13826" s="3" t="str">
        <f>"00675533"</f>
        <v>00675533</v>
      </c>
    </row>
    <row r="13827" spans="1:2" x14ac:dyDescent="0.25">
      <c r="A13827" s="2">
        <v>13822</v>
      </c>
      <c r="B13827" s="3" t="str">
        <f>"00675550"</f>
        <v>00675550</v>
      </c>
    </row>
    <row r="13828" spans="1:2" x14ac:dyDescent="0.25">
      <c r="A13828" s="2">
        <v>13823</v>
      </c>
      <c r="B13828" s="3" t="str">
        <f>"00675586"</f>
        <v>00675586</v>
      </c>
    </row>
    <row r="13829" spans="1:2" x14ac:dyDescent="0.25">
      <c r="A13829" s="2">
        <v>13824</v>
      </c>
      <c r="B13829" s="3" t="str">
        <f>"00675657"</f>
        <v>00675657</v>
      </c>
    </row>
    <row r="13830" spans="1:2" x14ac:dyDescent="0.25">
      <c r="A13830" s="2">
        <v>13825</v>
      </c>
      <c r="B13830" s="3" t="str">
        <f>"00675666"</f>
        <v>00675666</v>
      </c>
    </row>
    <row r="13831" spans="1:2" x14ac:dyDescent="0.25">
      <c r="A13831" s="2">
        <v>13826</v>
      </c>
      <c r="B13831" s="3" t="str">
        <f>"00675684"</f>
        <v>00675684</v>
      </c>
    </row>
    <row r="13832" spans="1:2" x14ac:dyDescent="0.25">
      <c r="A13832" s="2">
        <v>13827</v>
      </c>
      <c r="B13832" s="3" t="str">
        <f>"00675698"</f>
        <v>00675698</v>
      </c>
    </row>
    <row r="13833" spans="1:2" x14ac:dyDescent="0.25">
      <c r="A13833" s="2">
        <v>13828</v>
      </c>
      <c r="B13833" s="3" t="str">
        <f>"00675750"</f>
        <v>00675750</v>
      </c>
    </row>
    <row r="13834" spans="1:2" x14ac:dyDescent="0.25">
      <c r="A13834" s="2">
        <v>13829</v>
      </c>
      <c r="B13834" s="3" t="str">
        <f>"00675789"</f>
        <v>00675789</v>
      </c>
    </row>
    <row r="13835" spans="1:2" x14ac:dyDescent="0.25">
      <c r="A13835" s="2">
        <v>13830</v>
      </c>
      <c r="B13835" s="3" t="str">
        <f>"00675834"</f>
        <v>00675834</v>
      </c>
    </row>
    <row r="13836" spans="1:2" x14ac:dyDescent="0.25">
      <c r="A13836" s="2">
        <v>13831</v>
      </c>
      <c r="B13836" s="3" t="str">
        <f>"00675869"</f>
        <v>00675869</v>
      </c>
    </row>
    <row r="13837" spans="1:2" x14ac:dyDescent="0.25">
      <c r="A13837" s="2">
        <v>13832</v>
      </c>
      <c r="B13837" s="3" t="str">
        <f>"00675942"</f>
        <v>00675942</v>
      </c>
    </row>
    <row r="13838" spans="1:2" x14ac:dyDescent="0.25">
      <c r="A13838" s="2">
        <v>13833</v>
      </c>
      <c r="B13838" s="3" t="str">
        <f>"00675983"</f>
        <v>00675983</v>
      </c>
    </row>
    <row r="13839" spans="1:2" x14ac:dyDescent="0.25">
      <c r="A13839" s="2">
        <v>13834</v>
      </c>
      <c r="B13839" s="3" t="str">
        <f>"00676024"</f>
        <v>00676024</v>
      </c>
    </row>
    <row r="13840" spans="1:2" x14ac:dyDescent="0.25">
      <c r="A13840" s="2">
        <v>13835</v>
      </c>
      <c r="B13840" s="3" t="str">
        <f>"00676034"</f>
        <v>00676034</v>
      </c>
    </row>
    <row r="13841" spans="1:2" x14ac:dyDescent="0.25">
      <c r="A13841" s="2">
        <v>13836</v>
      </c>
      <c r="B13841" s="3" t="str">
        <f>"00676045"</f>
        <v>00676045</v>
      </c>
    </row>
    <row r="13842" spans="1:2" x14ac:dyDescent="0.25">
      <c r="A13842" s="2">
        <v>13837</v>
      </c>
      <c r="B13842" s="3" t="str">
        <f>"00676058"</f>
        <v>00676058</v>
      </c>
    </row>
    <row r="13843" spans="1:2" x14ac:dyDescent="0.25">
      <c r="A13843" s="2">
        <v>13838</v>
      </c>
      <c r="B13843" s="3" t="str">
        <f>"00676059"</f>
        <v>00676059</v>
      </c>
    </row>
    <row r="13844" spans="1:2" x14ac:dyDescent="0.25">
      <c r="A13844" s="2">
        <v>13839</v>
      </c>
      <c r="B13844" s="3" t="str">
        <f>"00676099"</f>
        <v>00676099</v>
      </c>
    </row>
    <row r="13845" spans="1:2" x14ac:dyDescent="0.25">
      <c r="A13845" s="2">
        <v>13840</v>
      </c>
      <c r="B13845" s="3" t="str">
        <f>"00676124"</f>
        <v>00676124</v>
      </c>
    </row>
    <row r="13846" spans="1:2" x14ac:dyDescent="0.25">
      <c r="A13846" s="2">
        <v>13841</v>
      </c>
      <c r="B13846" s="3" t="str">
        <f>"00676133"</f>
        <v>00676133</v>
      </c>
    </row>
    <row r="13847" spans="1:2" x14ac:dyDescent="0.25">
      <c r="A13847" s="2">
        <v>13842</v>
      </c>
      <c r="B13847" s="3" t="str">
        <f>"00676140"</f>
        <v>00676140</v>
      </c>
    </row>
    <row r="13848" spans="1:2" x14ac:dyDescent="0.25">
      <c r="A13848" s="2">
        <v>13843</v>
      </c>
      <c r="B13848" s="3" t="str">
        <f>"00676158"</f>
        <v>00676158</v>
      </c>
    </row>
    <row r="13849" spans="1:2" x14ac:dyDescent="0.25">
      <c r="A13849" s="2">
        <v>13844</v>
      </c>
      <c r="B13849" s="3" t="str">
        <f>"00676264"</f>
        <v>00676264</v>
      </c>
    </row>
    <row r="13850" spans="1:2" x14ac:dyDescent="0.25">
      <c r="A13850" s="2">
        <v>13845</v>
      </c>
      <c r="B13850" s="3" t="str">
        <f>"00676295"</f>
        <v>00676295</v>
      </c>
    </row>
    <row r="13851" spans="1:2" x14ac:dyDescent="0.25">
      <c r="A13851" s="2">
        <v>13846</v>
      </c>
      <c r="B13851" s="3" t="str">
        <f>"00676311"</f>
        <v>00676311</v>
      </c>
    </row>
    <row r="13852" spans="1:2" x14ac:dyDescent="0.25">
      <c r="A13852" s="2">
        <v>13847</v>
      </c>
      <c r="B13852" s="3" t="str">
        <f>"00676324"</f>
        <v>00676324</v>
      </c>
    </row>
    <row r="13853" spans="1:2" x14ac:dyDescent="0.25">
      <c r="A13853" s="2">
        <v>13848</v>
      </c>
      <c r="B13853" s="3" t="str">
        <f>"00676334"</f>
        <v>00676334</v>
      </c>
    </row>
    <row r="13854" spans="1:2" x14ac:dyDescent="0.25">
      <c r="A13854" s="2">
        <v>13849</v>
      </c>
      <c r="B13854" s="3" t="str">
        <f>"00676373"</f>
        <v>00676373</v>
      </c>
    </row>
    <row r="13855" spans="1:2" x14ac:dyDescent="0.25">
      <c r="A13855" s="2">
        <v>13850</v>
      </c>
      <c r="B13855" s="3" t="str">
        <f>"00676445"</f>
        <v>00676445</v>
      </c>
    </row>
    <row r="13856" spans="1:2" x14ac:dyDescent="0.25">
      <c r="A13856" s="2">
        <v>13851</v>
      </c>
      <c r="B13856" s="3" t="str">
        <f>"00676451"</f>
        <v>00676451</v>
      </c>
    </row>
    <row r="13857" spans="1:2" x14ac:dyDescent="0.25">
      <c r="A13857" s="2">
        <v>13852</v>
      </c>
      <c r="B13857" s="3" t="str">
        <f>"00676477"</f>
        <v>00676477</v>
      </c>
    </row>
    <row r="13858" spans="1:2" x14ac:dyDescent="0.25">
      <c r="A13858" s="2">
        <v>13853</v>
      </c>
      <c r="B13858" s="3" t="str">
        <f>"00676494"</f>
        <v>00676494</v>
      </c>
    </row>
    <row r="13859" spans="1:2" x14ac:dyDescent="0.25">
      <c r="A13859" s="2">
        <v>13854</v>
      </c>
      <c r="B13859" s="3" t="str">
        <f>"00676529"</f>
        <v>00676529</v>
      </c>
    </row>
    <row r="13860" spans="1:2" x14ac:dyDescent="0.25">
      <c r="A13860" s="2">
        <v>13855</v>
      </c>
      <c r="B13860" s="3" t="str">
        <f>"00676539"</f>
        <v>00676539</v>
      </c>
    </row>
    <row r="13861" spans="1:2" x14ac:dyDescent="0.25">
      <c r="A13861" s="2">
        <v>13856</v>
      </c>
      <c r="B13861" s="3" t="str">
        <f>"00676555"</f>
        <v>00676555</v>
      </c>
    </row>
    <row r="13862" spans="1:2" x14ac:dyDescent="0.25">
      <c r="A13862" s="2">
        <v>13857</v>
      </c>
      <c r="B13862" s="3" t="str">
        <f>"00676562"</f>
        <v>00676562</v>
      </c>
    </row>
    <row r="13863" spans="1:2" x14ac:dyDescent="0.25">
      <c r="A13863" s="2">
        <v>13858</v>
      </c>
      <c r="B13863" s="3" t="str">
        <f>"00676602"</f>
        <v>00676602</v>
      </c>
    </row>
    <row r="13864" spans="1:2" x14ac:dyDescent="0.25">
      <c r="A13864" s="2">
        <v>13859</v>
      </c>
      <c r="B13864" s="3" t="str">
        <f>"00676635"</f>
        <v>00676635</v>
      </c>
    </row>
    <row r="13865" spans="1:2" x14ac:dyDescent="0.25">
      <c r="A13865" s="2">
        <v>13860</v>
      </c>
      <c r="B13865" s="3" t="str">
        <f>"00676657"</f>
        <v>00676657</v>
      </c>
    </row>
    <row r="13866" spans="1:2" x14ac:dyDescent="0.25">
      <c r="A13866" s="2">
        <v>13861</v>
      </c>
      <c r="B13866" s="3" t="str">
        <f>"00676658"</f>
        <v>00676658</v>
      </c>
    </row>
    <row r="13867" spans="1:2" x14ac:dyDescent="0.25">
      <c r="A13867" s="2">
        <v>13862</v>
      </c>
      <c r="B13867" s="3" t="str">
        <f>"00676666"</f>
        <v>00676666</v>
      </c>
    </row>
    <row r="13868" spans="1:2" x14ac:dyDescent="0.25">
      <c r="A13868" s="2">
        <v>13863</v>
      </c>
      <c r="B13868" s="3" t="str">
        <f>"00676688"</f>
        <v>00676688</v>
      </c>
    </row>
    <row r="13869" spans="1:2" x14ac:dyDescent="0.25">
      <c r="A13869" s="2">
        <v>13864</v>
      </c>
      <c r="B13869" s="3" t="str">
        <f>"00676701"</f>
        <v>00676701</v>
      </c>
    </row>
    <row r="13870" spans="1:2" x14ac:dyDescent="0.25">
      <c r="A13870" s="2">
        <v>13865</v>
      </c>
      <c r="B13870" s="3" t="str">
        <f>"00676710"</f>
        <v>00676710</v>
      </c>
    </row>
    <row r="13871" spans="1:2" x14ac:dyDescent="0.25">
      <c r="A13871" s="2">
        <v>13866</v>
      </c>
      <c r="B13871" s="3" t="str">
        <f>"00676736"</f>
        <v>00676736</v>
      </c>
    </row>
    <row r="13872" spans="1:2" x14ac:dyDescent="0.25">
      <c r="A13872" s="2">
        <v>13867</v>
      </c>
      <c r="B13872" s="3" t="str">
        <f>"00676744"</f>
        <v>00676744</v>
      </c>
    </row>
    <row r="13873" spans="1:2" x14ac:dyDescent="0.25">
      <c r="A13873" s="2">
        <v>13868</v>
      </c>
      <c r="B13873" s="3" t="str">
        <f>"00676768"</f>
        <v>00676768</v>
      </c>
    </row>
    <row r="13874" spans="1:2" x14ac:dyDescent="0.25">
      <c r="A13874" s="2">
        <v>13869</v>
      </c>
      <c r="B13874" s="3" t="str">
        <f>"00676903"</f>
        <v>00676903</v>
      </c>
    </row>
    <row r="13875" spans="1:2" x14ac:dyDescent="0.25">
      <c r="A13875" s="2">
        <v>13870</v>
      </c>
      <c r="B13875" s="3" t="str">
        <f>"00677066"</f>
        <v>00677066</v>
      </c>
    </row>
    <row r="13876" spans="1:2" x14ac:dyDescent="0.25">
      <c r="A13876" s="2">
        <v>13871</v>
      </c>
      <c r="B13876" s="3" t="str">
        <f>"00677073"</f>
        <v>00677073</v>
      </c>
    </row>
    <row r="13877" spans="1:2" x14ac:dyDescent="0.25">
      <c r="A13877" s="2">
        <v>13872</v>
      </c>
      <c r="B13877" s="3" t="str">
        <f>"00677074"</f>
        <v>00677074</v>
      </c>
    </row>
    <row r="13878" spans="1:2" x14ac:dyDescent="0.25">
      <c r="A13878" s="2">
        <v>13873</v>
      </c>
      <c r="B13878" s="3" t="str">
        <f>"00677116"</f>
        <v>00677116</v>
      </c>
    </row>
    <row r="13879" spans="1:2" x14ac:dyDescent="0.25">
      <c r="A13879" s="2">
        <v>13874</v>
      </c>
      <c r="B13879" s="3" t="str">
        <f>"00677234"</f>
        <v>00677234</v>
      </c>
    </row>
    <row r="13880" spans="1:2" x14ac:dyDescent="0.25">
      <c r="A13880" s="2">
        <v>13875</v>
      </c>
      <c r="B13880" s="3" t="str">
        <f>"00677378"</f>
        <v>00677378</v>
      </c>
    </row>
    <row r="13881" spans="1:2" x14ac:dyDescent="0.25">
      <c r="A13881" s="2">
        <v>13876</v>
      </c>
      <c r="B13881" s="3" t="str">
        <f>"00677456"</f>
        <v>00677456</v>
      </c>
    </row>
    <row r="13882" spans="1:2" x14ac:dyDescent="0.25">
      <c r="A13882" s="2">
        <v>13877</v>
      </c>
      <c r="B13882" s="3" t="str">
        <f>"00677480"</f>
        <v>00677480</v>
      </c>
    </row>
    <row r="13883" spans="1:2" x14ac:dyDescent="0.25">
      <c r="A13883" s="2">
        <v>13878</v>
      </c>
      <c r="B13883" s="3" t="str">
        <f>"00677493"</f>
        <v>00677493</v>
      </c>
    </row>
    <row r="13884" spans="1:2" x14ac:dyDescent="0.25">
      <c r="A13884" s="2">
        <v>13879</v>
      </c>
      <c r="B13884" s="3" t="str">
        <f>"00677523"</f>
        <v>00677523</v>
      </c>
    </row>
    <row r="13885" spans="1:2" x14ac:dyDescent="0.25">
      <c r="A13885" s="2">
        <v>13880</v>
      </c>
      <c r="B13885" s="3" t="str">
        <f>"00677536"</f>
        <v>00677536</v>
      </c>
    </row>
    <row r="13886" spans="1:2" x14ac:dyDescent="0.25">
      <c r="A13886" s="2">
        <v>13881</v>
      </c>
      <c r="B13886" s="3" t="str">
        <f>"00677594"</f>
        <v>00677594</v>
      </c>
    </row>
    <row r="13887" spans="1:2" x14ac:dyDescent="0.25">
      <c r="A13887" s="2">
        <v>13882</v>
      </c>
      <c r="B13887" s="3" t="str">
        <f>"00677642"</f>
        <v>00677642</v>
      </c>
    </row>
    <row r="13888" spans="1:2" x14ac:dyDescent="0.25">
      <c r="A13888" s="2">
        <v>13883</v>
      </c>
      <c r="B13888" s="3" t="str">
        <f>"00677651"</f>
        <v>00677651</v>
      </c>
    </row>
    <row r="13889" spans="1:2" x14ac:dyDescent="0.25">
      <c r="A13889" s="2">
        <v>13884</v>
      </c>
      <c r="B13889" s="3" t="str">
        <f>"00677711"</f>
        <v>00677711</v>
      </c>
    </row>
    <row r="13890" spans="1:2" x14ac:dyDescent="0.25">
      <c r="A13890" s="2">
        <v>13885</v>
      </c>
      <c r="B13890" s="3" t="str">
        <f>"00677761"</f>
        <v>00677761</v>
      </c>
    </row>
    <row r="13891" spans="1:2" x14ac:dyDescent="0.25">
      <c r="A13891" s="2">
        <v>13886</v>
      </c>
      <c r="B13891" s="3" t="str">
        <f>"00677893"</f>
        <v>00677893</v>
      </c>
    </row>
    <row r="13892" spans="1:2" x14ac:dyDescent="0.25">
      <c r="A13892" s="2">
        <v>13887</v>
      </c>
      <c r="B13892" s="3" t="str">
        <f>"00677931"</f>
        <v>00677931</v>
      </c>
    </row>
    <row r="13893" spans="1:2" x14ac:dyDescent="0.25">
      <c r="A13893" s="2">
        <v>13888</v>
      </c>
      <c r="B13893" s="3" t="str">
        <f>"00677998"</f>
        <v>00677998</v>
      </c>
    </row>
    <row r="13894" spans="1:2" x14ac:dyDescent="0.25">
      <c r="A13894" s="2">
        <v>13889</v>
      </c>
      <c r="B13894" s="3" t="str">
        <f>"00678049"</f>
        <v>00678049</v>
      </c>
    </row>
    <row r="13895" spans="1:2" x14ac:dyDescent="0.25">
      <c r="A13895" s="2">
        <v>13890</v>
      </c>
      <c r="B13895" s="3" t="str">
        <f>"00678070"</f>
        <v>00678070</v>
      </c>
    </row>
    <row r="13896" spans="1:2" x14ac:dyDescent="0.25">
      <c r="A13896" s="2">
        <v>13891</v>
      </c>
      <c r="B13896" s="3" t="str">
        <f>"00678093"</f>
        <v>00678093</v>
      </c>
    </row>
    <row r="13897" spans="1:2" x14ac:dyDescent="0.25">
      <c r="A13897" s="2">
        <v>13892</v>
      </c>
      <c r="B13897" s="3" t="str">
        <f>"00678096"</f>
        <v>00678096</v>
      </c>
    </row>
    <row r="13898" spans="1:2" x14ac:dyDescent="0.25">
      <c r="A13898" s="2">
        <v>13893</v>
      </c>
      <c r="B13898" s="3" t="str">
        <f>"00678139"</f>
        <v>00678139</v>
      </c>
    </row>
    <row r="13899" spans="1:2" x14ac:dyDescent="0.25">
      <c r="A13899" s="2">
        <v>13894</v>
      </c>
      <c r="B13899" s="3" t="str">
        <f>"00678150"</f>
        <v>00678150</v>
      </c>
    </row>
    <row r="13900" spans="1:2" x14ac:dyDescent="0.25">
      <c r="A13900" s="2">
        <v>13895</v>
      </c>
      <c r="B13900" s="3" t="str">
        <f>"00678176"</f>
        <v>00678176</v>
      </c>
    </row>
    <row r="13901" spans="1:2" x14ac:dyDescent="0.25">
      <c r="A13901" s="2">
        <v>13896</v>
      </c>
      <c r="B13901" s="3" t="str">
        <f>"00678204"</f>
        <v>00678204</v>
      </c>
    </row>
    <row r="13902" spans="1:2" x14ac:dyDescent="0.25">
      <c r="A13902" s="2">
        <v>13897</v>
      </c>
      <c r="B13902" s="3" t="str">
        <f>"00678216"</f>
        <v>00678216</v>
      </c>
    </row>
    <row r="13903" spans="1:2" x14ac:dyDescent="0.25">
      <c r="A13903" s="2">
        <v>13898</v>
      </c>
      <c r="B13903" s="3" t="str">
        <f>"00678276"</f>
        <v>00678276</v>
      </c>
    </row>
    <row r="13904" spans="1:2" x14ac:dyDescent="0.25">
      <c r="A13904" s="2">
        <v>13899</v>
      </c>
      <c r="B13904" s="3" t="str">
        <f>"00678278"</f>
        <v>00678278</v>
      </c>
    </row>
    <row r="13905" spans="1:2" x14ac:dyDescent="0.25">
      <c r="A13905" s="2">
        <v>13900</v>
      </c>
      <c r="B13905" s="3" t="str">
        <f>"00678279"</f>
        <v>00678279</v>
      </c>
    </row>
    <row r="13906" spans="1:2" x14ac:dyDescent="0.25">
      <c r="A13906" s="2">
        <v>13901</v>
      </c>
      <c r="B13906" s="3" t="str">
        <f>"00678303"</f>
        <v>00678303</v>
      </c>
    </row>
    <row r="13907" spans="1:2" x14ac:dyDescent="0.25">
      <c r="A13907" s="2">
        <v>13902</v>
      </c>
      <c r="B13907" s="3" t="str">
        <f>"00678328"</f>
        <v>00678328</v>
      </c>
    </row>
    <row r="13908" spans="1:2" x14ac:dyDescent="0.25">
      <c r="A13908" s="2">
        <v>13903</v>
      </c>
      <c r="B13908" s="3" t="str">
        <f>"00678329"</f>
        <v>00678329</v>
      </c>
    </row>
    <row r="13909" spans="1:2" x14ac:dyDescent="0.25">
      <c r="A13909" s="2">
        <v>13904</v>
      </c>
      <c r="B13909" s="3" t="str">
        <f>"00678345"</f>
        <v>00678345</v>
      </c>
    </row>
    <row r="13910" spans="1:2" x14ac:dyDescent="0.25">
      <c r="A13910" s="2">
        <v>13905</v>
      </c>
      <c r="B13910" s="3" t="str">
        <f>"00678389"</f>
        <v>00678389</v>
      </c>
    </row>
    <row r="13911" spans="1:2" x14ac:dyDescent="0.25">
      <c r="A13911" s="2">
        <v>13906</v>
      </c>
      <c r="B13911" s="3" t="str">
        <f>"00678396"</f>
        <v>00678396</v>
      </c>
    </row>
    <row r="13912" spans="1:2" x14ac:dyDescent="0.25">
      <c r="A13912" s="2">
        <v>13907</v>
      </c>
      <c r="B13912" s="3" t="str">
        <f>"00678447"</f>
        <v>00678447</v>
      </c>
    </row>
    <row r="13913" spans="1:2" x14ac:dyDescent="0.25">
      <c r="A13913" s="2">
        <v>13908</v>
      </c>
      <c r="B13913" s="3" t="str">
        <f>"00678492"</f>
        <v>00678492</v>
      </c>
    </row>
    <row r="13914" spans="1:2" x14ac:dyDescent="0.25">
      <c r="A13914" s="2">
        <v>13909</v>
      </c>
      <c r="B13914" s="3" t="str">
        <f>"00678556"</f>
        <v>00678556</v>
      </c>
    </row>
    <row r="13915" spans="1:2" x14ac:dyDescent="0.25">
      <c r="A13915" s="2">
        <v>13910</v>
      </c>
      <c r="B13915" s="3" t="str">
        <f>"00678568"</f>
        <v>00678568</v>
      </c>
    </row>
    <row r="13916" spans="1:2" x14ac:dyDescent="0.25">
      <c r="A13916" s="2">
        <v>13911</v>
      </c>
      <c r="B13916" s="3" t="str">
        <f>"00678570"</f>
        <v>00678570</v>
      </c>
    </row>
    <row r="13917" spans="1:2" x14ac:dyDescent="0.25">
      <c r="A13917" s="2">
        <v>13912</v>
      </c>
      <c r="B13917" s="3" t="str">
        <f>"00678775"</f>
        <v>00678775</v>
      </c>
    </row>
    <row r="13918" spans="1:2" x14ac:dyDescent="0.25">
      <c r="A13918" s="2">
        <v>13913</v>
      </c>
      <c r="B13918" s="3" t="str">
        <f>"00678795"</f>
        <v>00678795</v>
      </c>
    </row>
    <row r="13919" spans="1:2" x14ac:dyDescent="0.25">
      <c r="A13919" s="2">
        <v>13914</v>
      </c>
      <c r="B13919" s="3" t="str">
        <f>"00678799"</f>
        <v>00678799</v>
      </c>
    </row>
    <row r="13920" spans="1:2" x14ac:dyDescent="0.25">
      <c r="A13920" s="2">
        <v>13915</v>
      </c>
      <c r="B13920" s="3" t="str">
        <f>"00678845"</f>
        <v>00678845</v>
      </c>
    </row>
    <row r="13921" spans="1:2" x14ac:dyDescent="0.25">
      <c r="A13921" s="2">
        <v>13916</v>
      </c>
      <c r="B13921" s="3" t="str">
        <f>"00678870"</f>
        <v>00678870</v>
      </c>
    </row>
    <row r="13922" spans="1:2" x14ac:dyDescent="0.25">
      <c r="A13922" s="2">
        <v>13917</v>
      </c>
      <c r="B13922" s="3" t="str">
        <f>"00678887"</f>
        <v>00678887</v>
      </c>
    </row>
    <row r="13923" spans="1:2" x14ac:dyDescent="0.25">
      <c r="A13923" s="2">
        <v>13918</v>
      </c>
      <c r="B13923" s="3" t="str">
        <f>"00678926"</f>
        <v>00678926</v>
      </c>
    </row>
    <row r="13924" spans="1:2" x14ac:dyDescent="0.25">
      <c r="A13924" s="2">
        <v>13919</v>
      </c>
      <c r="B13924" s="3" t="str">
        <f>"00678963"</f>
        <v>00678963</v>
      </c>
    </row>
    <row r="13925" spans="1:2" x14ac:dyDescent="0.25">
      <c r="A13925" s="2">
        <v>13920</v>
      </c>
      <c r="B13925" s="3" t="str">
        <f>"00679045"</f>
        <v>00679045</v>
      </c>
    </row>
    <row r="13926" spans="1:2" x14ac:dyDescent="0.25">
      <c r="A13926" s="2">
        <v>13921</v>
      </c>
      <c r="B13926" s="3" t="str">
        <f>"00679046"</f>
        <v>00679046</v>
      </c>
    </row>
    <row r="13927" spans="1:2" x14ac:dyDescent="0.25">
      <c r="A13927" s="2">
        <v>13922</v>
      </c>
      <c r="B13927" s="3" t="str">
        <f>"00679075"</f>
        <v>00679075</v>
      </c>
    </row>
    <row r="13928" spans="1:2" x14ac:dyDescent="0.25">
      <c r="A13928" s="2">
        <v>13923</v>
      </c>
      <c r="B13928" s="3" t="str">
        <f>"00679157"</f>
        <v>00679157</v>
      </c>
    </row>
    <row r="13929" spans="1:2" x14ac:dyDescent="0.25">
      <c r="A13929" s="2">
        <v>13924</v>
      </c>
      <c r="B13929" s="3" t="str">
        <f>"00679164"</f>
        <v>00679164</v>
      </c>
    </row>
    <row r="13930" spans="1:2" x14ac:dyDescent="0.25">
      <c r="A13930" s="2">
        <v>13925</v>
      </c>
      <c r="B13930" s="3" t="str">
        <f>"00679180"</f>
        <v>00679180</v>
      </c>
    </row>
    <row r="13931" spans="1:2" x14ac:dyDescent="0.25">
      <c r="A13931" s="2">
        <v>13926</v>
      </c>
      <c r="B13931" s="3" t="str">
        <f>"00679228"</f>
        <v>00679228</v>
      </c>
    </row>
    <row r="13932" spans="1:2" x14ac:dyDescent="0.25">
      <c r="A13932" s="2">
        <v>13927</v>
      </c>
      <c r="B13932" s="3" t="str">
        <f>"00679272"</f>
        <v>00679272</v>
      </c>
    </row>
    <row r="13933" spans="1:2" x14ac:dyDescent="0.25">
      <c r="A13933" s="2">
        <v>13928</v>
      </c>
      <c r="B13933" s="3" t="str">
        <f>"00679338"</f>
        <v>00679338</v>
      </c>
    </row>
    <row r="13934" spans="1:2" x14ac:dyDescent="0.25">
      <c r="A13934" s="2">
        <v>13929</v>
      </c>
      <c r="B13934" s="3" t="str">
        <f>"00679360"</f>
        <v>00679360</v>
      </c>
    </row>
    <row r="13935" spans="1:2" x14ac:dyDescent="0.25">
      <c r="A13935" s="2">
        <v>13930</v>
      </c>
      <c r="B13935" s="3" t="str">
        <f>"00679363"</f>
        <v>00679363</v>
      </c>
    </row>
    <row r="13936" spans="1:2" x14ac:dyDescent="0.25">
      <c r="A13936" s="2">
        <v>13931</v>
      </c>
      <c r="B13936" s="3" t="str">
        <f>"00679376"</f>
        <v>00679376</v>
      </c>
    </row>
    <row r="13937" spans="1:2" x14ac:dyDescent="0.25">
      <c r="A13937" s="2">
        <v>13932</v>
      </c>
      <c r="B13937" s="3" t="str">
        <f>"00679387"</f>
        <v>00679387</v>
      </c>
    </row>
    <row r="13938" spans="1:2" x14ac:dyDescent="0.25">
      <c r="A13938" s="2">
        <v>13933</v>
      </c>
      <c r="B13938" s="3" t="str">
        <f>"00679391"</f>
        <v>00679391</v>
      </c>
    </row>
    <row r="13939" spans="1:2" x14ac:dyDescent="0.25">
      <c r="A13939" s="2">
        <v>13934</v>
      </c>
      <c r="B13939" s="3" t="str">
        <f>"00679410"</f>
        <v>00679410</v>
      </c>
    </row>
    <row r="13940" spans="1:2" x14ac:dyDescent="0.25">
      <c r="A13940" s="2">
        <v>13935</v>
      </c>
      <c r="B13940" s="3" t="str">
        <f>"00679422"</f>
        <v>00679422</v>
      </c>
    </row>
    <row r="13941" spans="1:2" x14ac:dyDescent="0.25">
      <c r="A13941" s="2">
        <v>13936</v>
      </c>
      <c r="B13941" s="3" t="str">
        <f>"00679501"</f>
        <v>00679501</v>
      </c>
    </row>
    <row r="13942" spans="1:2" x14ac:dyDescent="0.25">
      <c r="A13942" s="2">
        <v>13937</v>
      </c>
      <c r="B13942" s="3" t="str">
        <f>"00679504"</f>
        <v>00679504</v>
      </c>
    </row>
    <row r="13943" spans="1:2" x14ac:dyDescent="0.25">
      <c r="A13943" s="2">
        <v>13938</v>
      </c>
      <c r="B13943" s="3" t="str">
        <f>"00679558"</f>
        <v>00679558</v>
      </c>
    </row>
    <row r="13944" spans="1:2" x14ac:dyDescent="0.25">
      <c r="A13944" s="2">
        <v>13939</v>
      </c>
      <c r="B13944" s="3" t="str">
        <f>"00679575"</f>
        <v>00679575</v>
      </c>
    </row>
    <row r="13945" spans="1:2" x14ac:dyDescent="0.25">
      <c r="A13945" s="2">
        <v>13940</v>
      </c>
      <c r="B13945" s="3" t="str">
        <f>"00679576"</f>
        <v>00679576</v>
      </c>
    </row>
    <row r="13946" spans="1:2" x14ac:dyDescent="0.25">
      <c r="A13946" s="2">
        <v>13941</v>
      </c>
      <c r="B13946" s="3" t="str">
        <f>"00679637"</f>
        <v>00679637</v>
      </c>
    </row>
    <row r="13947" spans="1:2" x14ac:dyDescent="0.25">
      <c r="A13947" s="2">
        <v>13942</v>
      </c>
      <c r="B13947" s="3" t="str">
        <f>"00679712"</f>
        <v>00679712</v>
      </c>
    </row>
    <row r="13948" spans="1:2" x14ac:dyDescent="0.25">
      <c r="A13948" s="2">
        <v>13943</v>
      </c>
      <c r="B13948" s="3" t="str">
        <f>"00679718"</f>
        <v>00679718</v>
      </c>
    </row>
    <row r="13949" spans="1:2" x14ac:dyDescent="0.25">
      <c r="A13949" s="2">
        <v>13944</v>
      </c>
      <c r="B13949" s="3" t="str">
        <f>"00679736"</f>
        <v>00679736</v>
      </c>
    </row>
    <row r="13950" spans="1:2" x14ac:dyDescent="0.25">
      <c r="A13950" s="2">
        <v>13945</v>
      </c>
      <c r="B13950" s="3" t="str">
        <f>"00679770"</f>
        <v>00679770</v>
      </c>
    </row>
    <row r="13951" spans="1:2" x14ac:dyDescent="0.25">
      <c r="A13951" s="2">
        <v>13946</v>
      </c>
      <c r="B13951" s="3" t="str">
        <f>"00679783"</f>
        <v>00679783</v>
      </c>
    </row>
    <row r="13952" spans="1:2" x14ac:dyDescent="0.25">
      <c r="A13952" s="2">
        <v>13947</v>
      </c>
      <c r="B13952" s="3" t="str">
        <f>"00679822"</f>
        <v>00679822</v>
      </c>
    </row>
    <row r="13953" spans="1:2" x14ac:dyDescent="0.25">
      <c r="A13953" s="2">
        <v>13948</v>
      </c>
      <c r="B13953" s="3" t="str">
        <f>"00679895"</f>
        <v>00679895</v>
      </c>
    </row>
    <row r="13954" spans="1:2" x14ac:dyDescent="0.25">
      <c r="A13954" s="2">
        <v>13949</v>
      </c>
      <c r="B13954" s="3" t="str">
        <f>"00679915"</f>
        <v>00679915</v>
      </c>
    </row>
    <row r="13955" spans="1:2" x14ac:dyDescent="0.25">
      <c r="A13955" s="2">
        <v>13950</v>
      </c>
      <c r="B13955" s="3" t="str">
        <f>"00679971"</f>
        <v>00679971</v>
      </c>
    </row>
    <row r="13956" spans="1:2" x14ac:dyDescent="0.25">
      <c r="A13956" s="2">
        <v>13951</v>
      </c>
      <c r="B13956" s="3" t="str">
        <f>"00679974"</f>
        <v>00679974</v>
      </c>
    </row>
    <row r="13957" spans="1:2" x14ac:dyDescent="0.25">
      <c r="A13957" s="2">
        <v>13952</v>
      </c>
      <c r="B13957" s="3" t="str">
        <f>"00679975"</f>
        <v>00679975</v>
      </c>
    </row>
    <row r="13958" spans="1:2" x14ac:dyDescent="0.25">
      <c r="A13958" s="2">
        <v>13953</v>
      </c>
      <c r="B13958" s="3" t="str">
        <f>"00680006"</f>
        <v>00680006</v>
      </c>
    </row>
    <row r="13959" spans="1:2" x14ac:dyDescent="0.25">
      <c r="A13959" s="2">
        <v>13954</v>
      </c>
      <c r="B13959" s="3" t="str">
        <f>"00680010"</f>
        <v>00680010</v>
      </c>
    </row>
    <row r="13960" spans="1:2" x14ac:dyDescent="0.25">
      <c r="A13960" s="2">
        <v>13955</v>
      </c>
      <c r="B13960" s="3" t="str">
        <f>"00680060"</f>
        <v>00680060</v>
      </c>
    </row>
    <row r="13961" spans="1:2" x14ac:dyDescent="0.25">
      <c r="A13961" s="2">
        <v>13956</v>
      </c>
      <c r="B13961" s="3" t="str">
        <f>"00680110"</f>
        <v>00680110</v>
      </c>
    </row>
    <row r="13962" spans="1:2" x14ac:dyDescent="0.25">
      <c r="A13962" s="2">
        <v>13957</v>
      </c>
      <c r="B13962" s="3" t="str">
        <f>"00680147"</f>
        <v>00680147</v>
      </c>
    </row>
    <row r="13963" spans="1:2" x14ac:dyDescent="0.25">
      <c r="A13963" s="2">
        <v>13958</v>
      </c>
      <c r="B13963" s="3" t="str">
        <f>"00680157"</f>
        <v>00680157</v>
      </c>
    </row>
    <row r="13964" spans="1:2" x14ac:dyDescent="0.25">
      <c r="A13964" s="2">
        <v>13959</v>
      </c>
      <c r="B13964" s="3" t="str">
        <f>"00680189"</f>
        <v>00680189</v>
      </c>
    </row>
    <row r="13965" spans="1:2" x14ac:dyDescent="0.25">
      <c r="A13965" s="2">
        <v>13960</v>
      </c>
      <c r="B13965" s="3" t="str">
        <f>"00680200"</f>
        <v>00680200</v>
      </c>
    </row>
    <row r="13966" spans="1:2" x14ac:dyDescent="0.25">
      <c r="A13966" s="2">
        <v>13961</v>
      </c>
      <c r="B13966" s="3" t="str">
        <f>"00680223"</f>
        <v>00680223</v>
      </c>
    </row>
    <row r="13967" spans="1:2" x14ac:dyDescent="0.25">
      <c r="A13967" s="2">
        <v>13962</v>
      </c>
      <c r="B13967" s="3" t="str">
        <f>"00680233"</f>
        <v>00680233</v>
      </c>
    </row>
    <row r="13968" spans="1:2" x14ac:dyDescent="0.25">
      <c r="A13968" s="2">
        <v>13963</v>
      </c>
      <c r="B13968" s="3" t="str">
        <f>"00680262"</f>
        <v>00680262</v>
      </c>
    </row>
    <row r="13969" spans="1:2" x14ac:dyDescent="0.25">
      <c r="A13969" s="2">
        <v>13964</v>
      </c>
      <c r="B13969" s="3" t="str">
        <f>"00680316"</f>
        <v>00680316</v>
      </c>
    </row>
    <row r="13970" spans="1:2" x14ac:dyDescent="0.25">
      <c r="A13970" s="2">
        <v>13965</v>
      </c>
      <c r="B13970" s="3" t="str">
        <f>"00680326"</f>
        <v>00680326</v>
      </c>
    </row>
    <row r="13971" spans="1:2" x14ac:dyDescent="0.25">
      <c r="A13971" s="2">
        <v>13966</v>
      </c>
      <c r="B13971" s="3" t="str">
        <f>"00680343"</f>
        <v>00680343</v>
      </c>
    </row>
    <row r="13972" spans="1:2" x14ac:dyDescent="0.25">
      <c r="A13972" s="2">
        <v>13967</v>
      </c>
      <c r="B13972" s="3" t="str">
        <f>"00680422"</f>
        <v>00680422</v>
      </c>
    </row>
    <row r="13973" spans="1:2" x14ac:dyDescent="0.25">
      <c r="A13973" s="2">
        <v>13968</v>
      </c>
      <c r="B13973" s="3" t="str">
        <f>"00680442"</f>
        <v>00680442</v>
      </c>
    </row>
    <row r="13974" spans="1:2" x14ac:dyDescent="0.25">
      <c r="A13974" s="2">
        <v>13969</v>
      </c>
      <c r="B13974" s="3" t="str">
        <f>"00680451"</f>
        <v>00680451</v>
      </c>
    </row>
    <row r="13975" spans="1:2" x14ac:dyDescent="0.25">
      <c r="A13975" s="2">
        <v>13970</v>
      </c>
      <c r="B13975" s="3" t="str">
        <f>"00680489"</f>
        <v>00680489</v>
      </c>
    </row>
    <row r="13976" spans="1:2" x14ac:dyDescent="0.25">
      <c r="A13976" s="2">
        <v>13971</v>
      </c>
      <c r="B13976" s="3" t="str">
        <f>"00680490"</f>
        <v>00680490</v>
      </c>
    </row>
    <row r="13977" spans="1:2" x14ac:dyDescent="0.25">
      <c r="A13977" s="2">
        <v>13972</v>
      </c>
      <c r="B13977" s="3" t="str">
        <f>"00680523"</f>
        <v>00680523</v>
      </c>
    </row>
    <row r="13978" spans="1:2" x14ac:dyDescent="0.25">
      <c r="A13978" s="2">
        <v>13973</v>
      </c>
      <c r="B13978" s="3" t="str">
        <f>"00680533"</f>
        <v>00680533</v>
      </c>
    </row>
    <row r="13979" spans="1:2" x14ac:dyDescent="0.25">
      <c r="A13979" s="2">
        <v>13974</v>
      </c>
      <c r="B13979" s="3" t="str">
        <f>"00680576"</f>
        <v>00680576</v>
      </c>
    </row>
    <row r="13980" spans="1:2" x14ac:dyDescent="0.25">
      <c r="A13980" s="2">
        <v>13975</v>
      </c>
      <c r="B13980" s="3" t="str">
        <f>"00680628"</f>
        <v>00680628</v>
      </c>
    </row>
    <row r="13981" spans="1:2" x14ac:dyDescent="0.25">
      <c r="A13981" s="2">
        <v>13976</v>
      </c>
      <c r="B13981" s="3" t="str">
        <f>"00680718"</f>
        <v>00680718</v>
      </c>
    </row>
    <row r="13982" spans="1:2" x14ac:dyDescent="0.25">
      <c r="A13982" s="2">
        <v>13977</v>
      </c>
      <c r="B13982" s="3" t="str">
        <f>"00680762"</f>
        <v>00680762</v>
      </c>
    </row>
    <row r="13983" spans="1:2" x14ac:dyDescent="0.25">
      <c r="A13983" s="2">
        <v>13978</v>
      </c>
      <c r="B13983" s="3" t="str">
        <f>"00680796"</f>
        <v>00680796</v>
      </c>
    </row>
    <row r="13984" spans="1:2" x14ac:dyDescent="0.25">
      <c r="A13984" s="2">
        <v>13979</v>
      </c>
      <c r="B13984" s="3" t="str">
        <f>"00680805"</f>
        <v>00680805</v>
      </c>
    </row>
    <row r="13985" spans="1:2" x14ac:dyDescent="0.25">
      <c r="A13985" s="2">
        <v>13980</v>
      </c>
      <c r="B13985" s="3" t="str">
        <f>"00680807"</f>
        <v>00680807</v>
      </c>
    </row>
    <row r="13986" spans="1:2" x14ac:dyDescent="0.25">
      <c r="A13986" s="2">
        <v>13981</v>
      </c>
      <c r="B13986" s="3" t="str">
        <f>"00680907"</f>
        <v>00680907</v>
      </c>
    </row>
    <row r="13987" spans="1:2" x14ac:dyDescent="0.25">
      <c r="A13987" s="2">
        <v>13982</v>
      </c>
      <c r="B13987" s="3" t="str">
        <f>"00681063"</f>
        <v>00681063</v>
      </c>
    </row>
    <row r="13988" spans="1:2" x14ac:dyDescent="0.25">
      <c r="A13988" s="2">
        <v>13983</v>
      </c>
      <c r="B13988" s="3" t="str">
        <f>"00681072"</f>
        <v>00681072</v>
      </c>
    </row>
    <row r="13989" spans="1:2" x14ac:dyDescent="0.25">
      <c r="A13989" s="2">
        <v>13984</v>
      </c>
      <c r="B13989" s="3" t="str">
        <f>"00681090"</f>
        <v>00681090</v>
      </c>
    </row>
    <row r="13990" spans="1:2" x14ac:dyDescent="0.25">
      <c r="A13990" s="2">
        <v>13985</v>
      </c>
      <c r="B13990" s="3" t="str">
        <f>"00681141"</f>
        <v>00681141</v>
      </c>
    </row>
    <row r="13991" spans="1:2" x14ac:dyDescent="0.25">
      <c r="A13991" s="2">
        <v>13986</v>
      </c>
      <c r="B13991" s="3" t="str">
        <f>"00681161"</f>
        <v>00681161</v>
      </c>
    </row>
    <row r="13992" spans="1:2" x14ac:dyDescent="0.25">
      <c r="A13992" s="2">
        <v>13987</v>
      </c>
      <c r="B13992" s="3" t="str">
        <f>"00681165"</f>
        <v>00681165</v>
      </c>
    </row>
    <row r="13993" spans="1:2" x14ac:dyDescent="0.25">
      <c r="A13993" s="2">
        <v>13988</v>
      </c>
      <c r="B13993" s="3" t="str">
        <f>"00681179"</f>
        <v>00681179</v>
      </c>
    </row>
    <row r="13994" spans="1:2" x14ac:dyDescent="0.25">
      <c r="A13994" s="2">
        <v>13989</v>
      </c>
      <c r="B13994" s="3" t="str">
        <f>"00681203"</f>
        <v>00681203</v>
      </c>
    </row>
    <row r="13995" spans="1:2" x14ac:dyDescent="0.25">
      <c r="A13995" s="2">
        <v>13990</v>
      </c>
      <c r="B13995" s="3" t="str">
        <f>"00681329"</f>
        <v>00681329</v>
      </c>
    </row>
    <row r="13996" spans="1:2" x14ac:dyDescent="0.25">
      <c r="A13996" s="2">
        <v>13991</v>
      </c>
      <c r="B13996" s="3" t="str">
        <f>"00681347"</f>
        <v>00681347</v>
      </c>
    </row>
    <row r="13997" spans="1:2" x14ac:dyDescent="0.25">
      <c r="A13997" s="2">
        <v>13992</v>
      </c>
      <c r="B13997" s="3" t="str">
        <f>"00681408"</f>
        <v>00681408</v>
      </c>
    </row>
    <row r="13998" spans="1:2" x14ac:dyDescent="0.25">
      <c r="A13998" s="2">
        <v>13993</v>
      </c>
      <c r="B13998" s="3" t="str">
        <f>"00681410"</f>
        <v>00681410</v>
      </c>
    </row>
    <row r="13999" spans="1:2" x14ac:dyDescent="0.25">
      <c r="A13999" s="2">
        <v>13994</v>
      </c>
      <c r="B13999" s="3" t="str">
        <f>"00681458"</f>
        <v>00681458</v>
      </c>
    </row>
    <row r="14000" spans="1:2" x14ac:dyDescent="0.25">
      <c r="A14000" s="2">
        <v>13995</v>
      </c>
      <c r="B14000" s="3" t="str">
        <f>"00681519"</f>
        <v>00681519</v>
      </c>
    </row>
    <row r="14001" spans="1:2" x14ac:dyDescent="0.25">
      <c r="A14001" s="2">
        <v>13996</v>
      </c>
      <c r="B14001" s="3" t="str">
        <f>"00681648"</f>
        <v>00681648</v>
      </c>
    </row>
    <row r="14002" spans="1:2" x14ac:dyDescent="0.25">
      <c r="A14002" s="2">
        <v>13997</v>
      </c>
      <c r="B14002" s="3" t="str">
        <f>"00681681"</f>
        <v>00681681</v>
      </c>
    </row>
    <row r="14003" spans="1:2" x14ac:dyDescent="0.25">
      <c r="A14003" s="2">
        <v>13998</v>
      </c>
      <c r="B14003" s="3" t="str">
        <f>"00681711"</f>
        <v>00681711</v>
      </c>
    </row>
    <row r="14004" spans="1:2" x14ac:dyDescent="0.25">
      <c r="A14004" s="2">
        <v>13999</v>
      </c>
      <c r="B14004" s="3" t="str">
        <f>"00681730"</f>
        <v>00681730</v>
      </c>
    </row>
    <row r="14005" spans="1:2" x14ac:dyDescent="0.25">
      <c r="A14005" s="2">
        <v>14000</v>
      </c>
      <c r="B14005" s="3" t="str">
        <f>"00681760"</f>
        <v>00681760</v>
      </c>
    </row>
    <row r="14006" spans="1:2" x14ac:dyDescent="0.25">
      <c r="A14006" s="2">
        <v>14001</v>
      </c>
      <c r="B14006" s="3" t="str">
        <f>"00681773"</f>
        <v>00681773</v>
      </c>
    </row>
    <row r="14007" spans="1:2" x14ac:dyDescent="0.25">
      <c r="A14007" s="2">
        <v>14002</v>
      </c>
      <c r="B14007" s="3" t="str">
        <f>"00681782"</f>
        <v>00681782</v>
      </c>
    </row>
    <row r="14008" spans="1:2" x14ac:dyDescent="0.25">
      <c r="A14008" s="2">
        <v>14003</v>
      </c>
      <c r="B14008" s="3" t="str">
        <f>"00681804"</f>
        <v>00681804</v>
      </c>
    </row>
    <row r="14009" spans="1:2" x14ac:dyDescent="0.25">
      <c r="A14009" s="2">
        <v>14004</v>
      </c>
      <c r="B14009" s="3" t="str">
        <f>"00681812"</f>
        <v>00681812</v>
      </c>
    </row>
    <row r="14010" spans="1:2" x14ac:dyDescent="0.25">
      <c r="A14010" s="2">
        <v>14005</v>
      </c>
      <c r="B14010" s="3" t="str">
        <f>"00681824"</f>
        <v>00681824</v>
      </c>
    </row>
    <row r="14011" spans="1:2" x14ac:dyDescent="0.25">
      <c r="A14011" s="2">
        <v>14006</v>
      </c>
      <c r="B14011" s="3" t="str">
        <f>"00681840"</f>
        <v>00681840</v>
      </c>
    </row>
    <row r="14012" spans="1:2" x14ac:dyDescent="0.25">
      <c r="A14012" s="2">
        <v>14007</v>
      </c>
      <c r="B14012" s="3" t="str">
        <f>"00681855"</f>
        <v>00681855</v>
      </c>
    </row>
    <row r="14013" spans="1:2" x14ac:dyDescent="0.25">
      <c r="A14013" s="2">
        <v>14008</v>
      </c>
      <c r="B14013" s="3" t="str">
        <f>"00681886"</f>
        <v>00681886</v>
      </c>
    </row>
    <row r="14014" spans="1:2" x14ac:dyDescent="0.25">
      <c r="A14014" s="2">
        <v>14009</v>
      </c>
      <c r="B14014" s="3" t="str">
        <f>"00681899"</f>
        <v>00681899</v>
      </c>
    </row>
    <row r="14015" spans="1:2" x14ac:dyDescent="0.25">
      <c r="A14015" s="2">
        <v>14010</v>
      </c>
      <c r="B14015" s="3" t="str">
        <f>"00681906"</f>
        <v>00681906</v>
      </c>
    </row>
    <row r="14016" spans="1:2" x14ac:dyDescent="0.25">
      <c r="A14016" s="2">
        <v>14011</v>
      </c>
      <c r="B14016" s="3" t="str">
        <f>"00681946"</f>
        <v>00681946</v>
      </c>
    </row>
    <row r="14017" spans="1:2" x14ac:dyDescent="0.25">
      <c r="A14017" s="2">
        <v>14012</v>
      </c>
      <c r="B14017" s="3" t="str">
        <f>"00682000"</f>
        <v>00682000</v>
      </c>
    </row>
    <row r="14018" spans="1:2" x14ac:dyDescent="0.25">
      <c r="A14018" s="2">
        <v>14013</v>
      </c>
      <c r="B14018" s="3" t="str">
        <f>"00682002"</f>
        <v>00682002</v>
      </c>
    </row>
    <row r="14019" spans="1:2" x14ac:dyDescent="0.25">
      <c r="A14019" s="2">
        <v>14014</v>
      </c>
      <c r="B14019" s="3" t="str">
        <f>"00682004"</f>
        <v>00682004</v>
      </c>
    </row>
    <row r="14020" spans="1:2" x14ac:dyDescent="0.25">
      <c r="A14020" s="2">
        <v>14015</v>
      </c>
      <c r="B14020" s="3" t="str">
        <f>"00682005"</f>
        <v>00682005</v>
      </c>
    </row>
    <row r="14021" spans="1:2" x14ac:dyDescent="0.25">
      <c r="A14021" s="2">
        <v>14016</v>
      </c>
      <c r="B14021" s="3" t="str">
        <f>"00682072"</f>
        <v>00682072</v>
      </c>
    </row>
    <row r="14022" spans="1:2" x14ac:dyDescent="0.25">
      <c r="A14022" s="2">
        <v>14017</v>
      </c>
      <c r="B14022" s="3" t="str">
        <f>"00682081"</f>
        <v>00682081</v>
      </c>
    </row>
    <row r="14023" spans="1:2" x14ac:dyDescent="0.25">
      <c r="A14023" s="2">
        <v>14018</v>
      </c>
      <c r="B14023" s="3" t="str">
        <f>"00682083"</f>
        <v>00682083</v>
      </c>
    </row>
    <row r="14024" spans="1:2" x14ac:dyDescent="0.25">
      <c r="A14024" s="2">
        <v>14019</v>
      </c>
      <c r="B14024" s="3" t="str">
        <f>"00682121"</f>
        <v>00682121</v>
      </c>
    </row>
    <row r="14025" spans="1:2" x14ac:dyDescent="0.25">
      <c r="A14025" s="2">
        <v>14020</v>
      </c>
      <c r="B14025" s="3" t="str">
        <f>"00682214"</f>
        <v>00682214</v>
      </c>
    </row>
    <row r="14026" spans="1:2" x14ac:dyDescent="0.25">
      <c r="A14026" s="2">
        <v>14021</v>
      </c>
      <c r="B14026" s="3" t="str">
        <f>"00682229"</f>
        <v>00682229</v>
      </c>
    </row>
    <row r="14027" spans="1:2" x14ac:dyDescent="0.25">
      <c r="A14027" s="2">
        <v>14022</v>
      </c>
      <c r="B14027" s="3" t="str">
        <f>"00682232"</f>
        <v>00682232</v>
      </c>
    </row>
    <row r="14028" spans="1:2" x14ac:dyDescent="0.25">
      <c r="A14028" s="2">
        <v>14023</v>
      </c>
      <c r="B14028" s="3" t="str">
        <f>"00682236"</f>
        <v>00682236</v>
      </c>
    </row>
    <row r="14029" spans="1:2" x14ac:dyDescent="0.25">
      <c r="A14029" s="2">
        <v>14024</v>
      </c>
      <c r="B14029" s="3" t="str">
        <f>"00682239"</f>
        <v>00682239</v>
      </c>
    </row>
    <row r="14030" spans="1:2" x14ac:dyDescent="0.25">
      <c r="A14030" s="2">
        <v>14025</v>
      </c>
      <c r="B14030" s="3" t="str">
        <f>"00682313"</f>
        <v>00682313</v>
      </c>
    </row>
    <row r="14031" spans="1:2" x14ac:dyDescent="0.25">
      <c r="A14031" s="2">
        <v>14026</v>
      </c>
      <c r="B14031" s="3" t="str">
        <f>"00682346"</f>
        <v>00682346</v>
      </c>
    </row>
    <row r="14032" spans="1:2" x14ac:dyDescent="0.25">
      <c r="A14032" s="2">
        <v>14027</v>
      </c>
      <c r="B14032" s="3" t="str">
        <f>"00682352"</f>
        <v>00682352</v>
      </c>
    </row>
    <row r="14033" spans="1:2" x14ac:dyDescent="0.25">
      <c r="A14033" s="2">
        <v>14028</v>
      </c>
      <c r="B14033" s="3" t="str">
        <f>"00682377"</f>
        <v>00682377</v>
      </c>
    </row>
    <row r="14034" spans="1:2" x14ac:dyDescent="0.25">
      <c r="A14034" s="2">
        <v>14029</v>
      </c>
      <c r="B14034" s="3" t="str">
        <f>"00682393"</f>
        <v>00682393</v>
      </c>
    </row>
    <row r="14035" spans="1:2" x14ac:dyDescent="0.25">
      <c r="A14035" s="2">
        <v>14030</v>
      </c>
      <c r="B14035" s="3" t="str">
        <f>"00682398"</f>
        <v>00682398</v>
      </c>
    </row>
    <row r="14036" spans="1:2" x14ac:dyDescent="0.25">
      <c r="A14036" s="2">
        <v>14031</v>
      </c>
      <c r="B14036" s="3" t="str">
        <f>"00682437"</f>
        <v>00682437</v>
      </c>
    </row>
    <row r="14037" spans="1:2" x14ac:dyDescent="0.25">
      <c r="A14037" s="2">
        <v>14032</v>
      </c>
      <c r="B14037" s="3" t="str">
        <f>"00682462"</f>
        <v>00682462</v>
      </c>
    </row>
    <row r="14038" spans="1:2" x14ac:dyDescent="0.25">
      <c r="A14038" s="2">
        <v>14033</v>
      </c>
      <c r="B14038" s="3" t="str">
        <f>"00682504"</f>
        <v>00682504</v>
      </c>
    </row>
    <row r="14039" spans="1:2" x14ac:dyDescent="0.25">
      <c r="A14039" s="2">
        <v>14034</v>
      </c>
      <c r="B14039" s="3" t="str">
        <f>"00682564"</f>
        <v>00682564</v>
      </c>
    </row>
    <row r="14040" spans="1:2" x14ac:dyDescent="0.25">
      <c r="A14040" s="2">
        <v>14035</v>
      </c>
      <c r="B14040" s="3" t="str">
        <f>"00682603"</f>
        <v>00682603</v>
      </c>
    </row>
    <row r="14041" spans="1:2" x14ac:dyDescent="0.25">
      <c r="A14041" s="2">
        <v>14036</v>
      </c>
      <c r="B14041" s="3" t="str">
        <f>"00682608"</f>
        <v>00682608</v>
      </c>
    </row>
    <row r="14042" spans="1:2" x14ac:dyDescent="0.25">
      <c r="A14042" s="2">
        <v>14037</v>
      </c>
      <c r="B14042" s="3" t="str">
        <f>"00682673"</f>
        <v>00682673</v>
      </c>
    </row>
    <row r="14043" spans="1:2" x14ac:dyDescent="0.25">
      <c r="A14043" s="2">
        <v>14038</v>
      </c>
      <c r="B14043" s="3" t="str">
        <f>"00682701"</f>
        <v>00682701</v>
      </c>
    </row>
    <row r="14044" spans="1:2" x14ac:dyDescent="0.25">
      <c r="A14044" s="2">
        <v>14039</v>
      </c>
      <c r="B14044" s="3" t="str">
        <f>"00682702"</f>
        <v>00682702</v>
      </c>
    </row>
    <row r="14045" spans="1:2" x14ac:dyDescent="0.25">
      <c r="A14045" s="2">
        <v>14040</v>
      </c>
      <c r="B14045" s="3" t="str">
        <f>"00682704"</f>
        <v>00682704</v>
      </c>
    </row>
    <row r="14046" spans="1:2" x14ac:dyDescent="0.25">
      <c r="A14046" s="2">
        <v>14041</v>
      </c>
      <c r="B14046" s="3" t="str">
        <f>"00682727"</f>
        <v>00682727</v>
      </c>
    </row>
    <row r="14047" spans="1:2" x14ac:dyDescent="0.25">
      <c r="A14047" s="2">
        <v>14042</v>
      </c>
      <c r="B14047" s="3" t="str">
        <f>"00682729"</f>
        <v>00682729</v>
      </c>
    </row>
    <row r="14048" spans="1:2" x14ac:dyDescent="0.25">
      <c r="A14048" s="2">
        <v>14043</v>
      </c>
      <c r="B14048" s="3" t="str">
        <f>"00682730"</f>
        <v>00682730</v>
      </c>
    </row>
    <row r="14049" spans="1:2" x14ac:dyDescent="0.25">
      <c r="A14049" s="2">
        <v>14044</v>
      </c>
      <c r="B14049" s="3" t="str">
        <f>"00682732"</f>
        <v>00682732</v>
      </c>
    </row>
    <row r="14050" spans="1:2" x14ac:dyDescent="0.25">
      <c r="A14050" s="2">
        <v>14045</v>
      </c>
      <c r="B14050" s="3" t="str">
        <f>"00682743"</f>
        <v>00682743</v>
      </c>
    </row>
    <row r="14051" spans="1:2" x14ac:dyDescent="0.25">
      <c r="A14051" s="2">
        <v>14046</v>
      </c>
      <c r="B14051" s="3" t="str">
        <f>"00682771"</f>
        <v>00682771</v>
      </c>
    </row>
    <row r="14052" spans="1:2" x14ac:dyDescent="0.25">
      <c r="A14052" s="2">
        <v>14047</v>
      </c>
      <c r="B14052" s="3" t="str">
        <f>"00682869"</f>
        <v>00682869</v>
      </c>
    </row>
    <row r="14053" spans="1:2" x14ac:dyDescent="0.25">
      <c r="A14053" s="2">
        <v>14048</v>
      </c>
      <c r="B14053" s="3" t="str">
        <f>"00682871"</f>
        <v>00682871</v>
      </c>
    </row>
    <row r="14054" spans="1:2" x14ac:dyDescent="0.25">
      <c r="A14054" s="2">
        <v>14049</v>
      </c>
      <c r="B14054" s="3" t="str">
        <f>"00682888"</f>
        <v>00682888</v>
      </c>
    </row>
    <row r="14055" spans="1:2" x14ac:dyDescent="0.25">
      <c r="A14055" s="2">
        <v>14050</v>
      </c>
      <c r="B14055" s="3" t="str">
        <f>"00682899"</f>
        <v>00682899</v>
      </c>
    </row>
    <row r="14056" spans="1:2" x14ac:dyDescent="0.25">
      <c r="A14056" s="2">
        <v>14051</v>
      </c>
      <c r="B14056" s="3" t="str">
        <f>"00682946"</f>
        <v>00682946</v>
      </c>
    </row>
    <row r="14057" spans="1:2" x14ac:dyDescent="0.25">
      <c r="A14057" s="2">
        <v>14052</v>
      </c>
      <c r="B14057" s="3" t="str">
        <f>"00682958"</f>
        <v>00682958</v>
      </c>
    </row>
    <row r="14058" spans="1:2" x14ac:dyDescent="0.25">
      <c r="A14058" s="2">
        <v>14053</v>
      </c>
      <c r="B14058" s="3" t="str">
        <f>"00683053"</f>
        <v>00683053</v>
      </c>
    </row>
    <row r="14059" spans="1:2" x14ac:dyDescent="0.25">
      <c r="A14059" s="2">
        <v>14054</v>
      </c>
      <c r="B14059" s="3" t="str">
        <f>"00683062"</f>
        <v>00683062</v>
      </c>
    </row>
    <row r="14060" spans="1:2" x14ac:dyDescent="0.25">
      <c r="A14060" s="2">
        <v>14055</v>
      </c>
      <c r="B14060" s="3" t="str">
        <f>"00683087"</f>
        <v>00683087</v>
      </c>
    </row>
    <row r="14061" spans="1:2" x14ac:dyDescent="0.25">
      <c r="A14061" s="2">
        <v>14056</v>
      </c>
      <c r="B14061" s="3" t="str">
        <f>"00683132"</f>
        <v>00683132</v>
      </c>
    </row>
    <row r="14062" spans="1:2" x14ac:dyDescent="0.25">
      <c r="A14062" s="2">
        <v>14057</v>
      </c>
      <c r="B14062" s="3" t="str">
        <f>"00683152"</f>
        <v>00683152</v>
      </c>
    </row>
    <row r="14063" spans="1:2" x14ac:dyDescent="0.25">
      <c r="A14063" s="2">
        <v>14058</v>
      </c>
      <c r="B14063" s="3" t="str">
        <f>"00683170"</f>
        <v>00683170</v>
      </c>
    </row>
    <row r="14064" spans="1:2" x14ac:dyDescent="0.25">
      <c r="A14064" s="2">
        <v>14059</v>
      </c>
      <c r="B14064" s="3" t="str">
        <f>"00683179"</f>
        <v>00683179</v>
      </c>
    </row>
    <row r="14065" spans="1:2" x14ac:dyDescent="0.25">
      <c r="A14065" s="2">
        <v>14060</v>
      </c>
      <c r="B14065" s="3" t="str">
        <f>"00683233"</f>
        <v>00683233</v>
      </c>
    </row>
    <row r="14066" spans="1:2" x14ac:dyDescent="0.25">
      <c r="A14066" s="2">
        <v>14061</v>
      </c>
      <c r="B14066" s="3" t="str">
        <f>"00683286"</f>
        <v>00683286</v>
      </c>
    </row>
    <row r="14067" spans="1:2" x14ac:dyDescent="0.25">
      <c r="A14067" s="2">
        <v>14062</v>
      </c>
      <c r="B14067" s="3" t="str">
        <f>"00683292"</f>
        <v>00683292</v>
      </c>
    </row>
    <row r="14068" spans="1:2" x14ac:dyDescent="0.25">
      <c r="A14068" s="2">
        <v>14063</v>
      </c>
      <c r="B14068" s="3" t="str">
        <f>"00683401"</f>
        <v>00683401</v>
      </c>
    </row>
    <row r="14069" spans="1:2" x14ac:dyDescent="0.25">
      <c r="A14069" s="2">
        <v>14064</v>
      </c>
      <c r="B14069" s="3" t="str">
        <f>"00683408"</f>
        <v>00683408</v>
      </c>
    </row>
    <row r="14070" spans="1:2" x14ac:dyDescent="0.25">
      <c r="A14070" s="2">
        <v>14065</v>
      </c>
      <c r="B14070" s="3" t="str">
        <f>"00683459"</f>
        <v>00683459</v>
      </c>
    </row>
    <row r="14071" spans="1:2" x14ac:dyDescent="0.25">
      <c r="A14071" s="2">
        <v>14066</v>
      </c>
      <c r="B14071" s="3" t="str">
        <f>"00683472"</f>
        <v>00683472</v>
      </c>
    </row>
    <row r="14072" spans="1:2" x14ac:dyDescent="0.25">
      <c r="A14072" s="2">
        <v>14067</v>
      </c>
      <c r="B14072" s="3" t="str">
        <f>"00683533"</f>
        <v>00683533</v>
      </c>
    </row>
    <row r="14073" spans="1:2" x14ac:dyDescent="0.25">
      <c r="A14073" s="2">
        <v>14068</v>
      </c>
      <c r="B14073" s="3" t="str">
        <f>"00683562"</f>
        <v>00683562</v>
      </c>
    </row>
    <row r="14074" spans="1:2" x14ac:dyDescent="0.25">
      <c r="A14074" s="2">
        <v>14069</v>
      </c>
      <c r="B14074" s="3" t="str">
        <f>"00683711"</f>
        <v>00683711</v>
      </c>
    </row>
    <row r="14075" spans="1:2" x14ac:dyDescent="0.25">
      <c r="A14075" s="2">
        <v>14070</v>
      </c>
      <c r="B14075" s="3" t="str">
        <f>"00683751"</f>
        <v>00683751</v>
      </c>
    </row>
    <row r="14076" spans="1:2" x14ac:dyDescent="0.25">
      <c r="A14076" s="2">
        <v>14071</v>
      </c>
      <c r="B14076" s="3" t="str">
        <f>"00683815"</f>
        <v>00683815</v>
      </c>
    </row>
    <row r="14077" spans="1:2" x14ac:dyDescent="0.25">
      <c r="A14077" s="2">
        <v>14072</v>
      </c>
      <c r="B14077" s="3" t="str">
        <f>"00683819"</f>
        <v>00683819</v>
      </c>
    </row>
    <row r="14078" spans="1:2" x14ac:dyDescent="0.25">
      <c r="A14078" s="2">
        <v>14073</v>
      </c>
      <c r="B14078" s="3" t="str">
        <f>"00683829"</f>
        <v>00683829</v>
      </c>
    </row>
    <row r="14079" spans="1:2" x14ac:dyDescent="0.25">
      <c r="A14079" s="2">
        <v>14074</v>
      </c>
      <c r="B14079" s="3" t="str">
        <f>"00683911"</f>
        <v>00683911</v>
      </c>
    </row>
    <row r="14080" spans="1:2" x14ac:dyDescent="0.25">
      <c r="A14080" s="2">
        <v>14075</v>
      </c>
      <c r="B14080" s="3" t="str">
        <f>"00683949"</f>
        <v>00683949</v>
      </c>
    </row>
    <row r="14081" spans="1:2" x14ac:dyDescent="0.25">
      <c r="A14081" s="2">
        <v>14076</v>
      </c>
      <c r="B14081" s="3" t="str">
        <f>"00683980"</f>
        <v>00683980</v>
      </c>
    </row>
    <row r="14082" spans="1:2" x14ac:dyDescent="0.25">
      <c r="A14082" s="2">
        <v>14077</v>
      </c>
      <c r="B14082" s="3" t="str">
        <f>"00683983"</f>
        <v>00683983</v>
      </c>
    </row>
    <row r="14083" spans="1:2" x14ac:dyDescent="0.25">
      <c r="A14083" s="2">
        <v>14078</v>
      </c>
      <c r="B14083" s="3" t="str">
        <f>"00683993"</f>
        <v>00683993</v>
      </c>
    </row>
    <row r="14084" spans="1:2" x14ac:dyDescent="0.25">
      <c r="A14084" s="2">
        <v>14079</v>
      </c>
      <c r="B14084" s="3" t="str">
        <f>"00684041"</f>
        <v>00684041</v>
      </c>
    </row>
    <row r="14085" spans="1:2" x14ac:dyDescent="0.25">
      <c r="A14085" s="2">
        <v>14080</v>
      </c>
      <c r="B14085" s="3" t="str">
        <f>"00684081"</f>
        <v>00684081</v>
      </c>
    </row>
    <row r="14086" spans="1:2" x14ac:dyDescent="0.25">
      <c r="A14086" s="2">
        <v>14081</v>
      </c>
      <c r="B14086" s="3" t="str">
        <f>"00684126"</f>
        <v>00684126</v>
      </c>
    </row>
    <row r="14087" spans="1:2" x14ac:dyDescent="0.25">
      <c r="A14087" s="2">
        <v>14082</v>
      </c>
      <c r="B14087" s="3" t="str">
        <f>"00684264"</f>
        <v>00684264</v>
      </c>
    </row>
    <row r="14088" spans="1:2" x14ac:dyDescent="0.25">
      <c r="A14088" s="2">
        <v>14083</v>
      </c>
      <c r="B14088" s="3" t="str">
        <f>"00684289"</f>
        <v>00684289</v>
      </c>
    </row>
    <row r="14089" spans="1:2" x14ac:dyDescent="0.25">
      <c r="A14089" s="2">
        <v>14084</v>
      </c>
      <c r="B14089" s="3" t="str">
        <f>"00684387"</f>
        <v>00684387</v>
      </c>
    </row>
    <row r="14090" spans="1:2" x14ac:dyDescent="0.25">
      <c r="A14090" s="2">
        <v>14085</v>
      </c>
      <c r="B14090" s="3" t="str">
        <f>"00684526"</f>
        <v>00684526</v>
      </c>
    </row>
    <row r="14091" spans="1:2" x14ac:dyDescent="0.25">
      <c r="A14091" s="2">
        <v>14086</v>
      </c>
      <c r="B14091" s="3" t="str">
        <f>"00684570"</f>
        <v>00684570</v>
      </c>
    </row>
    <row r="14092" spans="1:2" x14ac:dyDescent="0.25">
      <c r="A14092" s="2">
        <v>14087</v>
      </c>
      <c r="B14092" s="3" t="str">
        <f>"00684676"</f>
        <v>00684676</v>
      </c>
    </row>
    <row r="14093" spans="1:2" x14ac:dyDescent="0.25">
      <c r="A14093" s="2">
        <v>14088</v>
      </c>
      <c r="B14093" s="3" t="str">
        <f>"00684732"</f>
        <v>00684732</v>
      </c>
    </row>
    <row r="14094" spans="1:2" x14ac:dyDescent="0.25">
      <c r="A14094" s="2">
        <v>14089</v>
      </c>
      <c r="B14094" s="3" t="str">
        <f>"00684797"</f>
        <v>00684797</v>
      </c>
    </row>
    <row r="14095" spans="1:2" x14ac:dyDescent="0.25">
      <c r="A14095" s="2">
        <v>14090</v>
      </c>
      <c r="B14095" s="3" t="str">
        <f>"00684828"</f>
        <v>00684828</v>
      </c>
    </row>
    <row r="14096" spans="1:2" x14ac:dyDescent="0.25">
      <c r="A14096" s="2">
        <v>14091</v>
      </c>
      <c r="B14096" s="3" t="str">
        <f>"00684857"</f>
        <v>00684857</v>
      </c>
    </row>
    <row r="14097" spans="1:2" x14ac:dyDescent="0.25">
      <c r="A14097" s="2">
        <v>14092</v>
      </c>
      <c r="B14097" s="3" t="str">
        <f>"00684902"</f>
        <v>00684902</v>
      </c>
    </row>
    <row r="14098" spans="1:2" x14ac:dyDescent="0.25">
      <c r="A14098" s="2">
        <v>14093</v>
      </c>
      <c r="B14098" s="3" t="str">
        <f>"00684962"</f>
        <v>00684962</v>
      </c>
    </row>
    <row r="14099" spans="1:2" x14ac:dyDescent="0.25">
      <c r="A14099" s="2">
        <v>14094</v>
      </c>
      <c r="B14099" s="3" t="str">
        <f>"00685079"</f>
        <v>00685079</v>
      </c>
    </row>
    <row r="14100" spans="1:2" x14ac:dyDescent="0.25">
      <c r="A14100" s="2">
        <v>14095</v>
      </c>
      <c r="B14100" s="3" t="str">
        <f>"00685131"</f>
        <v>00685131</v>
      </c>
    </row>
    <row r="14101" spans="1:2" x14ac:dyDescent="0.25">
      <c r="A14101" s="2">
        <v>14096</v>
      </c>
      <c r="B14101" s="3" t="str">
        <f>"00685230"</f>
        <v>00685230</v>
      </c>
    </row>
    <row r="14102" spans="1:2" x14ac:dyDescent="0.25">
      <c r="A14102" s="2">
        <v>14097</v>
      </c>
      <c r="B14102" s="3" t="str">
        <f>"00685296"</f>
        <v>00685296</v>
      </c>
    </row>
    <row r="14103" spans="1:2" x14ac:dyDescent="0.25">
      <c r="A14103" s="2">
        <v>14098</v>
      </c>
      <c r="B14103" s="3" t="str">
        <f>"00685299"</f>
        <v>00685299</v>
      </c>
    </row>
    <row r="14104" spans="1:2" x14ac:dyDescent="0.25">
      <c r="A14104" s="2">
        <v>14099</v>
      </c>
      <c r="B14104" s="3" t="str">
        <f>"00685330"</f>
        <v>00685330</v>
      </c>
    </row>
    <row r="14105" spans="1:2" x14ac:dyDescent="0.25">
      <c r="A14105" s="2">
        <v>14100</v>
      </c>
      <c r="B14105" s="3" t="str">
        <f>"00685334"</f>
        <v>00685334</v>
      </c>
    </row>
    <row r="14106" spans="1:2" x14ac:dyDescent="0.25">
      <c r="A14106" s="2">
        <v>14101</v>
      </c>
      <c r="B14106" s="3" t="str">
        <f>"00685341"</f>
        <v>00685341</v>
      </c>
    </row>
    <row r="14107" spans="1:2" x14ac:dyDescent="0.25">
      <c r="A14107" s="2">
        <v>14102</v>
      </c>
      <c r="B14107" s="3" t="str">
        <f>"00685383"</f>
        <v>00685383</v>
      </c>
    </row>
    <row r="14108" spans="1:2" x14ac:dyDescent="0.25">
      <c r="A14108" s="2">
        <v>14103</v>
      </c>
      <c r="B14108" s="3" t="str">
        <f>"00685436"</f>
        <v>00685436</v>
      </c>
    </row>
    <row r="14109" spans="1:2" x14ac:dyDescent="0.25">
      <c r="A14109" s="2">
        <v>14104</v>
      </c>
      <c r="B14109" s="3" t="str">
        <f>"00685439"</f>
        <v>00685439</v>
      </c>
    </row>
    <row r="14110" spans="1:2" x14ac:dyDescent="0.25">
      <c r="A14110" s="2">
        <v>14105</v>
      </c>
      <c r="B14110" s="3" t="str">
        <f>"00685461"</f>
        <v>00685461</v>
      </c>
    </row>
    <row r="14111" spans="1:2" x14ac:dyDescent="0.25">
      <c r="A14111" s="2">
        <v>14106</v>
      </c>
      <c r="B14111" s="3" t="str">
        <f>"00685517"</f>
        <v>00685517</v>
      </c>
    </row>
    <row r="14112" spans="1:2" x14ac:dyDescent="0.25">
      <c r="A14112" s="2">
        <v>14107</v>
      </c>
      <c r="B14112" s="3" t="str">
        <f>"00685551"</f>
        <v>00685551</v>
      </c>
    </row>
    <row r="14113" spans="1:2" x14ac:dyDescent="0.25">
      <c r="A14113" s="2">
        <v>14108</v>
      </c>
      <c r="B14113" s="3" t="str">
        <f>"00685623"</f>
        <v>00685623</v>
      </c>
    </row>
    <row r="14114" spans="1:2" x14ac:dyDescent="0.25">
      <c r="A14114" s="2">
        <v>14109</v>
      </c>
      <c r="B14114" s="3" t="str">
        <f>"00685625"</f>
        <v>00685625</v>
      </c>
    </row>
    <row r="14115" spans="1:2" x14ac:dyDescent="0.25">
      <c r="A14115" s="2">
        <v>14110</v>
      </c>
      <c r="B14115" s="3" t="str">
        <f>"00685710"</f>
        <v>00685710</v>
      </c>
    </row>
    <row r="14116" spans="1:2" x14ac:dyDescent="0.25">
      <c r="A14116" s="2">
        <v>14111</v>
      </c>
      <c r="B14116" s="3" t="str">
        <f>"00685801"</f>
        <v>00685801</v>
      </c>
    </row>
    <row r="14117" spans="1:2" x14ac:dyDescent="0.25">
      <c r="A14117" s="2">
        <v>14112</v>
      </c>
      <c r="B14117" s="3" t="str">
        <f>"00685966"</f>
        <v>00685966</v>
      </c>
    </row>
    <row r="14118" spans="1:2" x14ac:dyDescent="0.25">
      <c r="A14118" s="2">
        <v>14113</v>
      </c>
      <c r="B14118" s="3" t="str">
        <f>"00685978"</f>
        <v>00685978</v>
      </c>
    </row>
    <row r="14119" spans="1:2" x14ac:dyDescent="0.25">
      <c r="A14119" s="2">
        <v>14114</v>
      </c>
      <c r="B14119" s="3" t="str">
        <f>"00686074"</f>
        <v>00686074</v>
      </c>
    </row>
    <row r="14120" spans="1:2" x14ac:dyDescent="0.25">
      <c r="A14120" s="2">
        <v>14115</v>
      </c>
      <c r="B14120" s="3" t="str">
        <f>"00686103"</f>
        <v>00686103</v>
      </c>
    </row>
    <row r="14121" spans="1:2" x14ac:dyDescent="0.25">
      <c r="A14121" s="2">
        <v>14116</v>
      </c>
      <c r="B14121" s="3" t="str">
        <f>"00686124"</f>
        <v>00686124</v>
      </c>
    </row>
    <row r="14122" spans="1:2" x14ac:dyDescent="0.25">
      <c r="A14122" s="2">
        <v>14117</v>
      </c>
      <c r="B14122" s="3" t="str">
        <f>"00686282"</f>
        <v>00686282</v>
      </c>
    </row>
    <row r="14123" spans="1:2" x14ac:dyDescent="0.25">
      <c r="A14123" s="2">
        <v>14118</v>
      </c>
      <c r="B14123" s="3" t="str">
        <f>"00686332"</f>
        <v>00686332</v>
      </c>
    </row>
    <row r="14124" spans="1:2" x14ac:dyDescent="0.25">
      <c r="A14124" s="2">
        <v>14119</v>
      </c>
      <c r="B14124" s="3" t="str">
        <f>"00686360"</f>
        <v>00686360</v>
      </c>
    </row>
    <row r="14125" spans="1:2" x14ac:dyDescent="0.25">
      <c r="A14125" s="2">
        <v>14120</v>
      </c>
      <c r="B14125" s="3" t="str">
        <f>"00686375"</f>
        <v>00686375</v>
      </c>
    </row>
    <row r="14126" spans="1:2" x14ac:dyDescent="0.25">
      <c r="A14126" s="2">
        <v>14121</v>
      </c>
      <c r="B14126" s="3" t="str">
        <f>"00686404"</f>
        <v>00686404</v>
      </c>
    </row>
    <row r="14127" spans="1:2" x14ac:dyDescent="0.25">
      <c r="A14127" s="2">
        <v>14122</v>
      </c>
      <c r="B14127" s="3" t="str">
        <f>"00686415"</f>
        <v>00686415</v>
      </c>
    </row>
    <row r="14128" spans="1:2" x14ac:dyDescent="0.25">
      <c r="A14128" s="2">
        <v>14123</v>
      </c>
      <c r="B14128" s="3" t="str">
        <f>"00686517"</f>
        <v>00686517</v>
      </c>
    </row>
    <row r="14129" spans="1:2" x14ac:dyDescent="0.25">
      <c r="A14129" s="2">
        <v>14124</v>
      </c>
      <c r="B14129" s="3" t="str">
        <f>"00686520"</f>
        <v>00686520</v>
      </c>
    </row>
    <row r="14130" spans="1:2" x14ac:dyDescent="0.25">
      <c r="A14130" s="2">
        <v>14125</v>
      </c>
      <c r="B14130" s="3" t="str">
        <f>"00686554"</f>
        <v>00686554</v>
      </c>
    </row>
    <row r="14131" spans="1:2" x14ac:dyDescent="0.25">
      <c r="A14131" s="2">
        <v>14126</v>
      </c>
      <c r="B14131" s="3" t="str">
        <f>"00686575"</f>
        <v>00686575</v>
      </c>
    </row>
    <row r="14132" spans="1:2" x14ac:dyDescent="0.25">
      <c r="A14132" s="2">
        <v>14127</v>
      </c>
      <c r="B14132" s="3" t="str">
        <f>"00686613"</f>
        <v>00686613</v>
      </c>
    </row>
    <row r="14133" spans="1:2" x14ac:dyDescent="0.25">
      <c r="A14133" s="2">
        <v>14128</v>
      </c>
      <c r="B14133" s="3" t="str">
        <f>"00686755"</f>
        <v>00686755</v>
      </c>
    </row>
    <row r="14134" spans="1:2" x14ac:dyDescent="0.25">
      <c r="A14134" s="2">
        <v>14129</v>
      </c>
      <c r="B14134" s="3" t="str">
        <f>"00686762"</f>
        <v>00686762</v>
      </c>
    </row>
    <row r="14135" spans="1:2" x14ac:dyDescent="0.25">
      <c r="A14135" s="2">
        <v>14130</v>
      </c>
      <c r="B14135" s="3" t="str">
        <f>"00686868"</f>
        <v>00686868</v>
      </c>
    </row>
    <row r="14136" spans="1:2" x14ac:dyDescent="0.25">
      <c r="A14136" s="2">
        <v>14131</v>
      </c>
      <c r="B14136" s="3" t="str">
        <f>"00686885"</f>
        <v>00686885</v>
      </c>
    </row>
    <row r="14137" spans="1:2" x14ac:dyDescent="0.25">
      <c r="A14137" s="2">
        <v>14132</v>
      </c>
      <c r="B14137" s="3" t="str">
        <f>"00686998"</f>
        <v>00686998</v>
      </c>
    </row>
    <row r="14138" spans="1:2" x14ac:dyDescent="0.25">
      <c r="A14138" s="2">
        <v>14133</v>
      </c>
      <c r="B14138" s="3" t="str">
        <f>"00687033"</f>
        <v>00687033</v>
      </c>
    </row>
    <row r="14139" spans="1:2" x14ac:dyDescent="0.25">
      <c r="A14139" s="2">
        <v>14134</v>
      </c>
      <c r="B14139" s="3" t="str">
        <f>"00687054"</f>
        <v>00687054</v>
      </c>
    </row>
    <row r="14140" spans="1:2" x14ac:dyDescent="0.25">
      <c r="A14140" s="2">
        <v>14135</v>
      </c>
      <c r="B14140" s="3" t="str">
        <f>"00687077"</f>
        <v>00687077</v>
      </c>
    </row>
    <row r="14141" spans="1:2" x14ac:dyDescent="0.25">
      <c r="A14141" s="2">
        <v>14136</v>
      </c>
      <c r="B14141" s="3" t="str">
        <f>"00687110"</f>
        <v>00687110</v>
      </c>
    </row>
    <row r="14142" spans="1:2" x14ac:dyDescent="0.25">
      <c r="A14142" s="2">
        <v>14137</v>
      </c>
      <c r="B14142" s="3" t="str">
        <f>"00687176"</f>
        <v>00687176</v>
      </c>
    </row>
    <row r="14143" spans="1:2" x14ac:dyDescent="0.25">
      <c r="A14143" s="2">
        <v>14138</v>
      </c>
      <c r="B14143" s="3" t="str">
        <f>"00687326"</f>
        <v>00687326</v>
      </c>
    </row>
    <row r="14144" spans="1:2" x14ac:dyDescent="0.25">
      <c r="A14144" s="2">
        <v>14139</v>
      </c>
      <c r="B14144" s="3" t="str">
        <f>"00687477"</f>
        <v>00687477</v>
      </c>
    </row>
    <row r="14145" spans="1:2" x14ac:dyDescent="0.25">
      <c r="A14145" s="2">
        <v>14140</v>
      </c>
      <c r="B14145" s="3" t="str">
        <f>"00687528"</f>
        <v>00687528</v>
      </c>
    </row>
    <row r="14146" spans="1:2" x14ac:dyDescent="0.25">
      <c r="A14146" s="2">
        <v>14141</v>
      </c>
      <c r="B14146" s="3" t="str">
        <f>"00687551"</f>
        <v>00687551</v>
      </c>
    </row>
    <row r="14147" spans="1:2" x14ac:dyDescent="0.25">
      <c r="A14147" s="2">
        <v>14142</v>
      </c>
      <c r="B14147" s="3" t="str">
        <f>"00687584"</f>
        <v>00687584</v>
      </c>
    </row>
    <row r="14148" spans="1:2" x14ac:dyDescent="0.25">
      <c r="A14148" s="2">
        <v>14143</v>
      </c>
      <c r="B14148" s="3" t="str">
        <f>"00687701"</f>
        <v>00687701</v>
      </c>
    </row>
    <row r="14149" spans="1:2" x14ac:dyDescent="0.25">
      <c r="A14149" s="2">
        <v>14144</v>
      </c>
      <c r="B14149" s="3" t="str">
        <f>"00687876"</f>
        <v>00687876</v>
      </c>
    </row>
    <row r="14150" spans="1:2" x14ac:dyDescent="0.25">
      <c r="A14150" s="2">
        <v>14145</v>
      </c>
      <c r="B14150" s="3" t="str">
        <f>"00687937"</f>
        <v>00687937</v>
      </c>
    </row>
    <row r="14151" spans="1:2" x14ac:dyDescent="0.25">
      <c r="A14151" s="2">
        <v>14146</v>
      </c>
      <c r="B14151" s="3" t="str">
        <f>"00688081"</f>
        <v>00688081</v>
      </c>
    </row>
    <row r="14152" spans="1:2" x14ac:dyDescent="0.25">
      <c r="A14152" s="2">
        <v>14147</v>
      </c>
      <c r="B14152" s="3" t="str">
        <f>"00688109"</f>
        <v>00688109</v>
      </c>
    </row>
    <row r="14153" spans="1:2" x14ac:dyDescent="0.25">
      <c r="A14153" s="2">
        <v>14148</v>
      </c>
      <c r="B14153" s="3" t="str">
        <f>"00688116"</f>
        <v>00688116</v>
      </c>
    </row>
    <row r="14154" spans="1:2" x14ac:dyDescent="0.25">
      <c r="A14154" s="2">
        <v>14149</v>
      </c>
      <c r="B14154" s="3" t="str">
        <f>"00688187"</f>
        <v>00688187</v>
      </c>
    </row>
    <row r="14155" spans="1:2" x14ac:dyDescent="0.25">
      <c r="A14155" s="2">
        <v>14150</v>
      </c>
      <c r="B14155" s="3" t="str">
        <f>"00688207"</f>
        <v>00688207</v>
      </c>
    </row>
    <row r="14156" spans="1:2" x14ac:dyDescent="0.25">
      <c r="A14156" s="2">
        <v>14151</v>
      </c>
      <c r="B14156" s="3" t="str">
        <f>"00688270"</f>
        <v>00688270</v>
      </c>
    </row>
    <row r="14157" spans="1:2" x14ac:dyDescent="0.25">
      <c r="A14157" s="2">
        <v>14152</v>
      </c>
      <c r="B14157" s="3" t="str">
        <f>"00688312"</f>
        <v>00688312</v>
      </c>
    </row>
    <row r="14158" spans="1:2" x14ac:dyDescent="0.25">
      <c r="A14158" s="2">
        <v>14153</v>
      </c>
      <c r="B14158" s="3" t="str">
        <f>"00688394"</f>
        <v>00688394</v>
      </c>
    </row>
    <row r="14159" spans="1:2" x14ac:dyDescent="0.25">
      <c r="A14159" s="2">
        <v>14154</v>
      </c>
      <c r="B14159" s="3" t="str">
        <f>"00688405"</f>
        <v>00688405</v>
      </c>
    </row>
    <row r="14160" spans="1:2" x14ac:dyDescent="0.25">
      <c r="A14160" s="2">
        <v>14155</v>
      </c>
      <c r="B14160" s="3" t="str">
        <f>"00688488"</f>
        <v>00688488</v>
      </c>
    </row>
    <row r="14161" spans="1:2" x14ac:dyDescent="0.25">
      <c r="A14161" s="2">
        <v>14156</v>
      </c>
      <c r="B14161" s="3" t="str">
        <f>"00688514"</f>
        <v>00688514</v>
      </c>
    </row>
    <row r="14162" spans="1:2" x14ac:dyDescent="0.25">
      <c r="A14162" s="2">
        <v>14157</v>
      </c>
      <c r="B14162" s="3" t="str">
        <f>"00688518"</f>
        <v>00688518</v>
      </c>
    </row>
    <row r="14163" spans="1:2" x14ac:dyDescent="0.25">
      <c r="A14163" s="2">
        <v>14158</v>
      </c>
      <c r="B14163" s="3" t="str">
        <f>"00688572"</f>
        <v>00688572</v>
      </c>
    </row>
    <row r="14164" spans="1:2" x14ac:dyDescent="0.25">
      <c r="A14164" s="2">
        <v>14159</v>
      </c>
      <c r="B14164" s="3" t="str">
        <f>"00688576"</f>
        <v>00688576</v>
      </c>
    </row>
    <row r="14165" spans="1:2" x14ac:dyDescent="0.25">
      <c r="A14165" s="2">
        <v>14160</v>
      </c>
      <c r="B14165" s="3" t="str">
        <f>"00688603"</f>
        <v>00688603</v>
      </c>
    </row>
    <row r="14166" spans="1:2" x14ac:dyDescent="0.25">
      <c r="A14166" s="2">
        <v>14161</v>
      </c>
      <c r="B14166" s="3" t="str">
        <f>"00688657"</f>
        <v>00688657</v>
      </c>
    </row>
    <row r="14167" spans="1:2" x14ac:dyDescent="0.25">
      <c r="A14167" s="2">
        <v>14162</v>
      </c>
      <c r="B14167" s="3" t="str">
        <f>"00688682"</f>
        <v>00688682</v>
      </c>
    </row>
    <row r="14168" spans="1:2" x14ac:dyDescent="0.25">
      <c r="A14168" s="2">
        <v>14163</v>
      </c>
      <c r="B14168" s="3" t="str">
        <f>"00688800"</f>
        <v>00688800</v>
      </c>
    </row>
    <row r="14169" spans="1:2" x14ac:dyDescent="0.25">
      <c r="A14169" s="2">
        <v>14164</v>
      </c>
      <c r="B14169" s="3" t="str">
        <f>"00688812"</f>
        <v>00688812</v>
      </c>
    </row>
    <row r="14170" spans="1:2" x14ac:dyDescent="0.25">
      <c r="A14170" s="2">
        <v>14165</v>
      </c>
      <c r="B14170" s="3" t="str">
        <f>"00688834"</f>
        <v>00688834</v>
      </c>
    </row>
    <row r="14171" spans="1:2" x14ac:dyDescent="0.25">
      <c r="A14171" s="2">
        <v>14166</v>
      </c>
      <c r="B14171" s="3" t="str">
        <f>"00688879"</f>
        <v>00688879</v>
      </c>
    </row>
    <row r="14172" spans="1:2" x14ac:dyDescent="0.25">
      <c r="A14172" s="2">
        <v>14167</v>
      </c>
      <c r="B14172" s="3" t="str">
        <f>"00688884"</f>
        <v>00688884</v>
      </c>
    </row>
    <row r="14173" spans="1:2" x14ac:dyDescent="0.25">
      <c r="A14173" s="2">
        <v>14168</v>
      </c>
      <c r="B14173" s="3" t="str">
        <f>"00688971"</f>
        <v>00688971</v>
      </c>
    </row>
    <row r="14174" spans="1:2" x14ac:dyDescent="0.25">
      <c r="A14174" s="2">
        <v>14169</v>
      </c>
      <c r="B14174" s="3" t="str">
        <f>"00689013"</f>
        <v>00689013</v>
      </c>
    </row>
    <row r="14175" spans="1:2" x14ac:dyDescent="0.25">
      <c r="A14175" s="2">
        <v>14170</v>
      </c>
      <c r="B14175" s="3" t="str">
        <f>"00689051"</f>
        <v>00689051</v>
      </c>
    </row>
    <row r="14176" spans="1:2" x14ac:dyDescent="0.25">
      <c r="A14176" s="2">
        <v>14171</v>
      </c>
      <c r="B14176" s="3" t="str">
        <f>"00689106"</f>
        <v>00689106</v>
      </c>
    </row>
    <row r="14177" spans="1:2" x14ac:dyDescent="0.25">
      <c r="A14177" s="2">
        <v>14172</v>
      </c>
      <c r="B14177" s="3" t="str">
        <f>"00689122"</f>
        <v>00689122</v>
      </c>
    </row>
    <row r="14178" spans="1:2" x14ac:dyDescent="0.25">
      <c r="A14178" s="2">
        <v>14173</v>
      </c>
      <c r="B14178" s="3" t="str">
        <f>"00689243"</f>
        <v>00689243</v>
      </c>
    </row>
    <row r="14179" spans="1:2" x14ac:dyDescent="0.25">
      <c r="A14179" s="2">
        <v>14174</v>
      </c>
      <c r="B14179" s="3" t="str">
        <f>"00689282"</f>
        <v>00689282</v>
      </c>
    </row>
    <row r="14180" spans="1:2" x14ac:dyDescent="0.25">
      <c r="A14180" s="2">
        <v>14175</v>
      </c>
      <c r="B14180" s="3" t="str">
        <f>"00689298"</f>
        <v>00689298</v>
      </c>
    </row>
    <row r="14181" spans="1:2" x14ac:dyDescent="0.25">
      <c r="A14181" s="2">
        <v>14176</v>
      </c>
      <c r="B14181" s="3" t="str">
        <f>"00689311"</f>
        <v>00689311</v>
      </c>
    </row>
    <row r="14182" spans="1:2" x14ac:dyDescent="0.25">
      <c r="A14182" s="2">
        <v>14177</v>
      </c>
      <c r="B14182" s="3" t="str">
        <f>"00689315"</f>
        <v>00689315</v>
      </c>
    </row>
    <row r="14183" spans="1:2" x14ac:dyDescent="0.25">
      <c r="A14183" s="2">
        <v>14178</v>
      </c>
      <c r="B14183" s="3" t="str">
        <f>"00689337"</f>
        <v>00689337</v>
      </c>
    </row>
    <row r="14184" spans="1:2" x14ac:dyDescent="0.25">
      <c r="A14184" s="2">
        <v>14179</v>
      </c>
      <c r="B14184" s="3" t="str">
        <f>"00689339"</f>
        <v>00689339</v>
      </c>
    </row>
    <row r="14185" spans="1:2" x14ac:dyDescent="0.25">
      <c r="A14185" s="2">
        <v>14180</v>
      </c>
      <c r="B14185" s="3" t="str">
        <f>"00689342"</f>
        <v>00689342</v>
      </c>
    </row>
    <row r="14186" spans="1:2" x14ac:dyDescent="0.25">
      <c r="A14186" s="2">
        <v>14181</v>
      </c>
      <c r="B14186" s="3" t="str">
        <f>"00689400"</f>
        <v>00689400</v>
      </c>
    </row>
    <row r="14187" spans="1:2" x14ac:dyDescent="0.25">
      <c r="A14187" s="2">
        <v>14182</v>
      </c>
      <c r="B14187" s="3" t="str">
        <f>"00689508"</f>
        <v>00689508</v>
      </c>
    </row>
    <row r="14188" spans="1:2" x14ac:dyDescent="0.25">
      <c r="A14188" s="2">
        <v>14183</v>
      </c>
      <c r="B14188" s="3" t="str">
        <f>"00689529"</f>
        <v>00689529</v>
      </c>
    </row>
    <row r="14189" spans="1:2" x14ac:dyDescent="0.25">
      <c r="A14189" s="2">
        <v>14184</v>
      </c>
      <c r="B14189" s="3" t="str">
        <f>"00689725"</f>
        <v>00689725</v>
      </c>
    </row>
    <row r="14190" spans="1:2" x14ac:dyDescent="0.25">
      <c r="A14190" s="2">
        <v>14185</v>
      </c>
      <c r="B14190" s="3" t="str">
        <f>"00689963"</f>
        <v>00689963</v>
      </c>
    </row>
    <row r="14191" spans="1:2" x14ac:dyDescent="0.25">
      <c r="A14191" s="2">
        <v>14186</v>
      </c>
      <c r="B14191" s="3" t="str">
        <f>"00689985"</f>
        <v>00689985</v>
      </c>
    </row>
    <row r="14192" spans="1:2" x14ac:dyDescent="0.25">
      <c r="A14192" s="2">
        <v>14187</v>
      </c>
      <c r="B14192" s="3" t="str">
        <f>"00690012"</f>
        <v>00690012</v>
      </c>
    </row>
    <row r="14193" spans="1:2" x14ac:dyDescent="0.25">
      <c r="A14193" s="2">
        <v>14188</v>
      </c>
      <c r="B14193" s="3" t="str">
        <f>"00690045"</f>
        <v>00690045</v>
      </c>
    </row>
    <row r="14194" spans="1:2" x14ac:dyDescent="0.25">
      <c r="A14194" s="2">
        <v>14189</v>
      </c>
      <c r="B14194" s="3" t="str">
        <f>"00690055"</f>
        <v>00690055</v>
      </c>
    </row>
    <row r="14195" spans="1:2" x14ac:dyDescent="0.25">
      <c r="A14195" s="2">
        <v>14190</v>
      </c>
      <c r="B14195" s="3" t="str">
        <f>"00690089"</f>
        <v>00690089</v>
      </c>
    </row>
    <row r="14196" spans="1:2" x14ac:dyDescent="0.25">
      <c r="A14196" s="2">
        <v>14191</v>
      </c>
      <c r="B14196" s="3" t="str">
        <f>"00690106"</f>
        <v>00690106</v>
      </c>
    </row>
    <row r="14197" spans="1:2" x14ac:dyDescent="0.25">
      <c r="A14197" s="2">
        <v>14192</v>
      </c>
      <c r="B14197" s="3" t="str">
        <f>"00690111"</f>
        <v>00690111</v>
      </c>
    </row>
    <row r="14198" spans="1:2" x14ac:dyDescent="0.25">
      <c r="A14198" s="2">
        <v>14193</v>
      </c>
      <c r="B14198" s="3" t="str">
        <f>"00690125"</f>
        <v>00690125</v>
      </c>
    </row>
    <row r="14199" spans="1:2" x14ac:dyDescent="0.25">
      <c r="A14199" s="2">
        <v>14194</v>
      </c>
      <c r="B14199" s="3" t="str">
        <f>"00690131"</f>
        <v>00690131</v>
      </c>
    </row>
    <row r="14200" spans="1:2" x14ac:dyDescent="0.25">
      <c r="A14200" s="2">
        <v>14195</v>
      </c>
      <c r="B14200" s="3" t="str">
        <f>"00690141"</f>
        <v>00690141</v>
      </c>
    </row>
    <row r="14201" spans="1:2" x14ac:dyDescent="0.25">
      <c r="A14201" s="2">
        <v>14196</v>
      </c>
      <c r="B14201" s="3" t="str">
        <f>"00690147"</f>
        <v>00690147</v>
      </c>
    </row>
    <row r="14202" spans="1:2" x14ac:dyDescent="0.25">
      <c r="A14202" s="2">
        <v>14197</v>
      </c>
      <c r="B14202" s="3" t="str">
        <f>"00690177"</f>
        <v>00690177</v>
      </c>
    </row>
    <row r="14203" spans="1:2" x14ac:dyDescent="0.25">
      <c r="A14203" s="2">
        <v>14198</v>
      </c>
      <c r="B14203" s="3" t="str">
        <f>"00690206"</f>
        <v>00690206</v>
      </c>
    </row>
    <row r="14204" spans="1:2" x14ac:dyDescent="0.25">
      <c r="A14204" s="2">
        <v>14199</v>
      </c>
      <c r="B14204" s="3" t="str">
        <f>"00690217"</f>
        <v>00690217</v>
      </c>
    </row>
    <row r="14205" spans="1:2" x14ac:dyDescent="0.25">
      <c r="A14205" s="2">
        <v>14200</v>
      </c>
      <c r="B14205" s="3" t="str">
        <f>"00690235"</f>
        <v>00690235</v>
      </c>
    </row>
    <row r="14206" spans="1:2" x14ac:dyDescent="0.25">
      <c r="A14206" s="2">
        <v>14201</v>
      </c>
      <c r="B14206" s="3" t="str">
        <f>"00690241"</f>
        <v>00690241</v>
      </c>
    </row>
    <row r="14207" spans="1:2" x14ac:dyDescent="0.25">
      <c r="A14207" s="2">
        <v>14202</v>
      </c>
      <c r="B14207" s="3" t="str">
        <f>"00690246"</f>
        <v>00690246</v>
      </c>
    </row>
    <row r="14208" spans="1:2" x14ac:dyDescent="0.25">
      <c r="A14208" s="2">
        <v>14203</v>
      </c>
      <c r="B14208" s="3" t="str">
        <f>"00690260"</f>
        <v>00690260</v>
      </c>
    </row>
    <row r="14209" spans="1:2" x14ac:dyDescent="0.25">
      <c r="A14209" s="2">
        <v>14204</v>
      </c>
      <c r="B14209" s="3" t="str">
        <f>"00690273"</f>
        <v>00690273</v>
      </c>
    </row>
    <row r="14210" spans="1:2" x14ac:dyDescent="0.25">
      <c r="A14210" s="2">
        <v>14205</v>
      </c>
      <c r="B14210" s="3" t="str">
        <f>"00690309"</f>
        <v>00690309</v>
      </c>
    </row>
    <row r="14211" spans="1:2" x14ac:dyDescent="0.25">
      <c r="A14211" s="2">
        <v>14206</v>
      </c>
      <c r="B14211" s="3" t="str">
        <f>"00690338"</f>
        <v>00690338</v>
      </c>
    </row>
    <row r="14212" spans="1:2" x14ac:dyDescent="0.25">
      <c r="A14212" s="2">
        <v>14207</v>
      </c>
      <c r="B14212" s="3" t="str">
        <f>"00690352"</f>
        <v>00690352</v>
      </c>
    </row>
    <row r="14213" spans="1:2" x14ac:dyDescent="0.25">
      <c r="A14213" s="2">
        <v>14208</v>
      </c>
      <c r="B14213" s="3" t="str">
        <f>"00690372"</f>
        <v>00690372</v>
      </c>
    </row>
    <row r="14214" spans="1:2" x14ac:dyDescent="0.25">
      <c r="A14214" s="2">
        <v>14209</v>
      </c>
      <c r="B14214" s="3" t="str">
        <f>"00690431"</f>
        <v>00690431</v>
      </c>
    </row>
    <row r="14215" spans="1:2" x14ac:dyDescent="0.25">
      <c r="A14215" s="2">
        <v>14210</v>
      </c>
      <c r="B14215" s="3" t="str">
        <f>"00690481"</f>
        <v>00690481</v>
      </c>
    </row>
    <row r="14216" spans="1:2" x14ac:dyDescent="0.25">
      <c r="A14216" s="2">
        <v>14211</v>
      </c>
      <c r="B14216" s="3" t="str">
        <f>"00690503"</f>
        <v>00690503</v>
      </c>
    </row>
    <row r="14217" spans="1:2" x14ac:dyDescent="0.25">
      <c r="A14217" s="2">
        <v>14212</v>
      </c>
      <c r="B14217" s="3" t="str">
        <f>"00690507"</f>
        <v>00690507</v>
      </c>
    </row>
    <row r="14218" spans="1:2" x14ac:dyDescent="0.25">
      <c r="A14218" s="2">
        <v>14213</v>
      </c>
      <c r="B14218" s="3" t="str">
        <f>"00690527"</f>
        <v>00690527</v>
      </c>
    </row>
    <row r="14219" spans="1:2" x14ac:dyDescent="0.25">
      <c r="A14219" s="2">
        <v>14214</v>
      </c>
      <c r="B14219" s="3" t="str">
        <f>"00690591"</f>
        <v>00690591</v>
      </c>
    </row>
    <row r="14220" spans="1:2" x14ac:dyDescent="0.25">
      <c r="A14220" s="2">
        <v>14215</v>
      </c>
      <c r="B14220" s="3" t="str">
        <f>"00690809"</f>
        <v>00690809</v>
      </c>
    </row>
    <row r="14221" spans="1:2" x14ac:dyDescent="0.25">
      <c r="A14221" s="2">
        <v>14216</v>
      </c>
      <c r="B14221" s="3" t="str">
        <f>"00690817"</f>
        <v>00690817</v>
      </c>
    </row>
    <row r="14222" spans="1:2" x14ac:dyDescent="0.25">
      <c r="A14222" s="2">
        <v>14217</v>
      </c>
      <c r="B14222" s="3" t="str">
        <f>"00690847"</f>
        <v>00690847</v>
      </c>
    </row>
    <row r="14223" spans="1:2" x14ac:dyDescent="0.25">
      <c r="A14223" s="2">
        <v>14218</v>
      </c>
      <c r="B14223" s="3" t="str">
        <f>"00690900"</f>
        <v>00690900</v>
      </c>
    </row>
    <row r="14224" spans="1:2" x14ac:dyDescent="0.25">
      <c r="A14224" s="2">
        <v>14219</v>
      </c>
      <c r="B14224" s="3" t="str">
        <f>"00690938"</f>
        <v>00690938</v>
      </c>
    </row>
    <row r="14225" spans="1:2" x14ac:dyDescent="0.25">
      <c r="A14225" s="2">
        <v>14220</v>
      </c>
      <c r="B14225" s="3" t="str">
        <f>"00690939"</f>
        <v>00690939</v>
      </c>
    </row>
    <row r="14226" spans="1:2" x14ac:dyDescent="0.25">
      <c r="A14226" s="2">
        <v>14221</v>
      </c>
      <c r="B14226" s="3" t="str">
        <f>"00690955"</f>
        <v>00690955</v>
      </c>
    </row>
    <row r="14227" spans="1:2" x14ac:dyDescent="0.25">
      <c r="A14227" s="2">
        <v>14222</v>
      </c>
      <c r="B14227" s="3" t="str">
        <f>"00691151"</f>
        <v>00691151</v>
      </c>
    </row>
    <row r="14228" spans="1:2" x14ac:dyDescent="0.25">
      <c r="A14228" s="2">
        <v>14223</v>
      </c>
      <c r="B14228" s="3" t="str">
        <f>"00691208"</f>
        <v>00691208</v>
      </c>
    </row>
    <row r="14229" spans="1:2" x14ac:dyDescent="0.25">
      <c r="A14229" s="2">
        <v>14224</v>
      </c>
      <c r="B14229" s="3" t="str">
        <f>"00691226"</f>
        <v>00691226</v>
      </c>
    </row>
    <row r="14230" spans="1:2" x14ac:dyDescent="0.25">
      <c r="A14230" s="2">
        <v>14225</v>
      </c>
      <c r="B14230" s="3" t="str">
        <f>"00691229"</f>
        <v>00691229</v>
      </c>
    </row>
    <row r="14231" spans="1:2" x14ac:dyDescent="0.25">
      <c r="A14231" s="2">
        <v>14226</v>
      </c>
      <c r="B14231" s="3" t="str">
        <f>"00691265"</f>
        <v>00691265</v>
      </c>
    </row>
    <row r="14232" spans="1:2" x14ac:dyDescent="0.25">
      <c r="A14232" s="2">
        <v>14227</v>
      </c>
      <c r="B14232" s="3" t="str">
        <f>"00691279"</f>
        <v>00691279</v>
      </c>
    </row>
    <row r="14233" spans="1:2" x14ac:dyDescent="0.25">
      <c r="A14233" s="2">
        <v>14228</v>
      </c>
      <c r="B14233" s="3" t="str">
        <f>"00691280"</f>
        <v>00691280</v>
      </c>
    </row>
    <row r="14234" spans="1:2" x14ac:dyDescent="0.25">
      <c r="A14234" s="2">
        <v>14229</v>
      </c>
      <c r="B14234" s="3" t="str">
        <f>"00691333"</f>
        <v>00691333</v>
      </c>
    </row>
    <row r="14235" spans="1:2" x14ac:dyDescent="0.25">
      <c r="A14235" s="2">
        <v>14230</v>
      </c>
      <c r="B14235" s="3" t="str">
        <f>"00691445"</f>
        <v>00691445</v>
      </c>
    </row>
    <row r="14236" spans="1:2" x14ac:dyDescent="0.25">
      <c r="A14236" s="2">
        <v>14231</v>
      </c>
      <c r="B14236" s="3" t="str">
        <f>"00691476"</f>
        <v>00691476</v>
      </c>
    </row>
    <row r="14237" spans="1:2" x14ac:dyDescent="0.25">
      <c r="A14237" s="2">
        <v>14232</v>
      </c>
      <c r="B14237" s="3" t="str">
        <f>"00691491"</f>
        <v>00691491</v>
      </c>
    </row>
    <row r="14238" spans="1:2" x14ac:dyDescent="0.25">
      <c r="A14238" s="2">
        <v>14233</v>
      </c>
      <c r="B14238" s="3" t="str">
        <f>"00691543"</f>
        <v>00691543</v>
      </c>
    </row>
    <row r="14239" spans="1:2" x14ac:dyDescent="0.25">
      <c r="A14239" s="2">
        <v>14234</v>
      </c>
      <c r="B14239" s="3" t="str">
        <f>"00691637"</f>
        <v>00691637</v>
      </c>
    </row>
    <row r="14240" spans="1:2" x14ac:dyDescent="0.25">
      <c r="A14240" s="2">
        <v>14235</v>
      </c>
      <c r="B14240" s="3" t="str">
        <f>"00691852"</f>
        <v>00691852</v>
      </c>
    </row>
    <row r="14241" spans="1:2" x14ac:dyDescent="0.25">
      <c r="A14241" s="2">
        <v>14236</v>
      </c>
      <c r="B14241" s="3" t="str">
        <f>"00691873"</f>
        <v>00691873</v>
      </c>
    </row>
    <row r="14242" spans="1:2" x14ac:dyDescent="0.25">
      <c r="A14242" s="2">
        <v>14237</v>
      </c>
      <c r="B14242" s="3" t="str">
        <f>"00691897"</f>
        <v>00691897</v>
      </c>
    </row>
    <row r="14243" spans="1:2" x14ac:dyDescent="0.25">
      <c r="A14243" s="2">
        <v>14238</v>
      </c>
      <c r="B14243" s="3" t="str">
        <f>"00691944"</f>
        <v>00691944</v>
      </c>
    </row>
    <row r="14244" spans="1:2" x14ac:dyDescent="0.25">
      <c r="A14244" s="2">
        <v>14239</v>
      </c>
      <c r="B14244" s="3" t="str">
        <f>"00691959"</f>
        <v>00691959</v>
      </c>
    </row>
    <row r="14245" spans="1:2" x14ac:dyDescent="0.25">
      <c r="A14245" s="2">
        <v>14240</v>
      </c>
      <c r="B14245" s="3" t="str">
        <f>"00692004"</f>
        <v>00692004</v>
      </c>
    </row>
    <row r="14246" spans="1:2" x14ac:dyDescent="0.25">
      <c r="A14246" s="2">
        <v>14241</v>
      </c>
      <c r="B14246" s="3" t="str">
        <f>"00692018"</f>
        <v>00692018</v>
      </c>
    </row>
    <row r="14247" spans="1:2" x14ac:dyDescent="0.25">
      <c r="A14247" s="2">
        <v>14242</v>
      </c>
      <c r="B14247" s="3" t="str">
        <f>"00692052"</f>
        <v>00692052</v>
      </c>
    </row>
    <row r="14248" spans="1:2" x14ac:dyDescent="0.25">
      <c r="A14248" s="2">
        <v>14243</v>
      </c>
      <c r="B14248" s="3" t="str">
        <f>"00692174"</f>
        <v>00692174</v>
      </c>
    </row>
    <row r="14249" spans="1:2" x14ac:dyDescent="0.25">
      <c r="A14249" s="2">
        <v>14244</v>
      </c>
      <c r="B14249" s="3" t="str">
        <f>"00692259"</f>
        <v>00692259</v>
      </c>
    </row>
    <row r="14250" spans="1:2" x14ac:dyDescent="0.25">
      <c r="A14250" s="2">
        <v>14245</v>
      </c>
      <c r="B14250" s="3" t="str">
        <f>"00692416"</f>
        <v>00692416</v>
      </c>
    </row>
    <row r="14251" spans="1:2" x14ac:dyDescent="0.25">
      <c r="A14251" s="2">
        <v>14246</v>
      </c>
      <c r="B14251" s="3" t="str">
        <f>"00692464"</f>
        <v>00692464</v>
      </c>
    </row>
    <row r="14252" spans="1:2" x14ac:dyDescent="0.25">
      <c r="A14252" s="2">
        <v>14247</v>
      </c>
      <c r="B14252" s="3" t="str">
        <f>"00692661"</f>
        <v>00692661</v>
      </c>
    </row>
    <row r="14253" spans="1:2" x14ac:dyDescent="0.25">
      <c r="A14253" s="2">
        <v>14248</v>
      </c>
      <c r="B14253" s="3" t="str">
        <f>"00692671"</f>
        <v>00692671</v>
      </c>
    </row>
    <row r="14254" spans="1:2" x14ac:dyDescent="0.25">
      <c r="A14254" s="2">
        <v>14249</v>
      </c>
      <c r="B14254" s="3" t="str">
        <f>"00693006"</f>
        <v>00693006</v>
      </c>
    </row>
    <row r="14255" spans="1:2" x14ac:dyDescent="0.25">
      <c r="A14255" s="2">
        <v>14250</v>
      </c>
      <c r="B14255" s="3" t="str">
        <f>"00693012"</f>
        <v>00693012</v>
      </c>
    </row>
    <row r="14256" spans="1:2" x14ac:dyDescent="0.25">
      <c r="A14256" s="2">
        <v>14251</v>
      </c>
      <c r="B14256" s="3" t="str">
        <f>"00693025"</f>
        <v>00693025</v>
      </c>
    </row>
    <row r="14257" spans="1:2" x14ac:dyDescent="0.25">
      <c r="A14257" s="2">
        <v>14252</v>
      </c>
      <c r="B14257" s="3" t="str">
        <f>"00693063"</f>
        <v>00693063</v>
      </c>
    </row>
    <row r="14258" spans="1:2" x14ac:dyDescent="0.25">
      <c r="A14258" s="2">
        <v>14253</v>
      </c>
      <c r="B14258" s="3" t="str">
        <f>"00693069"</f>
        <v>00693069</v>
      </c>
    </row>
    <row r="14259" spans="1:2" x14ac:dyDescent="0.25">
      <c r="A14259" s="2">
        <v>14254</v>
      </c>
      <c r="B14259" s="3" t="str">
        <f>"00693131"</f>
        <v>00693131</v>
      </c>
    </row>
    <row r="14260" spans="1:2" x14ac:dyDescent="0.25">
      <c r="A14260" s="2">
        <v>14255</v>
      </c>
      <c r="B14260" s="3" t="str">
        <f>"00693167"</f>
        <v>00693167</v>
      </c>
    </row>
    <row r="14261" spans="1:2" x14ac:dyDescent="0.25">
      <c r="A14261" s="2">
        <v>14256</v>
      </c>
      <c r="B14261" s="3" t="str">
        <f>"00693261"</f>
        <v>00693261</v>
      </c>
    </row>
    <row r="14262" spans="1:2" x14ac:dyDescent="0.25">
      <c r="A14262" s="2">
        <v>14257</v>
      </c>
      <c r="B14262" s="3" t="str">
        <f>"00693281"</f>
        <v>00693281</v>
      </c>
    </row>
    <row r="14263" spans="1:2" x14ac:dyDescent="0.25">
      <c r="A14263" s="2">
        <v>14258</v>
      </c>
      <c r="B14263" s="3" t="str">
        <f>"00693341"</f>
        <v>00693341</v>
      </c>
    </row>
    <row r="14264" spans="1:2" x14ac:dyDescent="0.25">
      <c r="A14264" s="2">
        <v>14259</v>
      </c>
      <c r="B14264" s="3" t="str">
        <f>"00693343"</f>
        <v>00693343</v>
      </c>
    </row>
    <row r="14265" spans="1:2" x14ac:dyDescent="0.25">
      <c r="A14265" s="2">
        <v>14260</v>
      </c>
      <c r="B14265" s="3" t="str">
        <f>"00693345"</f>
        <v>00693345</v>
      </c>
    </row>
    <row r="14266" spans="1:2" x14ac:dyDescent="0.25">
      <c r="A14266" s="2">
        <v>14261</v>
      </c>
      <c r="B14266" s="3" t="str">
        <f>"00693412"</f>
        <v>00693412</v>
      </c>
    </row>
    <row r="14267" spans="1:2" x14ac:dyDescent="0.25">
      <c r="A14267" s="2">
        <v>14262</v>
      </c>
      <c r="B14267" s="3" t="str">
        <f>"00693433"</f>
        <v>00693433</v>
      </c>
    </row>
    <row r="14268" spans="1:2" x14ac:dyDescent="0.25">
      <c r="A14268" s="2">
        <v>14263</v>
      </c>
      <c r="B14268" s="3" t="str">
        <f>"00693511"</f>
        <v>00693511</v>
      </c>
    </row>
    <row r="14269" spans="1:2" x14ac:dyDescent="0.25">
      <c r="A14269" s="2">
        <v>14264</v>
      </c>
      <c r="B14269" s="3" t="str">
        <f>"00693525"</f>
        <v>00693525</v>
      </c>
    </row>
    <row r="14270" spans="1:2" x14ac:dyDescent="0.25">
      <c r="A14270" s="2">
        <v>14265</v>
      </c>
      <c r="B14270" s="3" t="str">
        <f>"00693599"</f>
        <v>00693599</v>
      </c>
    </row>
    <row r="14271" spans="1:2" x14ac:dyDescent="0.25">
      <c r="A14271" s="2">
        <v>14266</v>
      </c>
      <c r="B14271" s="3" t="str">
        <f>"00693602"</f>
        <v>00693602</v>
      </c>
    </row>
    <row r="14272" spans="1:2" x14ac:dyDescent="0.25">
      <c r="A14272" s="2">
        <v>14267</v>
      </c>
      <c r="B14272" s="3" t="str">
        <f>"00693606"</f>
        <v>00693606</v>
      </c>
    </row>
    <row r="14273" spans="1:2" x14ac:dyDescent="0.25">
      <c r="A14273" s="2">
        <v>14268</v>
      </c>
      <c r="B14273" s="3" t="str">
        <f>"00693620"</f>
        <v>00693620</v>
      </c>
    </row>
    <row r="14274" spans="1:2" x14ac:dyDescent="0.25">
      <c r="A14274" s="2">
        <v>14269</v>
      </c>
      <c r="B14274" s="3" t="str">
        <f>"00693670"</f>
        <v>00693670</v>
      </c>
    </row>
    <row r="14275" spans="1:2" x14ac:dyDescent="0.25">
      <c r="A14275" s="2">
        <v>14270</v>
      </c>
      <c r="B14275" s="3" t="str">
        <f>"00693700"</f>
        <v>00693700</v>
      </c>
    </row>
    <row r="14276" spans="1:2" x14ac:dyDescent="0.25">
      <c r="A14276" s="2">
        <v>14271</v>
      </c>
      <c r="B14276" s="3" t="str">
        <f>"00693707"</f>
        <v>00693707</v>
      </c>
    </row>
    <row r="14277" spans="1:2" x14ac:dyDescent="0.25">
      <c r="A14277" s="2">
        <v>14272</v>
      </c>
      <c r="B14277" s="3" t="str">
        <f>"00693754"</f>
        <v>00693754</v>
      </c>
    </row>
    <row r="14278" spans="1:2" x14ac:dyDescent="0.25">
      <c r="A14278" s="2">
        <v>14273</v>
      </c>
      <c r="B14278" s="3" t="str">
        <f>"00693769"</f>
        <v>00693769</v>
      </c>
    </row>
    <row r="14279" spans="1:2" x14ac:dyDescent="0.25">
      <c r="A14279" s="2">
        <v>14274</v>
      </c>
      <c r="B14279" s="3" t="str">
        <f>"00693789"</f>
        <v>00693789</v>
      </c>
    </row>
    <row r="14280" spans="1:2" x14ac:dyDescent="0.25">
      <c r="A14280" s="2">
        <v>14275</v>
      </c>
      <c r="B14280" s="3" t="str">
        <f>"00693834"</f>
        <v>00693834</v>
      </c>
    </row>
    <row r="14281" spans="1:2" x14ac:dyDescent="0.25">
      <c r="A14281" s="2">
        <v>14276</v>
      </c>
      <c r="B14281" s="3" t="str">
        <f>"00693844"</f>
        <v>00693844</v>
      </c>
    </row>
    <row r="14282" spans="1:2" x14ac:dyDescent="0.25">
      <c r="A14282" s="2">
        <v>14277</v>
      </c>
      <c r="B14282" s="3" t="str">
        <f>"00693855"</f>
        <v>00693855</v>
      </c>
    </row>
    <row r="14283" spans="1:2" x14ac:dyDescent="0.25">
      <c r="A14283" s="2">
        <v>14278</v>
      </c>
      <c r="B14283" s="3" t="str">
        <f>"00693861"</f>
        <v>00693861</v>
      </c>
    </row>
    <row r="14284" spans="1:2" x14ac:dyDescent="0.25">
      <c r="A14284" s="2">
        <v>14279</v>
      </c>
      <c r="B14284" s="3" t="str">
        <f>"00693911"</f>
        <v>00693911</v>
      </c>
    </row>
    <row r="14285" spans="1:2" x14ac:dyDescent="0.25">
      <c r="A14285" s="2">
        <v>14280</v>
      </c>
      <c r="B14285" s="3" t="str">
        <f>"00693916"</f>
        <v>00693916</v>
      </c>
    </row>
    <row r="14286" spans="1:2" x14ac:dyDescent="0.25">
      <c r="A14286" s="2">
        <v>14281</v>
      </c>
      <c r="B14286" s="3" t="str">
        <f>"00693970"</f>
        <v>00693970</v>
      </c>
    </row>
    <row r="14287" spans="1:2" x14ac:dyDescent="0.25">
      <c r="A14287" s="2">
        <v>14282</v>
      </c>
      <c r="B14287" s="3" t="str">
        <f>"00693985"</f>
        <v>00693985</v>
      </c>
    </row>
    <row r="14288" spans="1:2" x14ac:dyDescent="0.25">
      <c r="A14288" s="2">
        <v>14283</v>
      </c>
      <c r="B14288" s="3" t="str">
        <f>"00693998"</f>
        <v>00693998</v>
      </c>
    </row>
    <row r="14289" spans="1:2" x14ac:dyDescent="0.25">
      <c r="A14289" s="2">
        <v>14284</v>
      </c>
      <c r="B14289" s="3" t="str">
        <f>"00694021"</f>
        <v>00694021</v>
      </c>
    </row>
    <row r="14290" spans="1:2" x14ac:dyDescent="0.25">
      <c r="A14290" s="2">
        <v>14285</v>
      </c>
      <c r="B14290" s="3" t="str">
        <f>"00694047"</f>
        <v>00694047</v>
      </c>
    </row>
    <row r="14291" spans="1:2" x14ac:dyDescent="0.25">
      <c r="A14291" s="2">
        <v>14286</v>
      </c>
      <c r="B14291" s="3" t="str">
        <f>"00694121"</f>
        <v>00694121</v>
      </c>
    </row>
    <row r="14292" spans="1:2" x14ac:dyDescent="0.25">
      <c r="A14292" s="2">
        <v>14287</v>
      </c>
      <c r="B14292" s="3" t="str">
        <f>"00694228"</f>
        <v>00694228</v>
      </c>
    </row>
    <row r="14293" spans="1:2" x14ac:dyDescent="0.25">
      <c r="A14293" s="2">
        <v>14288</v>
      </c>
      <c r="B14293" s="3" t="str">
        <f>"00694312"</f>
        <v>00694312</v>
      </c>
    </row>
    <row r="14294" spans="1:2" x14ac:dyDescent="0.25">
      <c r="A14294" s="2">
        <v>14289</v>
      </c>
      <c r="B14294" s="3" t="str">
        <f>"00694324"</f>
        <v>00694324</v>
      </c>
    </row>
    <row r="14295" spans="1:2" x14ac:dyDescent="0.25">
      <c r="A14295" s="2">
        <v>14290</v>
      </c>
      <c r="B14295" s="3" t="str">
        <f>"00694455"</f>
        <v>00694455</v>
      </c>
    </row>
    <row r="14296" spans="1:2" x14ac:dyDescent="0.25">
      <c r="A14296" s="2">
        <v>14291</v>
      </c>
      <c r="B14296" s="3" t="str">
        <f>"00694461"</f>
        <v>00694461</v>
      </c>
    </row>
    <row r="14297" spans="1:2" x14ac:dyDescent="0.25">
      <c r="A14297" s="2">
        <v>14292</v>
      </c>
      <c r="B14297" s="3" t="str">
        <f>"00694464"</f>
        <v>00694464</v>
      </c>
    </row>
    <row r="14298" spans="1:2" x14ac:dyDescent="0.25">
      <c r="A14298" s="2">
        <v>14293</v>
      </c>
      <c r="B14298" s="3" t="str">
        <f>"00694465"</f>
        <v>00694465</v>
      </c>
    </row>
    <row r="14299" spans="1:2" x14ac:dyDescent="0.25">
      <c r="A14299" s="2">
        <v>14294</v>
      </c>
      <c r="B14299" s="3" t="str">
        <f>"00694474"</f>
        <v>00694474</v>
      </c>
    </row>
    <row r="14300" spans="1:2" x14ac:dyDescent="0.25">
      <c r="A14300" s="2">
        <v>14295</v>
      </c>
      <c r="B14300" s="3" t="str">
        <f>"00694544"</f>
        <v>00694544</v>
      </c>
    </row>
    <row r="14301" spans="1:2" x14ac:dyDescent="0.25">
      <c r="A14301" s="2">
        <v>14296</v>
      </c>
      <c r="B14301" s="3" t="str">
        <f>"00694553"</f>
        <v>00694553</v>
      </c>
    </row>
    <row r="14302" spans="1:2" x14ac:dyDescent="0.25">
      <c r="A14302" s="2">
        <v>14297</v>
      </c>
      <c r="B14302" s="3" t="str">
        <f>"00694679"</f>
        <v>00694679</v>
      </c>
    </row>
    <row r="14303" spans="1:2" x14ac:dyDescent="0.25">
      <c r="A14303" s="2">
        <v>14298</v>
      </c>
      <c r="B14303" s="3" t="str">
        <f>"00694689"</f>
        <v>00694689</v>
      </c>
    </row>
    <row r="14304" spans="1:2" x14ac:dyDescent="0.25">
      <c r="A14304" s="2">
        <v>14299</v>
      </c>
      <c r="B14304" s="3" t="str">
        <f>"00694719"</f>
        <v>00694719</v>
      </c>
    </row>
    <row r="14305" spans="1:2" x14ac:dyDescent="0.25">
      <c r="A14305" s="2">
        <v>14300</v>
      </c>
      <c r="B14305" s="3" t="str">
        <f>"00694746"</f>
        <v>00694746</v>
      </c>
    </row>
    <row r="14306" spans="1:2" x14ac:dyDescent="0.25">
      <c r="A14306" s="2">
        <v>14301</v>
      </c>
      <c r="B14306" s="3" t="str">
        <f>"00694783"</f>
        <v>00694783</v>
      </c>
    </row>
    <row r="14307" spans="1:2" x14ac:dyDescent="0.25">
      <c r="A14307" s="2">
        <v>14302</v>
      </c>
      <c r="B14307" s="3" t="str">
        <f>"00694830"</f>
        <v>00694830</v>
      </c>
    </row>
    <row r="14308" spans="1:2" x14ac:dyDescent="0.25">
      <c r="A14308" s="2">
        <v>14303</v>
      </c>
      <c r="B14308" s="3" t="str">
        <f>"00694971"</f>
        <v>00694971</v>
      </c>
    </row>
    <row r="14309" spans="1:2" x14ac:dyDescent="0.25">
      <c r="A14309" s="2">
        <v>14304</v>
      </c>
      <c r="B14309" s="3" t="str">
        <f>"00695137"</f>
        <v>00695137</v>
      </c>
    </row>
    <row r="14310" spans="1:2" x14ac:dyDescent="0.25">
      <c r="A14310" s="2">
        <v>14305</v>
      </c>
      <c r="B14310" s="3" t="str">
        <f>"00695379"</f>
        <v>00695379</v>
      </c>
    </row>
    <row r="14311" spans="1:2" x14ac:dyDescent="0.25">
      <c r="A14311" s="2">
        <v>14306</v>
      </c>
      <c r="B14311" s="3" t="str">
        <f>"00695463"</f>
        <v>00695463</v>
      </c>
    </row>
    <row r="14312" spans="1:2" x14ac:dyDescent="0.25">
      <c r="A14312" s="2">
        <v>14307</v>
      </c>
      <c r="B14312" s="3" t="str">
        <f>"00695475"</f>
        <v>00695475</v>
      </c>
    </row>
    <row r="14313" spans="1:2" x14ac:dyDescent="0.25">
      <c r="A14313" s="2">
        <v>14308</v>
      </c>
      <c r="B14313" s="3" t="str">
        <f>"00696047"</f>
        <v>00696047</v>
      </c>
    </row>
    <row r="14314" spans="1:2" x14ac:dyDescent="0.25">
      <c r="A14314" s="2">
        <v>14309</v>
      </c>
      <c r="B14314" s="3" t="str">
        <f>"00696106"</f>
        <v>00696106</v>
      </c>
    </row>
    <row r="14315" spans="1:2" x14ac:dyDescent="0.25">
      <c r="A14315" s="2">
        <v>14310</v>
      </c>
      <c r="B14315" s="3" t="str">
        <f>"00696243"</f>
        <v>00696243</v>
      </c>
    </row>
    <row r="14316" spans="1:2" x14ac:dyDescent="0.25">
      <c r="A14316" s="2">
        <v>14311</v>
      </c>
      <c r="B14316" s="3" t="str">
        <f>"00696306"</f>
        <v>00696306</v>
      </c>
    </row>
    <row r="14317" spans="1:2" x14ac:dyDescent="0.25">
      <c r="A14317" s="2">
        <v>14312</v>
      </c>
      <c r="B14317" s="3" t="str">
        <f>"00696335"</f>
        <v>00696335</v>
      </c>
    </row>
    <row r="14318" spans="1:2" x14ac:dyDescent="0.25">
      <c r="A14318" s="2">
        <v>14313</v>
      </c>
      <c r="B14318" s="3" t="str">
        <f>"00696344"</f>
        <v>00696344</v>
      </c>
    </row>
    <row r="14319" spans="1:2" x14ac:dyDescent="0.25">
      <c r="A14319" s="2">
        <v>14314</v>
      </c>
      <c r="B14319" s="3" t="str">
        <f>"00696352"</f>
        <v>00696352</v>
      </c>
    </row>
    <row r="14320" spans="1:2" x14ac:dyDescent="0.25">
      <c r="A14320" s="2">
        <v>14315</v>
      </c>
      <c r="B14320" s="3" t="str">
        <f>"00696359"</f>
        <v>00696359</v>
      </c>
    </row>
    <row r="14321" spans="1:2" x14ac:dyDescent="0.25">
      <c r="A14321" s="2">
        <v>14316</v>
      </c>
      <c r="B14321" s="3" t="str">
        <f>"00696395"</f>
        <v>00696395</v>
      </c>
    </row>
    <row r="14322" spans="1:2" x14ac:dyDescent="0.25">
      <c r="A14322" s="2">
        <v>14317</v>
      </c>
      <c r="B14322" s="3" t="str">
        <f>"00696441"</f>
        <v>00696441</v>
      </c>
    </row>
    <row r="14323" spans="1:2" x14ac:dyDescent="0.25">
      <c r="A14323" s="2">
        <v>14318</v>
      </c>
      <c r="B14323" s="3" t="str">
        <f>"00696449"</f>
        <v>00696449</v>
      </c>
    </row>
    <row r="14324" spans="1:2" x14ac:dyDescent="0.25">
      <c r="A14324" s="2">
        <v>14319</v>
      </c>
      <c r="B14324" s="3" t="str">
        <f>"00696520"</f>
        <v>00696520</v>
      </c>
    </row>
    <row r="14325" spans="1:2" x14ac:dyDescent="0.25">
      <c r="A14325" s="2">
        <v>14320</v>
      </c>
      <c r="B14325" s="3" t="str">
        <f>"00696561"</f>
        <v>00696561</v>
      </c>
    </row>
    <row r="14326" spans="1:2" x14ac:dyDescent="0.25">
      <c r="A14326" s="2">
        <v>14321</v>
      </c>
      <c r="B14326" s="3" t="str">
        <f>"00696563"</f>
        <v>00696563</v>
      </c>
    </row>
    <row r="14327" spans="1:2" x14ac:dyDescent="0.25">
      <c r="A14327" s="2">
        <v>14322</v>
      </c>
      <c r="B14327" s="3" t="str">
        <f>"00696758"</f>
        <v>00696758</v>
      </c>
    </row>
    <row r="14328" spans="1:2" x14ac:dyDescent="0.25">
      <c r="A14328" s="2">
        <v>14323</v>
      </c>
      <c r="B14328" s="3" t="str">
        <f>"00696805"</f>
        <v>00696805</v>
      </c>
    </row>
    <row r="14329" spans="1:2" x14ac:dyDescent="0.25">
      <c r="A14329" s="2">
        <v>14324</v>
      </c>
      <c r="B14329" s="3" t="str">
        <f>"00696821"</f>
        <v>00696821</v>
      </c>
    </row>
    <row r="14330" spans="1:2" x14ac:dyDescent="0.25">
      <c r="A14330" s="2">
        <v>14325</v>
      </c>
      <c r="B14330" s="3" t="str">
        <f>"00696826"</f>
        <v>00696826</v>
      </c>
    </row>
    <row r="14331" spans="1:2" x14ac:dyDescent="0.25">
      <c r="A14331" s="2">
        <v>14326</v>
      </c>
      <c r="B14331" s="3" t="str">
        <f>"00696876"</f>
        <v>00696876</v>
      </c>
    </row>
    <row r="14332" spans="1:2" x14ac:dyDescent="0.25">
      <c r="A14332" s="2">
        <v>14327</v>
      </c>
      <c r="B14332" s="3" t="str">
        <f>"00696903"</f>
        <v>00696903</v>
      </c>
    </row>
    <row r="14333" spans="1:2" x14ac:dyDescent="0.25">
      <c r="A14333" s="2">
        <v>14328</v>
      </c>
      <c r="B14333" s="3" t="str">
        <f>"00696960"</f>
        <v>00696960</v>
      </c>
    </row>
    <row r="14334" spans="1:2" x14ac:dyDescent="0.25">
      <c r="A14334" s="2">
        <v>14329</v>
      </c>
      <c r="B14334" s="3" t="str">
        <f>"00697038"</f>
        <v>00697038</v>
      </c>
    </row>
    <row r="14335" spans="1:2" x14ac:dyDescent="0.25">
      <c r="A14335" s="2">
        <v>14330</v>
      </c>
      <c r="B14335" s="3" t="str">
        <f>"00697102"</f>
        <v>00697102</v>
      </c>
    </row>
    <row r="14336" spans="1:2" x14ac:dyDescent="0.25">
      <c r="A14336" s="2">
        <v>14331</v>
      </c>
      <c r="B14336" s="3" t="str">
        <f>"00697106"</f>
        <v>00697106</v>
      </c>
    </row>
    <row r="14337" spans="1:2" x14ac:dyDescent="0.25">
      <c r="A14337" s="2">
        <v>14332</v>
      </c>
      <c r="B14337" s="3" t="str">
        <f>"00697183"</f>
        <v>00697183</v>
      </c>
    </row>
    <row r="14338" spans="1:2" x14ac:dyDescent="0.25">
      <c r="A14338" s="2">
        <v>14333</v>
      </c>
      <c r="B14338" s="3" t="str">
        <f>"00697212"</f>
        <v>00697212</v>
      </c>
    </row>
    <row r="14339" spans="1:2" x14ac:dyDescent="0.25">
      <c r="A14339" s="2">
        <v>14334</v>
      </c>
      <c r="B14339" s="3" t="str">
        <f>"00697216"</f>
        <v>00697216</v>
      </c>
    </row>
    <row r="14340" spans="1:2" x14ac:dyDescent="0.25">
      <c r="A14340" s="2">
        <v>14335</v>
      </c>
      <c r="B14340" s="3" t="str">
        <f>"00697238"</f>
        <v>00697238</v>
      </c>
    </row>
    <row r="14341" spans="1:2" x14ac:dyDescent="0.25">
      <c r="A14341" s="2">
        <v>14336</v>
      </c>
      <c r="B14341" s="3" t="str">
        <f>"00697291"</f>
        <v>00697291</v>
      </c>
    </row>
    <row r="14342" spans="1:2" x14ac:dyDescent="0.25">
      <c r="A14342" s="2">
        <v>14337</v>
      </c>
      <c r="B14342" s="3" t="str">
        <f>"00697393"</f>
        <v>00697393</v>
      </c>
    </row>
    <row r="14343" spans="1:2" x14ac:dyDescent="0.25">
      <c r="A14343" s="2">
        <v>14338</v>
      </c>
      <c r="B14343" s="3" t="str">
        <f>"00697404"</f>
        <v>00697404</v>
      </c>
    </row>
    <row r="14344" spans="1:2" x14ac:dyDescent="0.25">
      <c r="A14344" s="2">
        <v>14339</v>
      </c>
      <c r="B14344" s="3" t="str">
        <f>"00697456"</f>
        <v>00697456</v>
      </c>
    </row>
    <row r="14345" spans="1:2" x14ac:dyDescent="0.25">
      <c r="A14345" s="2">
        <v>14340</v>
      </c>
      <c r="B14345" s="3" t="str">
        <f>"00697495"</f>
        <v>00697495</v>
      </c>
    </row>
    <row r="14346" spans="1:2" x14ac:dyDescent="0.25">
      <c r="A14346" s="2">
        <v>14341</v>
      </c>
      <c r="B14346" s="3" t="str">
        <f>"00697599"</f>
        <v>00697599</v>
      </c>
    </row>
    <row r="14347" spans="1:2" x14ac:dyDescent="0.25">
      <c r="A14347" s="2">
        <v>14342</v>
      </c>
      <c r="B14347" s="3" t="str">
        <f>"00697612"</f>
        <v>00697612</v>
      </c>
    </row>
    <row r="14348" spans="1:2" x14ac:dyDescent="0.25">
      <c r="A14348" s="2">
        <v>14343</v>
      </c>
      <c r="B14348" s="3" t="str">
        <f>"00697613"</f>
        <v>00697613</v>
      </c>
    </row>
    <row r="14349" spans="1:2" x14ac:dyDescent="0.25">
      <c r="A14349" s="2">
        <v>14344</v>
      </c>
      <c r="B14349" s="3" t="str">
        <f>"00697706"</f>
        <v>00697706</v>
      </c>
    </row>
    <row r="14350" spans="1:2" x14ac:dyDescent="0.25">
      <c r="A14350" s="2">
        <v>14345</v>
      </c>
      <c r="B14350" s="3" t="str">
        <f>"00697729"</f>
        <v>00697729</v>
      </c>
    </row>
    <row r="14351" spans="1:2" x14ac:dyDescent="0.25">
      <c r="A14351" s="2">
        <v>14346</v>
      </c>
      <c r="B14351" s="3" t="str">
        <f>"00697746"</f>
        <v>00697746</v>
      </c>
    </row>
    <row r="14352" spans="1:2" x14ac:dyDescent="0.25">
      <c r="A14352" s="2">
        <v>14347</v>
      </c>
      <c r="B14352" s="3" t="str">
        <f>"00697804"</f>
        <v>00697804</v>
      </c>
    </row>
    <row r="14353" spans="1:2" x14ac:dyDescent="0.25">
      <c r="A14353" s="2">
        <v>14348</v>
      </c>
      <c r="B14353" s="3" t="str">
        <f>"00697818"</f>
        <v>00697818</v>
      </c>
    </row>
    <row r="14354" spans="1:2" x14ac:dyDescent="0.25">
      <c r="A14354" s="2">
        <v>14349</v>
      </c>
      <c r="B14354" s="3" t="str">
        <f>"00697851"</f>
        <v>00697851</v>
      </c>
    </row>
    <row r="14355" spans="1:2" x14ac:dyDescent="0.25">
      <c r="A14355" s="2">
        <v>14350</v>
      </c>
      <c r="B14355" s="3" t="str">
        <f>"00697926"</f>
        <v>00697926</v>
      </c>
    </row>
    <row r="14356" spans="1:2" x14ac:dyDescent="0.25">
      <c r="A14356" s="2">
        <v>14351</v>
      </c>
      <c r="B14356" s="3" t="str">
        <f>"00697990"</f>
        <v>00697990</v>
      </c>
    </row>
    <row r="14357" spans="1:2" x14ac:dyDescent="0.25">
      <c r="A14357" s="2">
        <v>14352</v>
      </c>
      <c r="B14357" s="3" t="str">
        <f>"00698144"</f>
        <v>00698144</v>
      </c>
    </row>
    <row r="14358" spans="1:2" x14ac:dyDescent="0.25">
      <c r="A14358" s="2">
        <v>14353</v>
      </c>
      <c r="B14358" s="3" t="str">
        <f>"00698176"</f>
        <v>00698176</v>
      </c>
    </row>
    <row r="14359" spans="1:2" x14ac:dyDescent="0.25">
      <c r="A14359" s="2">
        <v>14354</v>
      </c>
      <c r="B14359" s="3" t="str">
        <f>"00698241"</f>
        <v>00698241</v>
      </c>
    </row>
    <row r="14360" spans="1:2" x14ac:dyDescent="0.25">
      <c r="A14360" s="2">
        <v>14355</v>
      </c>
      <c r="B14360" s="3" t="str">
        <f>"00698272"</f>
        <v>00698272</v>
      </c>
    </row>
    <row r="14361" spans="1:2" x14ac:dyDescent="0.25">
      <c r="A14361" s="2">
        <v>14356</v>
      </c>
      <c r="B14361" s="3" t="str">
        <f>"00698305"</f>
        <v>00698305</v>
      </c>
    </row>
    <row r="14362" spans="1:2" x14ac:dyDescent="0.25">
      <c r="A14362" s="2">
        <v>14357</v>
      </c>
      <c r="B14362" s="3" t="str">
        <f>"00698319"</f>
        <v>00698319</v>
      </c>
    </row>
    <row r="14363" spans="1:2" x14ac:dyDescent="0.25">
      <c r="A14363" s="2">
        <v>14358</v>
      </c>
      <c r="B14363" s="3" t="str">
        <f>"00698362"</f>
        <v>00698362</v>
      </c>
    </row>
    <row r="14364" spans="1:2" x14ac:dyDescent="0.25">
      <c r="A14364" s="2">
        <v>14359</v>
      </c>
      <c r="B14364" s="3" t="str">
        <f>"00698652"</f>
        <v>00698652</v>
      </c>
    </row>
    <row r="14365" spans="1:2" x14ac:dyDescent="0.25">
      <c r="A14365" s="2">
        <v>14360</v>
      </c>
      <c r="B14365" s="3" t="str">
        <f>"00698654"</f>
        <v>00698654</v>
      </c>
    </row>
    <row r="14366" spans="1:2" x14ac:dyDescent="0.25">
      <c r="A14366" s="2">
        <v>14361</v>
      </c>
      <c r="B14366" s="3" t="str">
        <f>"00698696"</f>
        <v>00698696</v>
      </c>
    </row>
    <row r="14367" spans="1:2" x14ac:dyDescent="0.25">
      <c r="A14367" s="2">
        <v>14362</v>
      </c>
      <c r="B14367" s="3" t="str">
        <f>"00698705"</f>
        <v>00698705</v>
      </c>
    </row>
    <row r="14368" spans="1:2" x14ac:dyDescent="0.25">
      <c r="A14368" s="2">
        <v>14363</v>
      </c>
      <c r="B14368" s="3" t="str">
        <f>"00698778"</f>
        <v>00698778</v>
      </c>
    </row>
    <row r="14369" spans="1:2" x14ac:dyDescent="0.25">
      <c r="A14369" s="2">
        <v>14364</v>
      </c>
      <c r="B14369" s="3" t="str">
        <f>"00698786"</f>
        <v>00698786</v>
      </c>
    </row>
    <row r="14370" spans="1:2" x14ac:dyDescent="0.25">
      <c r="A14370" s="2">
        <v>14365</v>
      </c>
      <c r="B14370" s="3" t="str">
        <f>"00698819"</f>
        <v>00698819</v>
      </c>
    </row>
    <row r="14371" spans="1:2" x14ac:dyDescent="0.25">
      <c r="A14371" s="2">
        <v>14366</v>
      </c>
      <c r="B14371" s="3" t="str">
        <f>"00698954"</f>
        <v>00698954</v>
      </c>
    </row>
    <row r="14372" spans="1:2" x14ac:dyDescent="0.25">
      <c r="A14372" s="2">
        <v>14367</v>
      </c>
      <c r="B14372" s="3" t="str">
        <f>"00698956"</f>
        <v>00698956</v>
      </c>
    </row>
    <row r="14373" spans="1:2" x14ac:dyDescent="0.25">
      <c r="A14373" s="2">
        <v>14368</v>
      </c>
      <c r="B14373" s="3" t="str">
        <f>"00698960"</f>
        <v>00698960</v>
      </c>
    </row>
    <row r="14374" spans="1:2" x14ac:dyDescent="0.25">
      <c r="A14374" s="2">
        <v>14369</v>
      </c>
      <c r="B14374" s="3" t="str">
        <f>"00698994"</f>
        <v>00698994</v>
      </c>
    </row>
    <row r="14375" spans="1:2" x14ac:dyDescent="0.25">
      <c r="A14375" s="2">
        <v>14370</v>
      </c>
      <c r="B14375" s="3" t="str">
        <f>"00699004"</f>
        <v>00699004</v>
      </c>
    </row>
    <row r="14376" spans="1:2" x14ac:dyDescent="0.25">
      <c r="A14376" s="2">
        <v>14371</v>
      </c>
      <c r="B14376" s="3" t="str">
        <f>"00699007"</f>
        <v>00699007</v>
      </c>
    </row>
    <row r="14377" spans="1:2" x14ac:dyDescent="0.25">
      <c r="A14377" s="2">
        <v>14372</v>
      </c>
      <c r="B14377" s="3" t="str">
        <f>"00699024"</f>
        <v>00699024</v>
      </c>
    </row>
    <row r="14378" spans="1:2" x14ac:dyDescent="0.25">
      <c r="A14378" s="2">
        <v>14373</v>
      </c>
      <c r="B14378" s="3" t="str">
        <f>"00699063"</f>
        <v>00699063</v>
      </c>
    </row>
    <row r="14379" spans="1:2" x14ac:dyDescent="0.25">
      <c r="A14379" s="2">
        <v>14374</v>
      </c>
      <c r="B14379" s="3" t="str">
        <f>"00699136"</f>
        <v>00699136</v>
      </c>
    </row>
    <row r="14380" spans="1:2" x14ac:dyDescent="0.25">
      <c r="A14380" s="2">
        <v>14375</v>
      </c>
      <c r="B14380" s="3" t="str">
        <f>"00699163"</f>
        <v>00699163</v>
      </c>
    </row>
    <row r="14381" spans="1:2" x14ac:dyDescent="0.25">
      <c r="A14381" s="2">
        <v>14376</v>
      </c>
      <c r="B14381" s="3" t="str">
        <f>"00699179"</f>
        <v>00699179</v>
      </c>
    </row>
    <row r="14382" spans="1:2" x14ac:dyDescent="0.25">
      <c r="A14382" s="2">
        <v>14377</v>
      </c>
      <c r="B14382" s="3" t="str">
        <f>"00699292"</f>
        <v>00699292</v>
      </c>
    </row>
    <row r="14383" spans="1:2" x14ac:dyDescent="0.25">
      <c r="A14383" s="2">
        <v>14378</v>
      </c>
      <c r="B14383" s="3" t="str">
        <f>"00699319"</f>
        <v>00699319</v>
      </c>
    </row>
    <row r="14384" spans="1:2" x14ac:dyDescent="0.25">
      <c r="A14384" s="2">
        <v>14379</v>
      </c>
      <c r="B14384" s="3" t="str">
        <f>"00699329"</f>
        <v>00699329</v>
      </c>
    </row>
    <row r="14385" spans="1:2" x14ac:dyDescent="0.25">
      <c r="A14385" s="2">
        <v>14380</v>
      </c>
      <c r="B14385" s="3" t="str">
        <f>"00699334"</f>
        <v>00699334</v>
      </c>
    </row>
    <row r="14386" spans="1:2" x14ac:dyDescent="0.25">
      <c r="A14386" s="2">
        <v>14381</v>
      </c>
      <c r="B14386" s="3" t="str">
        <f>"00699368"</f>
        <v>00699368</v>
      </c>
    </row>
    <row r="14387" spans="1:2" x14ac:dyDescent="0.25">
      <c r="A14387" s="2">
        <v>14382</v>
      </c>
      <c r="B14387" s="3" t="str">
        <f>"00699370"</f>
        <v>00699370</v>
      </c>
    </row>
    <row r="14388" spans="1:2" x14ac:dyDescent="0.25">
      <c r="A14388" s="2">
        <v>14383</v>
      </c>
      <c r="B14388" s="3" t="str">
        <f>"00699489"</f>
        <v>00699489</v>
      </c>
    </row>
    <row r="14389" spans="1:2" x14ac:dyDescent="0.25">
      <c r="A14389" s="2">
        <v>14384</v>
      </c>
      <c r="B14389" s="3" t="str">
        <f>"00699627"</f>
        <v>00699627</v>
      </c>
    </row>
    <row r="14390" spans="1:2" x14ac:dyDescent="0.25">
      <c r="A14390" s="2">
        <v>14385</v>
      </c>
      <c r="B14390" s="3" t="str">
        <f>"00699655"</f>
        <v>00699655</v>
      </c>
    </row>
    <row r="14391" spans="1:2" x14ac:dyDescent="0.25">
      <c r="A14391" s="2">
        <v>14386</v>
      </c>
      <c r="B14391" s="3" t="str">
        <f>"00699741"</f>
        <v>00699741</v>
      </c>
    </row>
    <row r="14392" spans="1:2" x14ac:dyDescent="0.25">
      <c r="A14392" s="2">
        <v>14387</v>
      </c>
      <c r="B14392" s="3" t="str">
        <f>"00699749"</f>
        <v>00699749</v>
      </c>
    </row>
    <row r="14393" spans="1:2" x14ac:dyDescent="0.25">
      <c r="A14393" s="2">
        <v>14388</v>
      </c>
      <c r="B14393" s="3" t="str">
        <f>"00699766"</f>
        <v>00699766</v>
      </c>
    </row>
    <row r="14394" spans="1:2" x14ac:dyDescent="0.25">
      <c r="A14394" s="2">
        <v>14389</v>
      </c>
      <c r="B14394" s="3" t="str">
        <f>"00699790"</f>
        <v>00699790</v>
      </c>
    </row>
    <row r="14395" spans="1:2" x14ac:dyDescent="0.25">
      <c r="A14395" s="2">
        <v>14390</v>
      </c>
      <c r="B14395" s="3" t="str">
        <f>"00699804"</f>
        <v>00699804</v>
      </c>
    </row>
    <row r="14396" spans="1:2" x14ac:dyDescent="0.25">
      <c r="A14396" s="2">
        <v>14391</v>
      </c>
      <c r="B14396" s="3" t="str">
        <f>"00699910"</f>
        <v>00699910</v>
      </c>
    </row>
    <row r="14397" spans="1:2" x14ac:dyDescent="0.25">
      <c r="A14397" s="2">
        <v>14392</v>
      </c>
      <c r="B14397" s="3" t="str">
        <f>"00699919"</f>
        <v>00699919</v>
      </c>
    </row>
    <row r="14398" spans="1:2" x14ac:dyDescent="0.25">
      <c r="A14398" s="2">
        <v>14393</v>
      </c>
      <c r="B14398" s="3" t="str">
        <f>"00700004"</f>
        <v>00700004</v>
      </c>
    </row>
    <row r="14399" spans="1:2" x14ac:dyDescent="0.25">
      <c r="A14399" s="2">
        <v>14394</v>
      </c>
      <c r="B14399" s="3" t="str">
        <f>"00700072"</f>
        <v>00700072</v>
      </c>
    </row>
    <row r="14400" spans="1:2" x14ac:dyDescent="0.25">
      <c r="A14400" s="2">
        <v>14395</v>
      </c>
      <c r="B14400" s="3" t="str">
        <f>"00700110"</f>
        <v>00700110</v>
      </c>
    </row>
    <row r="14401" spans="1:2" x14ac:dyDescent="0.25">
      <c r="A14401" s="2">
        <v>14396</v>
      </c>
      <c r="B14401" s="3" t="str">
        <f>"00700315"</f>
        <v>00700315</v>
      </c>
    </row>
    <row r="14402" spans="1:2" x14ac:dyDescent="0.25">
      <c r="A14402" s="2">
        <v>14397</v>
      </c>
      <c r="B14402" s="3" t="str">
        <f>"00700393"</f>
        <v>00700393</v>
      </c>
    </row>
    <row r="14403" spans="1:2" x14ac:dyDescent="0.25">
      <c r="A14403" s="2">
        <v>14398</v>
      </c>
      <c r="B14403" s="3" t="str">
        <f>"00700432"</f>
        <v>00700432</v>
      </c>
    </row>
    <row r="14404" spans="1:2" x14ac:dyDescent="0.25">
      <c r="A14404" s="2">
        <v>14399</v>
      </c>
      <c r="B14404" s="3" t="str">
        <f>"00700434"</f>
        <v>00700434</v>
      </c>
    </row>
    <row r="14405" spans="1:2" x14ac:dyDescent="0.25">
      <c r="A14405" s="2">
        <v>14400</v>
      </c>
      <c r="B14405" s="3" t="str">
        <f>"00700521"</f>
        <v>00700521</v>
      </c>
    </row>
    <row r="14406" spans="1:2" x14ac:dyDescent="0.25">
      <c r="A14406" s="2">
        <v>14401</v>
      </c>
      <c r="B14406" s="3" t="str">
        <f>"00700547"</f>
        <v>00700547</v>
      </c>
    </row>
    <row r="14407" spans="1:2" x14ac:dyDescent="0.25">
      <c r="A14407" s="2">
        <v>14402</v>
      </c>
      <c r="B14407" s="3" t="str">
        <f>"00700604"</f>
        <v>00700604</v>
      </c>
    </row>
    <row r="14408" spans="1:2" x14ac:dyDescent="0.25">
      <c r="A14408" s="2">
        <v>14403</v>
      </c>
      <c r="B14408" s="3" t="str">
        <f>"00700803"</f>
        <v>00700803</v>
      </c>
    </row>
    <row r="14409" spans="1:2" x14ac:dyDescent="0.25">
      <c r="A14409" s="2">
        <v>14404</v>
      </c>
      <c r="B14409" s="3" t="str">
        <f>"00700808"</f>
        <v>00700808</v>
      </c>
    </row>
    <row r="14410" spans="1:2" x14ac:dyDescent="0.25">
      <c r="A14410" s="2">
        <v>14405</v>
      </c>
      <c r="B14410" s="3" t="str">
        <f>"00700811"</f>
        <v>00700811</v>
      </c>
    </row>
    <row r="14411" spans="1:2" x14ac:dyDescent="0.25">
      <c r="A14411" s="2">
        <v>14406</v>
      </c>
      <c r="B14411" s="3" t="str">
        <f>"00700829"</f>
        <v>00700829</v>
      </c>
    </row>
    <row r="14412" spans="1:2" x14ac:dyDescent="0.25">
      <c r="A14412" s="2">
        <v>14407</v>
      </c>
      <c r="B14412" s="3" t="str">
        <f>"00700869"</f>
        <v>00700869</v>
      </c>
    </row>
    <row r="14413" spans="1:2" x14ac:dyDescent="0.25">
      <c r="A14413" s="2">
        <v>14408</v>
      </c>
      <c r="B14413" s="3" t="str">
        <f>"00700889"</f>
        <v>00700889</v>
      </c>
    </row>
    <row r="14414" spans="1:2" x14ac:dyDescent="0.25">
      <c r="A14414" s="2">
        <v>14409</v>
      </c>
      <c r="B14414" s="3" t="str">
        <f>"00700975"</f>
        <v>00700975</v>
      </c>
    </row>
    <row r="14415" spans="1:2" x14ac:dyDescent="0.25">
      <c r="A14415" s="2">
        <v>14410</v>
      </c>
      <c r="B14415" s="3" t="str">
        <f>"00700981"</f>
        <v>00700981</v>
      </c>
    </row>
    <row r="14416" spans="1:2" x14ac:dyDescent="0.25">
      <c r="A14416" s="2">
        <v>14411</v>
      </c>
      <c r="B14416" s="3" t="str">
        <f>"00700983"</f>
        <v>00700983</v>
      </c>
    </row>
    <row r="14417" spans="1:2" x14ac:dyDescent="0.25">
      <c r="A14417" s="2">
        <v>14412</v>
      </c>
      <c r="B14417" s="3" t="str">
        <f>"00701020"</f>
        <v>00701020</v>
      </c>
    </row>
    <row r="14418" spans="1:2" x14ac:dyDescent="0.25">
      <c r="A14418" s="2">
        <v>14413</v>
      </c>
      <c r="B14418" s="3" t="str">
        <f>"00701130"</f>
        <v>00701130</v>
      </c>
    </row>
    <row r="14419" spans="1:2" x14ac:dyDescent="0.25">
      <c r="A14419" s="2">
        <v>14414</v>
      </c>
      <c r="B14419" s="3" t="str">
        <f>"00701195"</f>
        <v>00701195</v>
      </c>
    </row>
    <row r="14420" spans="1:2" x14ac:dyDescent="0.25">
      <c r="A14420" s="2">
        <v>14415</v>
      </c>
      <c r="B14420" s="3" t="str">
        <f>"00701340"</f>
        <v>00701340</v>
      </c>
    </row>
    <row r="14421" spans="1:2" x14ac:dyDescent="0.25">
      <c r="A14421" s="2">
        <v>14416</v>
      </c>
      <c r="B14421" s="3" t="str">
        <f>"00701346"</f>
        <v>00701346</v>
      </c>
    </row>
    <row r="14422" spans="1:2" x14ac:dyDescent="0.25">
      <c r="A14422" s="2">
        <v>14417</v>
      </c>
      <c r="B14422" s="3" t="str">
        <f>"00701436"</f>
        <v>00701436</v>
      </c>
    </row>
    <row r="14423" spans="1:2" x14ac:dyDescent="0.25">
      <c r="A14423" s="2">
        <v>14418</v>
      </c>
      <c r="B14423" s="3" t="str">
        <f>"00701437"</f>
        <v>00701437</v>
      </c>
    </row>
    <row r="14424" spans="1:2" x14ac:dyDescent="0.25">
      <c r="A14424" s="2">
        <v>14419</v>
      </c>
      <c r="B14424" s="3" t="str">
        <f>"00701439"</f>
        <v>00701439</v>
      </c>
    </row>
    <row r="14425" spans="1:2" x14ac:dyDescent="0.25">
      <c r="A14425" s="2">
        <v>14420</v>
      </c>
      <c r="B14425" s="3" t="str">
        <f>"00701440"</f>
        <v>00701440</v>
      </c>
    </row>
    <row r="14426" spans="1:2" x14ac:dyDescent="0.25">
      <c r="A14426" s="2">
        <v>14421</v>
      </c>
      <c r="B14426" s="3" t="str">
        <f>"00701498"</f>
        <v>00701498</v>
      </c>
    </row>
    <row r="14427" spans="1:2" x14ac:dyDescent="0.25">
      <c r="A14427" s="2">
        <v>14422</v>
      </c>
      <c r="B14427" s="3" t="str">
        <f>"00701532"</f>
        <v>00701532</v>
      </c>
    </row>
    <row r="14428" spans="1:2" x14ac:dyDescent="0.25">
      <c r="A14428" s="2">
        <v>14423</v>
      </c>
      <c r="B14428" s="3" t="str">
        <f>"00701533"</f>
        <v>00701533</v>
      </c>
    </row>
    <row r="14429" spans="1:2" x14ac:dyDescent="0.25">
      <c r="A14429" s="2">
        <v>14424</v>
      </c>
      <c r="B14429" s="3" t="str">
        <f>"00701587"</f>
        <v>00701587</v>
      </c>
    </row>
    <row r="14430" spans="1:2" x14ac:dyDescent="0.25">
      <c r="A14430" s="2">
        <v>14425</v>
      </c>
      <c r="B14430" s="3" t="str">
        <f>"00701609"</f>
        <v>00701609</v>
      </c>
    </row>
    <row r="14431" spans="1:2" x14ac:dyDescent="0.25">
      <c r="A14431" s="2">
        <v>14426</v>
      </c>
      <c r="B14431" s="3" t="str">
        <f>"00701612"</f>
        <v>00701612</v>
      </c>
    </row>
    <row r="14432" spans="1:2" x14ac:dyDescent="0.25">
      <c r="A14432" s="2">
        <v>14427</v>
      </c>
      <c r="B14432" s="3" t="str">
        <f>"00701636"</f>
        <v>00701636</v>
      </c>
    </row>
    <row r="14433" spans="1:2" x14ac:dyDescent="0.25">
      <c r="A14433" s="2">
        <v>14428</v>
      </c>
      <c r="B14433" s="3" t="str">
        <f>"00701690"</f>
        <v>00701690</v>
      </c>
    </row>
    <row r="14434" spans="1:2" x14ac:dyDescent="0.25">
      <c r="A14434" s="2">
        <v>14429</v>
      </c>
      <c r="B14434" s="3" t="str">
        <f>"00701700"</f>
        <v>00701700</v>
      </c>
    </row>
    <row r="14435" spans="1:2" x14ac:dyDescent="0.25">
      <c r="A14435" s="2">
        <v>14430</v>
      </c>
      <c r="B14435" s="3" t="str">
        <f>"00701728"</f>
        <v>00701728</v>
      </c>
    </row>
    <row r="14436" spans="1:2" x14ac:dyDescent="0.25">
      <c r="A14436" s="2">
        <v>14431</v>
      </c>
      <c r="B14436" s="3" t="str">
        <f>"00701744"</f>
        <v>00701744</v>
      </c>
    </row>
    <row r="14437" spans="1:2" x14ac:dyDescent="0.25">
      <c r="A14437" s="2">
        <v>14432</v>
      </c>
      <c r="B14437" s="3" t="str">
        <f>"00701759"</f>
        <v>00701759</v>
      </c>
    </row>
    <row r="14438" spans="1:2" x14ac:dyDescent="0.25">
      <c r="A14438" s="2">
        <v>14433</v>
      </c>
      <c r="B14438" s="3" t="str">
        <f>"00701760"</f>
        <v>00701760</v>
      </c>
    </row>
    <row r="14439" spans="1:2" x14ac:dyDescent="0.25">
      <c r="A14439" s="2">
        <v>14434</v>
      </c>
      <c r="B14439" s="3" t="str">
        <f>"00701772"</f>
        <v>00701772</v>
      </c>
    </row>
    <row r="14440" spans="1:2" x14ac:dyDescent="0.25">
      <c r="A14440" s="2">
        <v>14435</v>
      </c>
      <c r="B14440" s="3" t="str">
        <f>"00701787"</f>
        <v>00701787</v>
      </c>
    </row>
    <row r="14441" spans="1:2" x14ac:dyDescent="0.25">
      <c r="A14441" s="2">
        <v>14436</v>
      </c>
      <c r="B14441" s="3" t="str">
        <f>"00701827"</f>
        <v>00701827</v>
      </c>
    </row>
    <row r="14442" spans="1:2" x14ac:dyDescent="0.25">
      <c r="A14442" s="2">
        <v>14437</v>
      </c>
      <c r="B14442" s="3" t="str">
        <f>"00701852"</f>
        <v>00701852</v>
      </c>
    </row>
    <row r="14443" spans="1:2" x14ac:dyDescent="0.25">
      <c r="A14443" s="2">
        <v>14438</v>
      </c>
      <c r="B14443" s="3" t="str">
        <f>"00701944"</f>
        <v>00701944</v>
      </c>
    </row>
    <row r="14444" spans="1:2" x14ac:dyDescent="0.25">
      <c r="A14444" s="2">
        <v>14439</v>
      </c>
      <c r="B14444" s="3" t="str">
        <f>"00701971"</f>
        <v>00701971</v>
      </c>
    </row>
    <row r="14445" spans="1:2" x14ac:dyDescent="0.25">
      <c r="A14445" s="2">
        <v>14440</v>
      </c>
      <c r="B14445" s="3" t="str">
        <f>"00702083"</f>
        <v>00702083</v>
      </c>
    </row>
    <row r="14446" spans="1:2" x14ac:dyDescent="0.25">
      <c r="A14446" s="2">
        <v>14441</v>
      </c>
      <c r="B14446" s="3" t="str">
        <f>"00702102"</f>
        <v>00702102</v>
      </c>
    </row>
    <row r="14447" spans="1:2" x14ac:dyDescent="0.25">
      <c r="A14447" s="2">
        <v>14442</v>
      </c>
      <c r="B14447" s="3" t="str">
        <f>"00702107"</f>
        <v>00702107</v>
      </c>
    </row>
    <row r="14448" spans="1:2" x14ac:dyDescent="0.25">
      <c r="A14448" s="2">
        <v>14443</v>
      </c>
      <c r="B14448" s="3" t="str">
        <f>"00702110"</f>
        <v>00702110</v>
      </c>
    </row>
    <row r="14449" spans="1:2" x14ac:dyDescent="0.25">
      <c r="A14449" s="2">
        <v>14444</v>
      </c>
      <c r="B14449" s="3" t="str">
        <f>"00702146"</f>
        <v>00702146</v>
      </c>
    </row>
    <row r="14450" spans="1:2" x14ac:dyDescent="0.25">
      <c r="A14450" s="2">
        <v>14445</v>
      </c>
      <c r="B14450" s="3" t="str">
        <f>"00702152"</f>
        <v>00702152</v>
      </c>
    </row>
    <row r="14451" spans="1:2" x14ac:dyDescent="0.25">
      <c r="A14451" s="2">
        <v>14446</v>
      </c>
      <c r="B14451" s="3" t="str">
        <f>"00702172"</f>
        <v>00702172</v>
      </c>
    </row>
    <row r="14452" spans="1:2" x14ac:dyDescent="0.25">
      <c r="A14452" s="2">
        <v>14447</v>
      </c>
      <c r="B14452" s="3" t="str">
        <f>"00702273"</f>
        <v>00702273</v>
      </c>
    </row>
    <row r="14453" spans="1:2" x14ac:dyDescent="0.25">
      <c r="A14453" s="2">
        <v>14448</v>
      </c>
      <c r="B14453" s="3" t="str">
        <f>"00702302"</f>
        <v>00702302</v>
      </c>
    </row>
    <row r="14454" spans="1:2" x14ac:dyDescent="0.25">
      <c r="A14454" s="2">
        <v>14449</v>
      </c>
      <c r="B14454" s="3" t="str">
        <f>"00702625"</f>
        <v>00702625</v>
      </c>
    </row>
    <row r="14455" spans="1:2" x14ac:dyDescent="0.25">
      <c r="A14455" s="2">
        <v>14450</v>
      </c>
      <c r="B14455" s="3" t="str">
        <f>"00702665"</f>
        <v>00702665</v>
      </c>
    </row>
    <row r="14456" spans="1:2" x14ac:dyDescent="0.25">
      <c r="A14456" s="2">
        <v>14451</v>
      </c>
      <c r="B14456" s="3" t="str">
        <f>"00702683"</f>
        <v>00702683</v>
      </c>
    </row>
    <row r="14457" spans="1:2" x14ac:dyDescent="0.25">
      <c r="A14457" s="2">
        <v>14452</v>
      </c>
      <c r="B14457" s="3" t="str">
        <f>"00702728"</f>
        <v>00702728</v>
      </c>
    </row>
    <row r="14458" spans="1:2" x14ac:dyDescent="0.25">
      <c r="A14458" s="2">
        <v>14453</v>
      </c>
      <c r="B14458" s="3" t="str">
        <f>"00702736"</f>
        <v>00702736</v>
      </c>
    </row>
    <row r="14459" spans="1:2" x14ac:dyDescent="0.25">
      <c r="A14459" s="2">
        <v>14454</v>
      </c>
      <c r="B14459" s="3" t="str">
        <f>"00702833"</f>
        <v>00702833</v>
      </c>
    </row>
    <row r="14460" spans="1:2" x14ac:dyDescent="0.25">
      <c r="A14460" s="2">
        <v>14455</v>
      </c>
      <c r="B14460" s="3" t="str">
        <f>"00702988"</f>
        <v>00702988</v>
      </c>
    </row>
    <row r="14461" spans="1:2" x14ac:dyDescent="0.25">
      <c r="A14461" s="2">
        <v>14456</v>
      </c>
      <c r="B14461" s="3" t="str">
        <f>"00703140"</f>
        <v>00703140</v>
      </c>
    </row>
    <row r="14462" spans="1:2" x14ac:dyDescent="0.25">
      <c r="A14462" s="2">
        <v>14457</v>
      </c>
      <c r="B14462" s="3" t="str">
        <f>"00703190"</f>
        <v>00703190</v>
      </c>
    </row>
    <row r="14463" spans="1:2" x14ac:dyDescent="0.25">
      <c r="A14463" s="2">
        <v>14458</v>
      </c>
      <c r="B14463" s="3" t="str">
        <f>"00703238"</f>
        <v>00703238</v>
      </c>
    </row>
    <row r="14464" spans="1:2" x14ac:dyDescent="0.25">
      <c r="A14464" s="2">
        <v>14459</v>
      </c>
      <c r="B14464" s="3" t="str">
        <f>"00703294"</f>
        <v>00703294</v>
      </c>
    </row>
    <row r="14465" spans="1:2" x14ac:dyDescent="0.25">
      <c r="A14465" s="2">
        <v>14460</v>
      </c>
      <c r="B14465" s="3" t="str">
        <f>"00703311"</f>
        <v>00703311</v>
      </c>
    </row>
    <row r="14466" spans="1:2" x14ac:dyDescent="0.25">
      <c r="A14466" s="2">
        <v>14461</v>
      </c>
      <c r="B14466" s="3" t="str">
        <f>"00703443"</f>
        <v>00703443</v>
      </c>
    </row>
    <row r="14467" spans="1:2" x14ac:dyDescent="0.25">
      <c r="A14467" s="2">
        <v>14462</v>
      </c>
      <c r="B14467" s="3" t="str">
        <f>"00703452"</f>
        <v>00703452</v>
      </c>
    </row>
    <row r="14468" spans="1:2" x14ac:dyDescent="0.25">
      <c r="A14468" s="2">
        <v>14463</v>
      </c>
      <c r="B14468" s="3" t="str">
        <f>"00703468"</f>
        <v>00703468</v>
      </c>
    </row>
    <row r="14469" spans="1:2" x14ac:dyDescent="0.25">
      <c r="A14469" s="2">
        <v>14464</v>
      </c>
      <c r="B14469" s="3" t="str">
        <f>"00703548"</f>
        <v>00703548</v>
      </c>
    </row>
    <row r="14470" spans="1:2" x14ac:dyDescent="0.25">
      <c r="A14470" s="2">
        <v>14465</v>
      </c>
      <c r="B14470" s="3" t="str">
        <f>"00703614"</f>
        <v>00703614</v>
      </c>
    </row>
    <row r="14471" spans="1:2" x14ac:dyDescent="0.25">
      <c r="A14471" s="2">
        <v>14466</v>
      </c>
      <c r="B14471" s="3" t="str">
        <f>"00703630"</f>
        <v>00703630</v>
      </c>
    </row>
    <row r="14472" spans="1:2" x14ac:dyDescent="0.25">
      <c r="A14472" s="2">
        <v>14467</v>
      </c>
      <c r="B14472" s="3" t="str">
        <f>"00703637"</f>
        <v>00703637</v>
      </c>
    </row>
    <row r="14473" spans="1:2" x14ac:dyDescent="0.25">
      <c r="A14473" s="2">
        <v>14468</v>
      </c>
      <c r="B14473" s="3" t="str">
        <f>"00703710"</f>
        <v>00703710</v>
      </c>
    </row>
    <row r="14474" spans="1:2" x14ac:dyDescent="0.25">
      <c r="A14474" s="2">
        <v>14469</v>
      </c>
      <c r="B14474" s="3" t="str">
        <f>"00703719"</f>
        <v>00703719</v>
      </c>
    </row>
    <row r="14475" spans="1:2" x14ac:dyDescent="0.25">
      <c r="A14475" s="2">
        <v>14470</v>
      </c>
      <c r="B14475" s="3" t="str">
        <f>"00703733"</f>
        <v>00703733</v>
      </c>
    </row>
    <row r="14476" spans="1:2" x14ac:dyDescent="0.25">
      <c r="A14476" s="2">
        <v>14471</v>
      </c>
      <c r="B14476" s="3" t="str">
        <f>"00703750"</f>
        <v>00703750</v>
      </c>
    </row>
    <row r="14477" spans="1:2" x14ac:dyDescent="0.25">
      <c r="A14477" s="2">
        <v>14472</v>
      </c>
      <c r="B14477" s="3" t="str">
        <f>"00703793"</f>
        <v>00703793</v>
      </c>
    </row>
    <row r="14478" spans="1:2" x14ac:dyDescent="0.25">
      <c r="A14478" s="2">
        <v>14473</v>
      </c>
      <c r="B14478" s="3" t="str">
        <f>"00703858"</f>
        <v>00703858</v>
      </c>
    </row>
    <row r="14479" spans="1:2" x14ac:dyDescent="0.25">
      <c r="A14479" s="2">
        <v>14474</v>
      </c>
      <c r="B14479" s="3" t="str">
        <f>"00703914"</f>
        <v>00703914</v>
      </c>
    </row>
    <row r="14480" spans="1:2" x14ac:dyDescent="0.25">
      <c r="A14480" s="2">
        <v>14475</v>
      </c>
      <c r="B14480" s="3" t="str">
        <f>"00703993"</f>
        <v>00703993</v>
      </c>
    </row>
    <row r="14481" spans="1:2" x14ac:dyDescent="0.25">
      <c r="A14481" s="2">
        <v>14476</v>
      </c>
      <c r="B14481" s="3" t="str">
        <f>"00703994"</f>
        <v>00703994</v>
      </c>
    </row>
    <row r="14482" spans="1:2" x14ac:dyDescent="0.25">
      <c r="A14482" s="2">
        <v>14477</v>
      </c>
      <c r="B14482" s="3" t="str">
        <f>"00704058"</f>
        <v>00704058</v>
      </c>
    </row>
    <row r="14483" spans="1:2" x14ac:dyDescent="0.25">
      <c r="A14483" s="2">
        <v>14478</v>
      </c>
      <c r="B14483" s="3" t="str">
        <f>"00704077"</f>
        <v>00704077</v>
      </c>
    </row>
    <row r="14484" spans="1:2" x14ac:dyDescent="0.25">
      <c r="A14484" s="2">
        <v>14479</v>
      </c>
      <c r="B14484" s="3" t="str">
        <f>"00704232"</f>
        <v>00704232</v>
      </c>
    </row>
    <row r="14485" spans="1:2" x14ac:dyDescent="0.25">
      <c r="A14485" s="2">
        <v>14480</v>
      </c>
      <c r="B14485" s="3" t="str">
        <f>"00704296"</f>
        <v>00704296</v>
      </c>
    </row>
    <row r="14486" spans="1:2" x14ac:dyDescent="0.25">
      <c r="A14486" s="2">
        <v>14481</v>
      </c>
      <c r="B14486" s="3" t="str">
        <f>"00704317"</f>
        <v>00704317</v>
      </c>
    </row>
    <row r="14487" spans="1:2" x14ac:dyDescent="0.25">
      <c r="A14487" s="2">
        <v>14482</v>
      </c>
      <c r="B14487" s="3" t="str">
        <f>"00704319"</f>
        <v>00704319</v>
      </c>
    </row>
    <row r="14488" spans="1:2" x14ac:dyDescent="0.25">
      <c r="A14488" s="2">
        <v>14483</v>
      </c>
      <c r="B14488" s="3" t="str">
        <f>"00704333"</f>
        <v>00704333</v>
      </c>
    </row>
    <row r="14489" spans="1:2" x14ac:dyDescent="0.25">
      <c r="A14489" s="2">
        <v>14484</v>
      </c>
      <c r="B14489" s="3" t="str">
        <f>"00704415"</f>
        <v>00704415</v>
      </c>
    </row>
    <row r="14490" spans="1:2" x14ac:dyDescent="0.25">
      <c r="A14490" s="2">
        <v>14485</v>
      </c>
      <c r="B14490" s="3" t="str">
        <f>"00704486"</f>
        <v>00704486</v>
      </c>
    </row>
    <row r="14491" spans="1:2" x14ac:dyDescent="0.25">
      <c r="A14491" s="2">
        <v>14486</v>
      </c>
      <c r="B14491" s="3" t="str">
        <f>"00704533"</f>
        <v>00704533</v>
      </c>
    </row>
    <row r="14492" spans="1:2" x14ac:dyDescent="0.25">
      <c r="A14492" s="2">
        <v>14487</v>
      </c>
      <c r="B14492" s="3" t="str">
        <f>"00704558"</f>
        <v>00704558</v>
      </c>
    </row>
    <row r="14493" spans="1:2" x14ac:dyDescent="0.25">
      <c r="A14493" s="2">
        <v>14488</v>
      </c>
      <c r="B14493" s="3" t="str">
        <f>"00704606"</f>
        <v>00704606</v>
      </c>
    </row>
    <row r="14494" spans="1:2" x14ac:dyDescent="0.25">
      <c r="A14494" s="2">
        <v>14489</v>
      </c>
      <c r="B14494" s="3" t="str">
        <f>"00704676"</f>
        <v>00704676</v>
      </c>
    </row>
    <row r="14495" spans="1:2" x14ac:dyDescent="0.25">
      <c r="A14495" s="2">
        <v>14490</v>
      </c>
      <c r="B14495" s="3" t="str">
        <f>"00704805"</f>
        <v>00704805</v>
      </c>
    </row>
    <row r="14496" spans="1:2" x14ac:dyDescent="0.25">
      <c r="A14496" s="2">
        <v>14491</v>
      </c>
      <c r="B14496" s="3" t="str">
        <f>"00704908"</f>
        <v>00704908</v>
      </c>
    </row>
    <row r="14497" spans="1:2" x14ac:dyDescent="0.25">
      <c r="A14497" s="2">
        <v>14492</v>
      </c>
      <c r="B14497" s="3" t="str">
        <f>"00704990"</f>
        <v>00704990</v>
      </c>
    </row>
    <row r="14498" spans="1:2" x14ac:dyDescent="0.25">
      <c r="A14498" s="2">
        <v>14493</v>
      </c>
      <c r="B14498" s="3" t="str">
        <f>"00705011"</f>
        <v>00705011</v>
      </c>
    </row>
    <row r="14499" spans="1:2" x14ac:dyDescent="0.25">
      <c r="A14499" s="2">
        <v>14494</v>
      </c>
      <c r="B14499" s="3" t="str">
        <f>"00705148"</f>
        <v>00705148</v>
      </c>
    </row>
    <row r="14500" spans="1:2" x14ac:dyDescent="0.25">
      <c r="A14500" s="2">
        <v>14495</v>
      </c>
      <c r="B14500" s="3" t="str">
        <f>"00705158"</f>
        <v>00705158</v>
      </c>
    </row>
    <row r="14501" spans="1:2" x14ac:dyDescent="0.25">
      <c r="A14501" s="2">
        <v>14496</v>
      </c>
      <c r="B14501" s="3" t="str">
        <f>"00705182"</f>
        <v>00705182</v>
      </c>
    </row>
    <row r="14502" spans="1:2" x14ac:dyDescent="0.25">
      <c r="A14502" s="2">
        <v>14497</v>
      </c>
      <c r="B14502" s="3" t="str">
        <f>"00705220"</f>
        <v>00705220</v>
      </c>
    </row>
    <row r="14503" spans="1:2" x14ac:dyDescent="0.25">
      <c r="A14503" s="2">
        <v>14498</v>
      </c>
      <c r="B14503" s="3" t="str">
        <f>"00705223"</f>
        <v>00705223</v>
      </c>
    </row>
    <row r="14504" spans="1:2" x14ac:dyDescent="0.25">
      <c r="A14504" s="2">
        <v>14499</v>
      </c>
      <c r="B14504" s="3" t="str">
        <f>"00705246"</f>
        <v>00705246</v>
      </c>
    </row>
    <row r="14505" spans="1:2" x14ac:dyDescent="0.25">
      <c r="A14505" s="2">
        <v>14500</v>
      </c>
      <c r="B14505" s="3" t="str">
        <f>"00705350"</f>
        <v>00705350</v>
      </c>
    </row>
    <row r="14506" spans="1:2" x14ac:dyDescent="0.25">
      <c r="A14506" s="2">
        <v>14501</v>
      </c>
      <c r="B14506" s="3" t="str">
        <f>"00705519"</f>
        <v>00705519</v>
      </c>
    </row>
    <row r="14507" spans="1:2" x14ac:dyDescent="0.25">
      <c r="A14507" s="2">
        <v>14502</v>
      </c>
      <c r="B14507" s="3" t="str">
        <f>"00705520"</f>
        <v>00705520</v>
      </c>
    </row>
    <row r="14508" spans="1:2" x14ac:dyDescent="0.25">
      <c r="A14508" s="2">
        <v>14503</v>
      </c>
      <c r="B14508" s="3" t="str">
        <f>"00705566"</f>
        <v>00705566</v>
      </c>
    </row>
    <row r="14509" spans="1:2" x14ac:dyDescent="0.25">
      <c r="A14509" s="2">
        <v>14504</v>
      </c>
      <c r="B14509" s="3" t="str">
        <f>"00705685"</f>
        <v>00705685</v>
      </c>
    </row>
    <row r="14510" spans="1:2" x14ac:dyDescent="0.25">
      <c r="A14510" s="2">
        <v>14505</v>
      </c>
      <c r="B14510" s="3" t="str">
        <f>"00705717"</f>
        <v>00705717</v>
      </c>
    </row>
    <row r="14511" spans="1:2" x14ac:dyDescent="0.25">
      <c r="A14511" s="2">
        <v>14506</v>
      </c>
      <c r="B14511" s="3" t="str">
        <f>"00705723"</f>
        <v>00705723</v>
      </c>
    </row>
    <row r="14512" spans="1:2" x14ac:dyDescent="0.25">
      <c r="A14512" s="2">
        <v>14507</v>
      </c>
      <c r="B14512" s="3" t="str">
        <f>"00705735"</f>
        <v>00705735</v>
      </c>
    </row>
    <row r="14513" spans="1:2" x14ac:dyDescent="0.25">
      <c r="A14513" s="2">
        <v>14508</v>
      </c>
      <c r="B14513" s="3" t="str">
        <f>"00705749"</f>
        <v>00705749</v>
      </c>
    </row>
    <row r="14514" spans="1:2" x14ac:dyDescent="0.25">
      <c r="A14514" s="2">
        <v>14509</v>
      </c>
      <c r="B14514" s="3" t="str">
        <f>"00705955"</f>
        <v>00705955</v>
      </c>
    </row>
    <row r="14515" spans="1:2" x14ac:dyDescent="0.25">
      <c r="A14515" s="2">
        <v>14510</v>
      </c>
      <c r="B14515" s="3" t="str">
        <f>"00705956"</f>
        <v>00705956</v>
      </c>
    </row>
    <row r="14516" spans="1:2" x14ac:dyDescent="0.25">
      <c r="A14516" s="2">
        <v>14511</v>
      </c>
      <c r="B14516" s="3" t="str">
        <f>"00705972"</f>
        <v>00705972</v>
      </c>
    </row>
    <row r="14517" spans="1:2" x14ac:dyDescent="0.25">
      <c r="A14517" s="2">
        <v>14512</v>
      </c>
      <c r="B14517" s="3" t="str">
        <f>"00706027"</f>
        <v>00706027</v>
      </c>
    </row>
    <row r="14518" spans="1:2" x14ac:dyDescent="0.25">
      <c r="A14518" s="2">
        <v>14513</v>
      </c>
      <c r="B14518" s="3" t="str">
        <f>"00706209"</f>
        <v>00706209</v>
      </c>
    </row>
    <row r="14519" spans="1:2" x14ac:dyDescent="0.25">
      <c r="A14519" s="2">
        <v>14514</v>
      </c>
      <c r="B14519" s="3" t="str">
        <f>"00708639"</f>
        <v>00708639</v>
      </c>
    </row>
    <row r="14520" spans="1:2" x14ac:dyDescent="0.25">
      <c r="A14520" s="2">
        <v>14515</v>
      </c>
      <c r="B14520" s="3" t="str">
        <f>"00708649"</f>
        <v>00708649</v>
      </c>
    </row>
    <row r="14521" spans="1:2" x14ac:dyDescent="0.25">
      <c r="A14521" s="2">
        <v>14516</v>
      </c>
      <c r="B14521" s="3" t="str">
        <f>"00708777"</f>
        <v>00708777</v>
      </c>
    </row>
    <row r="14522" spans="1:2" x14ac:dyDescent="0.25">
      <c r="A14522" s="2">
        <v>14517</v>
      </c>
      <c r="B14522" s="3" t="str">
        <f>"00708778"</f>
        <v>00708778</v>
      </c>
    </row>
    <row r="14523" spans="1:2" x14ac:dyDescent="0.25">
      <c r="A14523" s="2">
        <v>14518</v>
      </c>
      <c r="B14523" s="3" t="str">
        <f>"00708794"</f>
        <v>00708794</v>
      </c>
    </row>
    <row r="14524" spans="1:2" x14ac:dyDescent="0.25">
      <c r="A14524" s="2">
        <v>14519</v>
      </c>
      <c r="B14524" s="3" t="str">
        <f>"00708897"</f>
        <v>00708897</v>
      </c>
    </row>
    <row r="14525" spans="1:2" x14ac:dyDescent="0.25">
      <c r="A14525" s="2">
        <v>14520</v>
      </c>
      <c r="B14525" s="3" t="str">
        <f>"00708929"</f>
        <v>00708929</v>
      </c>
    </row>
    <row r="14526" spans="1:2" x14ac:dyDescent="0.25">
      <c r="A14526" s="2">
        <v>14521</v>
      </c>
      <c r="B14526" s="3" t="str">
        <f>"00708934"</f>
        <v>00708934</v>
      </c>
    </row>
    <row r="14527" spans="1:2" x14ac:dyDescent="0.25">
      <c r="A14527" s="2">
        <v>14522</v>
      </c>
      <c r="B14527" s="3" t="str">
        <f>"00708952"</f>
        <v>00708952</v>
      </c>
    </row>
    <row r="14528" spans="1:2" x14ac:dyDescent="0.25">
      <c r="A14528" s="2">
        <v>14523</v>
      </c>
      <c r="B14528" s="3" t="str">
        <f>"00708956"</f>
        <v>00708956</v>
      </c>
    </row>
    <row r="14529" spans="1:2" x14ac:dyDescent="0.25">
      <c r="A14529" s="2">
        <v>14524</v>
      </c>
      <c r="B14529" s="3" t="str">
        <f>"00708990"</f>
        <v>00708990</v>
      </c>
    </row>
    <row r="14530" spans="1:2" x14ac:dyDescent="0.25">
      <c r="A14530" s="2">
        <v>14525</v>
      </c>
      <c r="B14530" s="3" t="str">
        <f>"00709024"</f>
        <v>00709024</v>
      </c>
    </row>
    <row r="14531" spans="1:2" x14ac:dyDescent="0.25">
      <c r="A14531" s="2">
        <v>14526</v>
      </c>
      <c r="B14531" s="3" t="str">
        <f>"00709167"</f>
        <v>00709167</v>
      </c>
    </row>
    <row r="14532" spans="1:2" x14ac:dyDescent="0.25">
      <c r="A14532" s="2">
        <v>14527</v>
      </c>
      <c r="B14532" s="3" t="str">
        <f>"00709230"</f>
        <v>00709230</v>
      </c>
    </row>
    <row r="14533" spans="1:2" x14ac:dyDescent="0.25">
      <c r="A14533" s="2">
        <v>14528</v>
      </c>
      <c r="B14533" s="3" t="str">
        <f>"00709308"</f>
        <v>00709308</v>
      </c>
    </row>
    <row r="14534" spans="1:2" x14ac:dyDescent="0.25">
      <c r="A14534" s="2">
        <v>14529</v>
      </c>
      <c r="B14534" s="3" t="str">
        <f>"00709313"</f>
        <v>00709313</v>
      </c>
    </row>
    <row r="14535" spans="1:2" x14ac:dyDescent="0.25">
      <c r="A14535" s="2">
        <v>14530</v>
      </c>
      <c r="B14535" s="3" t="str">
        <f>"00709335"</f>
        <v>00709335</v>
      </c>
    </row>
    <row r="14536" spans="1:2" x14ac:dyDescent="0.25">
      <c r="A14536" s="2">
        <v>14531</v>
      </c>
      <c r="B14536" s="3" t="str">
        <f>"00709358"</f>
        <v>00709358</v>
      </c>
    </row>
    <row r="14537" spans="1:2" x14ac:dyDescent="0.25">
      <c r="A14537" s="2">
        <v>14532</v>
      </c>
      <c r="B14537" s="3" t="str">
        <f>"00709369"</f>
        <v>00709369</v>
      </c>
    </row>
    <row r="14538" spans="1:2" x14ac:dyDescent="0.25">
      <c r="A14538" s="2">
        <v>14533</v>
      </c>
      <c r="B14538" s="3" t="str">
        <f>"00709402"</f>
        <v>00709402</v>
      </c>
    </row>
    <row r="14539" spans="1:2" x14ac:dyDescent="0.25">
      <c r="A14539" s="2">
        <v>14534</v>
      </c>
      <c r="B14539" s="3" t="str">
        <f>"00709420"</f>
        <v>00709420</v>
      </c>
    </row>
    <row r="14540" spans="1:2" x14ac:dyDescent="0.25">
      <c r="A14540" s="2">
        <v>14535</v>
      </c>
      <c r="B14540" s="3" t="str">
        <f>"00709463"</f>
        <v>00709463</v>
      </c>
    </row>
    <row r="14541" spans="1:2" x14ac:dyDescent="0.25">
      <c r="A14541" s="2">
        <v>14536</v>
      </c>
      <c r="B14541" s="3" t="str">
        <f>"00709467"</f>
        <v>00709467</v>
      </c>
    </row>
    <row r="14542" spans="1:2" x14ac:dyDescent="0.25">
      <c r="A14542" s="2">
        <v>14537</v>
      </c>
      <c r="B14542" s="3" t="str">
        <f>"00709470"</f>
        <v>00709470</v>
      </c>
    </row>
    <row r="14543" spans="1:2" x14ac:dyDescent="0.25">
      <c r="A14543" s="2">
        <v>14538</v>
      </c>
      <c r="B14543" s="3" t="str">
        <f>"00709522"</f>
        <v>00709522</v>
      </c>
    </row>
    <row r="14544" spans="1:2" x14ac:dyDescent="0.25">
      <c r="A14544" s="2">
        <v>14539</v>
      </c>
      <c r="B14544" s="3" t="str">
        <f>"00709567"</f>
        <v>00709567</v>
      </c>
    </row>
    <row r="14545" spans="1:2" x14ac:dyDescent="0.25">
      <c r="A14545" s="2">
        <v>14540</v>
      </c>
      <c r="B14545" s="3" t="str">
        <f>"00709594"</f>
        <v>00709594</v>
      </c>
    </row>
    <row r="14546" spans="1:2" x14ac:dyDescent="0.25">
      <c r="A14546" s="2">
        <v>14541</v>
      </c>
      <c r="B14546" s="3" t="str">
        <f>"00709704"</f>
        <v>00709704</v>
      </c>
    </row>
    <row r="14547" spans="1:2" x14ac:dyDescent="0.25">
      <c r="A14547" s="2">
        <v>14542</v>
      </c>
      <c r="B14547" s="3" t="str">
        <f>"00709824"</f>
        <v>00709824</v>
      </c>
    </row>
    <row r="14548" spans="1:2" x14ac:dyDescent="0.25">
      <c r="A14548" s="2">
        <v>14543</v>
      </c>
      <c r="B14548" s="3" t="str">
        <f>"00709900"</f>
        <v>00709900</v>
      </c>
    </row>
    <row r="14549" spans="1:2" x14ac:dyDescent="0.25">
      <c r="A14549" s="2">
        <v>14544</v>
      </c>
      <c r="B14549" s="3" t="str">
        <f>"00709959"</f>
        <v>00709959</v>
      </c>
    </row>
    <row r="14550" spans="1:2" x14ac:dyDescent="0.25">
      <c r="A14550" s="2">
        <v>14545</v>
      </c>
      <c r="B14550" s="3" t="str">
        <f>"00710065"</f>
        <v>00710065</v>
      </c>
    </row>
    <row r="14551" spans="1:2" x14ac:dyDescent="0.25">
      <c r="A14551" s="2">
        <v>14546</v>
      </c>
      <c r="B14551" s="3" t="str">
        <f>"00710140"</f>
        <v>00710140</v>
      </c>
    </row>
    <row r="14552" spans="1:2" x14ac:dyDescent="0.25">
      <c r="A14552" s="2">
        <v>14547</v>
      </c>
      <c r="B14552" s="3" t="str">
        <f>"00710257"</f>
        <v>00710257</v>
      </c>
    </row>
    <row r="14553" spans="1:2" x14ac:dyDescent="0.25">
      <c r="A14553" s="2">
        <v>14548</v>
      </c>
      <c r="B14553" s="3" t="str">
        <f>"00710297"</f>
        <v>00710297</v>
      </c>
    </row>
    <row r="14554" spans="1:2" x14ac:dyDescent="0.25">
      <c r="A14554" s="2">
        <v>14549</v>
      </c>
      <c r="B14554" s="3" t="str">
        <f>"00710347"</f>
        <v>00710347</v>
      </c>
    </row>
    <row r="14555" spans="1:2" x14ac:dyDescent="0.25">
      <c r="A14555" s="2">
        <v>14550</v>
      </c>
      <c r="B14555" s="3" t="str">
        <f>"00710408"</f>
        <v>00710408</v>
      </c>
    </row>
    <row r="14556" spans="1:2" x14ac:dyDescent="0.25">
      <c r="A14556" s="2">
        <v>14551</v>
      </c>
      <c r="B14556" s="3" t="str">
        <f>"00710439"</f>
        <v>00710439</v>
      </c>
    </row>
    <row r="14557" spans="1:2" x14ac:dyDescent="0.25">
      <c r="A14557" s="2">
        <v>14552</v>
      </c>
      <c r="B14557" s="3" t="str">
        <f>"00710449"</f>
        <v>00710449</v>
      </c>
    </row>
    <row r="14558" spans="1:2" x14ac:dyDescent="0.25">
      <c r="A14558" s="2">
        <v>14553</v>
      </c>
      <c r="B14558" s="3" t="str">
        <f>"00710547"</f>
        <v>00710547</v>
      </c>
    </row>
    <row r="14559" spans="1:2" x14ac:dyDescent="0.25">
      <c r="A14559" s="2">
        <v>14554</v>
      </c>
      <c r="B14559" s="3" t="str">
        <f>"00710552"</f>
        <v>00710552</v>
      </c>
    </row>
    <row r="14560" spans="1:2" x14ac:dyDescent="0.25">
      <c r="A14560" s="2">
        <v>14555</v>
      </c>
      <c r="B14560" s="3" t="str">
        <f>"00710629"</f>
        <v>00710629</v>
      </c>
    </row>
    <row r="14561" spans="1:2" x14ac:dyDescent="0.25">
      <c r="A14561" s="2">
        <v>14556</v>
      </c>
      <c r="B14561" s="3" t="str">
        <f>"00710650"</f>
        <v>00710650</v>
      </c>
    </row>
    <row r="14562" spans="1:2" x14ac:dyDescent="0.25">
      <c r="A14562" s="2">
        <v>14557</v>
      </c>
      <c r="B14562" s="3" t="str">
        <f>"00710687"</f>
        <v>00710687</v>
      </c>
    </row>
    <row r="14563" spans="1:2" x14ac:dyDescent="0.25">
      <c r="A14563" s="2">
        <v>14558</v>
      </c>
      <c r="B14563" s="3" t="str">
        <f>"00710693"</f>
        <v>00710693</v>
      </c>
    </row>
    <row r="14564" spans="1:2" x14ac:dyDescent="0.25">
      <c r="A14564" s="2">
        <v>14559</v>
      </c>
      <c r="B14564" s="3" t="str">
        <f>"00710711"</f>
        <v>00710711</v>
      </c>
    </row>
    <row r="14565" spans="1:2" x14ac:dyDescent="0.25">
      <c r="A14565" s="2">
        <v>14560</v>
      </c>
      <c r="B14565" s="3" t="str">
        <f>"00710787"</f>
        <v>00710787</v>
      </c>
    </row>
    <row r="14566" spans="1:2" x14ac:dyDescent="0.25">
      <c r="A14566" s="2">
        <v>14561</v>
      </c>
      <c r="B14566" s="3" t="str">
        <f>"00710793"</f>
        <v>00710793</v>
      </c>
    </row>
    <row r="14567" spans="1:2" x14ac:dyDescent="0.25">
      <c r="A14567" s="2">
        <v>14562</v>
      </c>
      <c r="B14567" s="3" t="str">
        <f>"00710842"</f>
        <v>00710842</v>
      </c>
    </row>
    <row r="14568" spans="1:2" x14ac:dyDescent="0.25">
      <c r="A14568" s="2">
        <v>14563</v>
      </c>
      <c r="B14568" s="3" t="str">
        <f>"00710893"</f>
        <v>00710893</v>
      </c>
    </row>
    <row r="14569" spans="1:2" x14ac:dyDescent="0.25">
      <c r="A14569" s="2">
        <v>14564</v>
      </c>
      <c r="B14569" s="3" t="str">
        <f>"00710922"</f>
        <v>00710922</v>
      </c>
    </row>
    <row r="14570" spans="1:2" x14ac:dyDescent="0.25">
      <c r="A14570" s="2">
        <v>14565</v>
      </c>
      <c r="B14570" s="3" t="str">
        <f>"00710939"</f>
        <v>00710939</v>
      </c>
    </row>
    <row r="14571" spans="1:2" x14ac:dyDescent="0.25">
      <c r="A14571" s="2">
        <v>14566</v>
      </c>
      <c r="B14571" s="3" t="str">
        <f>"00710946"</f>
        <v>00710946</v>
      </c>
    </row>
    <row r="14572" spans="1:2" x14ac:dyDescent="0.25">
      <c r="A14572" s="2">
        <v>14567</v>
      </c>
      <c r="B14572" s="3" t="str">
        <f>"00711268"</f>
        <v>00711268</v>
      </c>
    </row>
    <row r="14573" spans="1:2" x14ac:dyDescent="0.25">
      <c r="A14573" s="2">
        <v>14568</v>
      </c>
      <c r="B14573" s="3" t="str">
        <f>"00711291"</f>
        <v>00711291</v>
      </c>
    </row>
    <row r="14574" spans="1:2" x14ac:dyDescent="0.25">
      <c r="A14574" s="2">
        <v>14569</v>
      </c>
      <c r="B14574" s="3" t="str">
        <f>"00711299"</f>
        <v>00711299</v>
      </c>
    </row>
    <row r="14575" spans="1:2" x14ac:dyDescent="0.25">
      <c r="A14575" s="2">
        <v>14570</v>
      </c>
      <c r="B14575" s="3" t="str">
        <f>"00711314"</f>
        <v>00711314</v>
      </c>
    </row>
    <row r="14576" spans="1:2" x14ac:dyDescent="0.25">
      <c r="A14576" s="2">
        <v>14571</v>
      </c>
      <c r="B14576" s="3" t="str">
        <f>"00711382"</f>
        <v>00711382</v>
      </c>
    </row>
    <row r="14577" spans="1:2" x14ac:dyDescent="0.25">
      <c r="A14577" s="2">
        <v>14572</v>
      </c>
      <c r="B14577" s="3" t="str">
        <f>"00711424"</f>
        <v>00711424</v>
      </c>
    </row>
    <row r="14578" spans="1:2" x14ac:dyDescent="0.25">
      <c r="A14578" s="2">
        <v>14573</v>
      </c>
      <c r="B14578" s="3" t="str">
        <f>"00711437"</f>
        <v>00711437</v>
      </c>
    </row>
    <row r="14579" spans="1:2" x14ac:dyDescent="0.25">
      <c r="A14579" s="2">
        <v>14574</v>
      </c>
      <c r="B14579" s="3" t="str">
        <f>"00711569"</f>
        <v>00711569</v>
      </c>
    </row>
    <row r="14580" spans="1:2" x14ac:dyDescent="0.25">
      <c r="A14580" s="2">
        <v>14575</v>
      </c>
      <c r="B14580" s="3" t="str">
        <f>"00711598"</f>
        <v>00711598</v>
      </c>
    </row>
    <row r="14581" spans="1:2" x14ac:dyDescent="0.25">
      <c r="A14581" s="2">
        <v>14576</v>
      </c>
      <c r="B14581" s="3" t="str">
        <f>"00711634"</f>
        <v>00711634</v>
      </c>
    </row>
    <row r="14582" spans="1:2" x14ac:dyDescent="0.25">
      <c r="A14582" s="2">
        <v>14577</v>
      </c>
      <c r="B14582" s="3" t="str">
        <f>"00711680"</f>
        <v>00711680</v>
      </c>
    </row>
    <row r="14583" spans="1:2" x14ac:dyDescent="0.25">
      <c r="A14583" s="2">
        <v>14578</v>
      </c>
      <c r="B14583" s="3" t="str">
        <f>"00711761"</f>
        <v>00711761</v>
      </c>
    </row>
    <row r="14584" spans="1:2" x14ac:dyDescent="0.25">
      <c r="A14584" s="2">
        <v>14579</v>
      </c>
      <c r="B14584" s="3" t="str">
        <f>"00711821"</f>
        <v>00711821</v>
      </c>
    </row>
    <row r="14585" spans="1:2" x14ac:dyDescent="0.25">
      <c r="A14585" s="2">
        <v>14580</v>
      </c>
      <c r="B14585" s="3" t="str">
        <f>"00711850"</f>
        <v>00711850</v>
      </c>
    </row>
    <row r="14586" spans="1:2" x14ac:dyDescent="0.25">
      <c r="A14586" s="2">
        <v>14581</v>
      </c>
      <c r="B14586" s="3" t="str">
        <f>"00711880"</f>
        <v>00711880</v>
      </c>
    </row>
    <row r="14587" spans="1:2" x14ac:dyDescent="0.25">
      <c r="A14587" s="2">
        <v>14582</v>
      </c>
      <c r="B14587" s="3" t="str">
        <f>"00711961"</f>
        <v>00711961</v>
      </c>
    </row>
    <row r="14588" spans="1:2" x14ac:dyDescent="0.25">
      <c r="A14588" s="2">
        <v>14583</v>
      </c>
      <c r="B14588" s="3" t="str">
        <f>"00711999"</f>
        <v>00711999</v>
      </c>
    </row>
    <row r="14589" spans="1:2" x14ac:dyDescent="0.25">
      <c r="A14589" s="2">
        <v>14584</v>
      </c>
      <c r="B14589" s="3" t="str">
        <f>"00712002"</f>
        <v>00712002</v>
      </c>
    </row>
    <row r="14590" spans="1:2" x14ac:dyDescent="0.25">
      <c r="A14590" s="2">
        <v>14585</v>
      </c>
      <c r="B14590" s="3" t="str">
        <f>"00712197"</f>
        <v>00712197</v>
      </c>
    </row>
    <row r="14591" spans="1:2" x14ac:dyDescent="0.25">
      <c r="A14591" s="2">
        <v>14586</v>
      </c>
      <c r="B14591" s="3" t="str">
        <f>"00712265"</f>
        <v>00712265</v>
      </c>
    </row>
    <row r="14592" spans="1:2" x14ac:dyDescent="0.25">
      <c r="A14592" s="2">
        <v>14587</v>
      </c>
      <c r="B14592" s="3" t="str">
        <f>"00712266"</f>
        <v>00712266</v>
      </c>
    </row>
    <row r="14593" spans="1:2" x14ac:dyDescent="0.25">
      <c r="A14593" s="2">
        <v>14588</v>
      </c>
      <c r="B14593" s="3" t="str">
        <f>"00712314"</f>
        <v>00712314</v>
      </c>
    </row>
    <row r="14594" spans="1:2" x14ac:dyDescent="0.25">
      <c r="A14594" s="2">
        <v>14589</v>
      </c>
      <c r="B14594" s="3" t="str">
        <f>"00712406"</f>
        <v>00712406</v>
      </c>
    </row>
    <row r="14595" spans="1:2" x14ac:dyDescent="0.25">
      <c r="A14595" s="2">
        <v>14590</v>
      </c>
      <c r="B14595" s="3" t="str">
        <f>"00712425"</f>
        <v>00712425</v>
      </c>
    </row>
    <row r="14596" spans="1:2" x14ac:dyDescent="0.25">
      <c r="A14596" s="2">
        <v>14591</v>
      </c>
      <c r="B14596" s="3" t="str">
        <f>"00712431"</f>
        <v>00712431</v>
      </c>
    </row>
    <row r="14597" spans="1:2" x14ac:dyDescent="0.25">
      <c r="A14597" s="2">
        <v>14592</v>
      </c>
      <c r="B14597" s="3" t="str">
        <f>"00712464"</f>
        <v>00712464</v>
      </c>
    </row>
    <row r="14598" spans="1:2" x14ac:dyDescent="0.25">
      <c r="A14598" s="2">
        <v>14593</v>
      </c>
      <c r="B14598" s="3" t="str">
        <f>"00712493"</f>
        <v>00712493</v>
      </c>
    </row>
    <row r="14599" spans="1:2" x14ac:dyDescent="0.25">
      <c r="A14599" s="2">
        <v>14594</v>
      </c>
      <c r="B14599" s="3" t="str">
        <f>"00712684"</f>
        <v>00712684</v>
      </c>
    </row>
    <row r="14600" spans="1:2" x14ac:dyDescent="0.25">
      <c r="A14600" s="2">
        <v>14595</v>
      </c>
      <c r="B14600" s="3" t="str">
        <f>"00712731"</f>
        <v>00712731</v>
      </c>
    </row>
    <row r="14601" spans="1:2" x14ac:dyDescent="0.25">
      <c r="A14601" s="2">
        <v>14596</v>
      </c>
      <c r="B14601" s="3" t="str">
        <f>"00712736"</f>
        <v>00712736</v>
      </c>
    </row>
    <row r="14602" spans="1:2" x14ac:dyDescent="0.25">
      <c r="A14602" s="2">
        <v>14597</v>
      </c>
      <c r="B14602" s="3" t="str">
        <f>"00712737"</f>
        <v>00712737</v>
      </c>
    </row>
    <row r="14603" spans="1:2" x14ac:dyDescent="0.25">
      <c r="A14603" s="2">
        <v>14598</v>
      </c>
      <c r="B14603" s="3" t="str">
        <f>"00712745"</f>
        <v>00712745</v>
      </c>
    </row>
    <row r="14604" spans="1:2" x14ac:dyDescent="0.25">
      <c r="A14604" s="2">
        <v>14599</v>
      </c>
      <c r="B14604" s="3" t="str">
        <f>"00712760"</f>
        <v>00712760</v>
      </c>
    </row>
    <row r="14605" spans="1:2" x14ac:dyDescent="0.25">
      <c r="A14605" s="2">
        <v>14600</v>
      </c>
      <c r="B14605" s="3" t="str">
        <f>"00712788"</f>
        <v>00712788</v>
      </c>
    </row>
    <row r="14606" spans="1:2" x14ac:dyDescent="0.25">
      <c r="A14606" s="2">
        <v>14601</v>
      </c>
      <c r="B14606" s="3" t="str">
        <f>"00712828"</f>
        <v>00712828</v>
      </c>
    </row>
    <row r="14607" spans="1:2" x14ac:dyDescent="0.25">
      <c r="A14607" s="2">
        <v>14602</v>
      </c>
      <c r="B14607" s="3" t="str">
        <f>"00712861"</f>
        <v>00712861</v>
      </c>
    </row>
    <row r="14608" spans="1:2" x14ac:dyDescent="0.25">
      <c r="A14608" s="2">
        <v>14603</v>
      </c>
      <c r="B14608" s="3" t="str">
        <f>"00712899"</f>
        <v>00712899</v>
      </c>
    </row>
    <row r="14609" spans="1:2" x14ac:dyDescent="0.25">
      <c r="A14609" s="2">
        <v>14604</v>
      </c>
      <c r="B14609" s="3" t="str">
        <f>"00712920"</f>
        <v>00712920</v>
      </c>
    </row>
    <row r="14610" spans="1:2" x14ac:dyDescent="0.25">
      <c r="A14610" s="2">
        <v>14605</v>
      </c>
      <c r="B14610" s="3" t="str">
        <f>"00713035"</f>
        <v>00713035</v>
      </c>
    </row>
    <row r="14611" spans="1:2" x14ac:dyDescent="0.25">
      <c r="A14611" s="2">
        <v>14606</v>
      </c>
      <c r="B14611" s="3" t="str">
        <f>"00713101"</f>
        <v>00713101</v>
      </c>
    </row>
    <row r="14612" spans="1:2" x14ac:dyDescent="0.25">
      <c r="A14612" s="2">
        <v>14607</v>
      </c>
      <c r="B14612" s="3" t="str">
        <f>"00713245"</f>
        <v>00713245</v>
      </c>
    </row>
    <row r="14613" spans="1:2" x14ac:dyDescent="0.25">
      <c r="A14613" s="2">
        <v>14608</v>
      </c>
      <c r="B14613" s="3" t="str">
        <f>"00713271"</f>
        <v>00713271</v>
      </c>
    </row>
    <row r="14614" spans="1:2" x14ac:dyDescent="0.25">
      <c r="A14614" s="2">
        <v>14609</v>
      </c>
      <c r="B14614" s="3" t="str">
        <f>"00713328"</f>
        <v>00713328</v>
      </c>
    </row>
    <row r="14615" spans="1:2" x14ac:dyDescent="0.25">
      <c r="A14615" s="2">
        <v>14610</v>
      </c>
      <c r="B14615" s="3" t="str">
        <f>"00713366"</f>
        <v>00713366</v>
      </c>
    </row>
    <row r="14616" spans="1:2" x14ac:dyDescent="0.25">
      <c r="A14616" s="2">
        <v>14611</v>
      </c>
      <c r="B14616" s="3" t="str">
        <f>"00713381"</f>
        <v>00713381</v>
      </c>
    </row>
    <row r="14617" spans="1:2" x14ac:dyDescent="0.25">
      <c r="A14617" s="2">
        <v>14612</v>
      </c>
      <c r="B14617" s="3" t="str">
        <f>"00713435"</f>
        <v>00713435</v>
      </c>
    </row>
    <row r="14618" spans="1:2" x14ac:dyDescent="0.25">
      <c r="A14618" s="2">
        <v>14613</v>
      </c>
      <c r="B14618" s="3" t="str">
        <f>"00713450"</f>
        <v>00713450</v>
      </c>
    </row>
    <row r="14619" spans="1:2" x14ac:dyDescent="0.25">
      <c r="A14619" s="2">
        <v>14614</v>
      </c>
      <c r="B14619" s="3" t="str">
        <f>"00713458"</f>
        <v>00713458</v>
      </c>
    </row>
    <row r="14620" spans="1:2" x14ac:dyDescent="0.25">
      <c r="A14620" s="2">
        <v>14615</v>
      </c>
      <c r="B14620" s="3" t="str">
        <f>"00713527"</f>
        <v>00713527</v>
      </c>
    </row>
    <row r="14621" spans="1:2" x14ac:dyDescent="0.25">
      <c r="A14621" s="2">
        <v>14616</v>
      </c>
      <c r="B14621" s="3" t="str">
        <f>"00713547"</f>
        <v>00713547</v>
      </c>
    </row>
    <row r="14622" spans="1:2" x14ac:dyDescent="0.25">
      <c r="A14622" s="2">
        <v>14617</v>
      </c>
      <c r="B14622" s="3" t="str">
        <f>"00713653"</f>
        <v>00713653</v>
      </c>
    </row>
    <row r="14623" spans="1:2" x14ac:dyDescent="0.25">
      <c r="A14623" s="2">
        <v>14618</v>
      </c>
      <c r="B14623" s="3" t="str">
        <f>"00713677"</f>
        <v>00713677</v>
      </c>
    </row>
    <row r="14624" spans="1:2" x14ac:dyDescent="0.25">
      <c r="A14624" s="2">
        <v>14619</v>
      </c>
      <c r="B14624" s="3" t="str">
        <f>"00713723"</f>
        <v>00713723</v>
      </c>
    </row>
    <row r="14625" spans="1:2" x14ac:dyDescent="0.25">
      <c r="A14625" s="2">
        <v>14620</v>
      </c>
      <c r="B14625" s="3" t="str">
        <f>"00713733"</f>
        <v>00713733</v>
      </c>
    </row>
    <row r="14626" spans="1:2" x14ac:dyDescent="0.25">
      <c r="A14626" s="2">
        <v>14621</v>
      </c>
      <c r="B14626" s="3" t="str">
        <f>"00713756"</f>
        <v>00713756</v>
      </c>
    </row>
    <row r="14627" spans="1:2" x14ac:dyDescent="0.25">
      <c r="A14627" s="2">
        <v>14622</v>
      </c>
      <c r="B14627" s="3" t="str">
        <f>"00713765"</f>
        <v>00713765</v>
      </c>
    </row>
    <row r="14628" spans="1:2" x14ac:dyDescent="0.25">
      <c r="A14628" s="2">
        <v>14623</v>
      </c>
      <c r="B14628" s="3" t="str">
        <f>"00713774"</f>
        <v>00713774</v>
      </c>
    </row>
    <row r="14629" spans="1:2" x14ac:dyDescent="0.25">
      <c r="A14629" s="2">
        <v>14624</v>
      </c>
      <c r="B14629" s="3" t="str">
        <f>"00713780"</f>
        <v>00713780</v>
      </c>
    </row>
    <row r="14630" spans="1:2" x14ac:dyDescent="0.25">
      <c r="A14630" s="2">
        <v>14625</v>
      </c>
      <c r="B14630" s="3" t="str">
        <f>"00713792"</f>
        <v>00713792</v>
      </c>
    </row>
    <row r="14631" spans="1:2" x14ac:dyDescent="0.25">
      <c r="A14631" s="2">
        <v>14626</v>
      </c>
      <c r="B14631" s="3" t="str">
        <f>"00713805"</f>
        <v>00713805</v>
      </c>
    </row>
    <row r="14632" spans="1:2" x14ac:dyDescent="0.25">
      <c r="A14632" s="2">
        <v>14627</v>
      </c>
      <c r="B14632" s="3" t="str">
        <f>"00713818"</f>
        <v>00713818</v>
      </c>
    </row>
    <row r="14633" spans="1:2" x14ac:dyDescent="0.25">
      <c r="A14633" s="2">
        <v>14628</v>
      </c>
      <c r="B14633" s="3" t="str">
        <f>"00713865"</f>
        <v>00713865</v>
      </c>
    </row>
    <row r="14634" spans="1:2" x14ac:dyDescent="0.25">
      <c r="A14634" s="2">
        <v>14629</v>
      </c>
      <c r="B14634" s="3" t="str">
        <f>"00713894"</f>
        <v>00713894</v>
      </c>
    </row>
    <row r="14635" spans="1:2" x14ac:dyDescent="0.25">
      <c r="A14635" s="2">
        <v>14630</v>
      </c>
      <c r="B14635" s="3" t="str">
        <f>"00713913"</f>
        <v>00713913</v>
      </c>
    </row>
    <row r="14636" spans="1:2" x14ac:dyDescent="0.25">
      <c r="A14636" s="2">
        <v>14631</v>
      </c>
      <c r="B14636" s="3" t="str">
        <f>"00713946"</f>
        <v>00713946</v>
      </c>
    </row>
    <row r="14637" spans="1:2" x14ac:dyDescent="0.25">
      <c r="A14637" s="2">
        <v>14632</v>
      </c>
      <c r="B14637" s="3" t="str">
        <f>"00713973"</f>
        <v>00713973</v>
      </c>
    </row>
    <row r="14638" spans="1:2" x14ac:dyDescent="0.25">
      <c r="A14638" s="2">
        <v>14633</v>
      </c>
      <c r="B14638" s="3" t="str">
        <f>"00713982"</f>
        <v>00713982</v>
      </c>
    </row>
    <row r="14639" spans="1:2" x14ac:dyDescent="0.25">
      <c r="A14639" s="2">
        <v>14634</v>
      </c>
      <c r="B14639" s="3" t="str">
        <f>"00713994"</f>
        <v>00713994</v>
      </c>
    </row>
    <row r="14640" spans="1:2" x14ac:dyDescent="0.25">
      <c r="A14640" s="2">
        <v>14635</v>
      </c>
      <c r="B14640" s="3" t="str">
        <f>"00713999"</f>
        <v>00713999</v>
      </c>
    </row>
    <row r="14641" spans="1:2" x14ac:dyDescent="0.25">
      <c r="A14641" s="2">
        <v>14636</v>
      </c>
      <c r="B14641" s="3" t="str">
        <f>"00714032"</f>
        <v>00714032</v>
      </c>
    </row>
    <row r="14642" spans="1:2" x14ac:dyDescent="0.25">
      <c r="A14642" s="2">
        <v>14637</v>
      </c>
      <c r="B14642" s="3" t="str">
        <f>"00714041"</f>
        <v>00714041</v>
      </c>
    </row>
    <row r="14643" spans="1:2" x14ac:dyDescent="0.25">
      <c r="A14643" s="2">
        <v>14638</v>
      </c>
      <c r="B14643" s="3" t="str">
        <f>"00714050"</f>
        <v>00714050</v>
      </c>
    </row>
    <row r="14644" spans="1:2" x14ac:dyDescent="0.25">
      <c r="A14644" s="2">
        <v>14639</v>
      </c>
      <c r="B14644" s="3" t="str">
        <f>"00714107"</f>
        <v>00714107</v>
      </c>
    </row>
    <row r="14645" spans="1:2" x14ac:dyDescent="0.25">
      <c r="A14645" s="2">
        <v>14640</v>
      </c>
      <c r="B14645" s="3" t="str">
        <f>"00714108"</f>
        <v>00714108</v>
      </c>
    </row>
    <row r="14646" spans="1:2" x14ac:dyDescent="0.25">
      <c r="A14646" s="2">
        <v>14641</v>
      </c>
      <c r="B14646" s="3" t="str">
        <f>"00714215"</f>
        <v>00714215</v>
      </c>
    </row>
    <row r="14647" spans="1:2" x14ac:dyDescent="0.25">
      <c r="A14647" s="2">
        <v>14642</v>
      </c>
      <c r="B14647" s="3" t="str">
        <f>"00714222"</f>
        <v>00714222</v>
      </c>
    </row>
    <row r="14648" spans="1:2" x14ac:dyDescent="0.25">
      <c r="A14648" s="2">
        <v>14643</v>
      </c>
      <c r="B14648" s="3" t="str">
        <f>"00714385"</f>
        <v>00714385</v>
      </c>
    </row>
    <row r="14649" spans="1:2" x14ac:dyDescent="0.25">
      <c r="A14649" s="2">
        <v>14644</v>
      </c>
      <c r="B14649" s="3" t="str">
        <f>"00714425"</f>
        <v>00714425</v>
      </c>
    </row>
    <row r="14650" spans="1:2" x14ac:dyDescent="0.25">
      <c r="A14650" s="2">
        <v>14645</v>
      </c>
      <c r="B14650" s="3" t="str">
        <f>"00714475"</f>
        <v>00714475</v>
      </c>
    </row>
    <row r="14651" spans="1:2" x14ac:dyDescent="0.25">
      <c r="A14651" s="2">
        <v>14646</v>
      </c>
      <c r="B14651" s="3" t="str">
        <f>"00714502"</f>
        <v>00714502</v>
      </c>
    </row>
    <row r="14652" spans="1:2" x14ac:dyDescent="0.25">
      <c r="A14652" s="2">
        <v>14647</v>
      </c>
      <c r="B14652" s="3" t="str">
        <f>"00714513"</f>
        <v>00714513</v>
      </c>
    </row>
    <row r="14653" spans="1:2" x14ac:dyDescent="0.25">
      <c r="A14653" s="2">
        <v>14648</v>
      </c>
      <c r="B14653" s="3" t="str">
        <f>"00714536"</f>
        <v>00714536</v>
      </c>
    </row>
    <row r="14654" spans="1:2" x14ac:dyDescent="0.25">
      <c r="A14654" s="2">
        <v>14649</v>
      </c>
      <c r="B14654" s="3" t="str">
        <f>"00714540"</f>
        <v>00714540</v>
      </c>
    </row>
    <row r="14655" spans="1:2" x14ac:dyDescent="0.25">
      <c r="A14655" s="2">
        <v>14650</v>
      </c>
      <c r="B14655" s="3" t="str">
        <f>"00714615"</f>
        <v>00714615</v>
      </c>
    </row>
    <row r="14656" spans="1:2" x14ac:dyDescent="0.25">
      <c r="A14656" s="2">
        <v>14651</v>
      </c>
      <c r="B14656" s="3" t="str">
        <f>"00714691"</f>
        <v>00714691</v>
      </c>
    </row>
    <row r="14657" spans="1:2" x14ac:dyDescent="0.25">
      <c r="A14657" s="2">
        <v>14652</v>
      </c>
      <c r="B14657" s="3" t="str">
        <f>"00714698"</f>
        <v>00714698</v>
      </c>
    </row>
    <row r="14658" spans="1:2" x14ac:dyDescent="0.25">
      <c r="A14658" s="2">
        <v>14653</v>
      </c>
      <c r="B14658" s="3" t="str">
        <f>"00714740"</f>
        <v>00714740</v>
      </c>
    </row>
    <row r="14659" spans="1:2" x14ac:dyDescent="0.25">
      <c r="A14659" s="2">
        <v>14654</v>
      </c>
      <c r="B14659" s="3" t="str">
        <f>"00714743"</f>
        <v>00714743</v>
      </c>
    </row>
    <row r="14660" spans="1:2" x14ac:dyDescent="0.25">
      <c r="A14660" s="2">
        <v>14655</v>
      </c>
      <c r="B14660" s="3" t="str">
        <f>"00714761"</f>
        <v>00714761</v>
      </c>
    </row>
    <row r="14661" spans="1:2" x14ac:dyDescent="0.25">
      <c r="A14661" s="2">
        <v>14656</v>
      </c>
      <c r="B14661" s="3" t="str">
        <f>"00714897"</f>
        <v>00714897</v>
      </c>
    </row>
    <row r="14662" spans="1:2" x14ac:dyDescent="0.25">
      <c r="A14662" s="2">
        <v>14657</v>
      </c>
      <c r="B14662" s="3" t="str">
        <f>"00714924"</f>
        <v>00714924</v>
      </c>
    </row>
    <row r="14663" spans="1:2" x14ac:dyDescent="0.25">
      <c r="A14663" s="2">
        <v>14658</v>
      </c>
      <c r="B14663" s="3" t="str">
        <f>"00714939"</f>
        <v>00714939</v>
      </c>
    </row>
    <row r="14664" spans="1:2" x14ac:dyDescent="0.25">
      <c r="A14664" s="2">
        <v>14659</v>
      </c>
      <c r="B14664" s="3" t="str">
        <f>"00715094"</f>
        <v>00715094</v>
      </c>
    </row>
    <row r="14665" spans="1:2" x14ac:dyDescent="0.25">
      <c r="A14665" s="2">
        <v>14660</v>
      </c>
      <c r="B14665" s="3" t="str">
        <f>"00715181"</f>
        <v>00715181</v>
      </c>
    </row>
    <row r="14666" spans="1:2" x14ac:dyDescent="0.25">
      <c r="A14666" s="2">
        <v>14661</v>
      </c>
      <c r="B14666" s="3" t="str">
        <f>"00715187"</f>
        <v>00715187</v>
      </c>
    </row>
    <row r="14667" spans="1:2" x14ac:dyDescent="0.25">
      <c r="A14667" s="2">
        <v>14662</v>
      </c>
      <c r="B14667" s="3" t="str">
        <f>"00715271"</f>
        <v>00715271</v>
      </c>
    </row>
    <row r="14668" spans="1:2" x14ac:dyDescent="0.25">
      <c r="A14668" s="2">
        <v>14663</v>
      </c>
      <c r="B14668" s="3" t="str">
        <f>"00715291"</f>
        <v>00715291</v>
      </c>
    </row>
    <row r="14669" spans="1:2" x14ac:dyDescent="0.25">
      <c r="A14669" s="2">
        <v>14664</v>
      </c>
      <c r="B14669" s="3" t="str">
        <f>"00715397"</f>
        <v>00715397</v>
      </c>
    </row>
    <row r="14670" spans="1:2" x14ac:dyDescent="0.25">
      <c r="A14670" s="2">
        <v>14665</v>
      </c>
      <c r="B14670" s="3" t="str">
        <f>"00715403"</f>
        <v>00715403</v>
      </c>
    </row>
    <row r="14671" spans="1:2" x14ac:dyDescent="0.25">
      <c r="A14671" s="2">
        <v>14666</v>
      </c>
      <c r="B14671" s="3" t="str">
        <f>"00715428"</f>
        <v>00715428</v>
      </c>
    </row>
    <row r="14672" spans="1:2" x14ac:dyDescent="0.25">
      <c r="A14672" s="2">
        <v>14667</v>
      </c>
      <c r="B14672" s="3" t="str">
        <f>"00715461"</f>
        <v>00715461</v>
      </c>
    </row>
    <row r="14673" spans="1:2" x14ac:dyDescent="0.25">
      <c r="A14673" s="2">
        <v>14668</v>
      </c>
      <c r="B14673" s="3" t="str">
        <f>"00715505"</f>
        <v>00715505</v>
      </c>
    </row>
    <row r="14674" spans="1:2" x14ac:dyDescent="0.25">
      <c r="A14674" s="2">
        <v>14669</v>
      </c>
      <c r="B14674" s="3" t="str">
        <f>"00715516"</f>
        <v>00715516</v>
      </c>
    </row>
    <row r="14675" spans="1:2" x14ac:dyDescent="0.25">
      <c r="A14675" s="2">
        <v>14670</v>
      </c>
      <c r="B14675" s="3" t="str">
        <f>"00715534"</f>
        <v>00715534</v>
      </c>
    </row>
    <row r="14676" spans="1:2" x14ac:dyDescent="0.25">
      <c r="A14676" s="2">
        <v>14671</v>
      </c>
      <c r="B14676" s="3" t="str">
        <f>"00715535"</f>
        <v>00715535</v>
      </c>
    </row>
    <row r="14677" spans="1:2" x14ac:dyDescent="0.25">
      <c r="A14677" s="2">
        <v>14672</v>
      </c>
      <c r="B14677" s="3" t="str">
        <f>"00715600"</f>
        <v>00715600</v>
      </c>
    </row>
    <row r="14678" spans="1:2" x14ac:dyDescent="0.25">
      <c r="A14678" s="2">
        <v>14673</v>
      </c>
      <c r="B14678" s="3" t="str">
        <f>"00715819"</f>
        <v>00715819</v>
      </c>
    </row>
    <row r="14679" spans="1:2" x14ac:dyDescent="0.25">
      <c r="A14679" s="2">
        <v>14674</v>
      </c>
      <c r="B14679" s="3" t="str">
        <f>"00715834"</f>
        <v>00715834</v>
      </c>
    </row>
    <row r="14680" spans="1:2" x14ac:dyDescent="0.25">
      <c r="A14680" s="2">
        <v>14675</v>
      </c>
      <c r="B14680" s="3" t="str">
        <f>"00715897"</f>
        <v>00715897</v>
      </c>
    </row>
    <row r="14681" spans="1:2" x14ac:dyDescent="0.25">
      <c r="A14681" s="2">
        <v>14676</v>
      </c>
      <c r="B14681" s="3" t="str">
        <f>"00715966"</f>
        <v>00715966</v>
      </c>
    </row>
    <row r="14682" spans="1:2" x14ac:dyDescent="0.25">
      <c r="A14682" s="2">
        <v>14677</v>
      </c>
      <c r="B14682" s="3" t="str">
        <f>"00715992"</f>
        <v>00715992</v>
      </c>
    </row>
    <row r="14683" spans="1:2" x14ac:dyDescent="0.25">
      <c r="A14683" s="2">
        <v>14678</v>
      </c>
      <c r="B14683" s="3" t="str">
        <f>"00716116"</f>
        <v>00716116</v>
      </c>
    </row>
    <row r="14684" spans="1:2" x14ac:dyDescent="0.25">
      <c r="A14684" s="2">
        <v>14679</v>
      </c>
      <c r="B14684" s="3" t="str">
        <f>"00716117"</f>
        <v>00716117</v>
      </c>
    </row>
    <row r="14685" spans="1:2" x14ac:dyDescent="0.25">
      <c r="A14685" s="2">
        <v>14680</v>
      </c>
      <c r="B14685" s="3" t="str">
        <f>"00716166"</f>
        <v>00716166</v>
      </c>
    </row>
    <row r="14686" spans="1:2" x14ac:dyDescent="0.25">
      <c r="A14686" s="2">
        <v>14681</v>
      </c>
      <c r="B14686" s="3" t="str">
        <f>"00716167"</f>
        <v>00716167</v>
      </c>
    </row>
    <row r="14687" spans="1:2" x14ac:dyDescent="0.25">
      <c r="A14687" s="2">
        <v>14682</v>
      </c>
      <c r="B14687" s="3" t="str">
        <f>"00716373"</f>
        <v>00716373</v>
      </c>
    </row>
    <row r="14688" spans="1:2" x14ac:dyDescent="0.25">
      <c r="A14688" s="2">
        <v>14683</v>
      </c>
      <c r="B14688" s="3" t="str">
        <f>"00716395"</f>
        <v>00716395</v>
      </c>
    </row>
    <row r="14689" spans="1:2" x14ac:dyDescent="0.25">
      <c r="A14689" s="2">
        <v>14684</v>
      </c>
      <c r="B14689" s="3" t="str">
        <f>"00716435"</f>
        <v>00716435</v>
      </c>
    </row>
    <row r="14690" spans="1:2" x14ac:dyDescent="0.25">
      <c r="A14690" s="2">
        <v>14685</v>
      </c>
      <c r="B14690" s="3" t="str">
        <f>"00716442"</f>
        <v>00716442</v>
      </c>
    </row>
    <row r="14691" spans="1:2" x14ac:dyDescent="0.25">
      <c r="A14691" s="2">
        <v>14686</v>
      </c>
      <c r="B14691" s="3" t="str">
        <f>"00716444"</f>
        <v>00716444</v>
      </c>
    </row>
    <row r="14692" spans="1:2" x14ac:dyDescent="0.25">
      <c r="A14692" s="2">
        <v>14687</v>
      </c>
      <c r="B14692" s="3" t="str">
        <f>"00716690"</f>
        <v>00716690</v>
      </c>
    </row>
    <row r="14693" spans="1:2" x14ac:dyDescent="0.25">
      <c r="A14693" s="2">
        <v>14688</v>
      </c>
      <c r="B14693" s="3" t="str">
        <f>"00716752"</f>
        <v>00716752</v>
      </c>
    </row>
    <row r="14694" spans="1:2" x14ac:dyDescent="0.25">
      <c r="A14694" s="2">
        <v>14689</v>
      </c>
      <c r="B14694" s="3" t="str">
        <f>"00716827"</f>
        <v>00716827</v>
      </c>
    </row>
    <row r="14695" spans="1:2" x14ac:dyDescent="0.25">
      <c r="A14695" s="2">
        <v>14690</v>
      </c>
      <c r="B14695" s="3" t="str">
        <f>"00716869"</f>
        <v>00716869</v>
      </c>
    </row>
    <row r="14696" spans="1:2" x14ac:dyDescent="0.25">
      <c r="A14696" s="2">
        <v>14691</v>
      </c>
      <c r="B14696" s="3" t="str">
        <f>"00716883"</f>
        <v>00716883</v>
      </c>
    </row>
    <row r="14697" spans="1:2" x14ac:dyDescent="0.25">
      <c r="A14697" s="2">
        <v>14692</v>
      </c>
      <c r="B14697" s="3" t="str">
        <f>"00717010"</f>
        <v>00717010</v>
      </c>
    </row>
    <row r="14698" spans="1:2" x14ac:dyDescent="0.25">
      <c r="A14698" s="2">
        <v>14693</v>
      </c>
      <c r="B14698" s="3" t="str">
        <f>"00717055"</f>
        <v>00717055</v>
      </c>
    </row>
    <row r="14699" spans="1:2" x14ac:dyDescent="0.25">
      <c r="A14699" s="2">
        <v>14694</v>
      </c>
      <c r="B14699" s="3" t="str">
        <f>"00717182"</f>
        <v>00717182</v>
      </c>
    </row>
    <row r="14700" spans="1:2" x14ac:dyDescent="0.25">
      <c r="A14700" s="2">
        <v>14695</v>
      </c>
      <c r="B14700" s="3" t="str">
        <f>"00717223"</f>
        <v>00717223</v>
      </c>
    </row>
    <row r="14701" spans="1:2" x14ac:dyDescent="0.25">
      <c r="A14701" s="2">
        <v>14696</v>
      </c>
      <c r="B14701" s="3" t="str">
        <f>"00717269"</f>
        <v>00717269</v>
      </c>
    </row>
    <row r="14702" spans="1:2" x14ac:dyDescent="0.25">
      <c r="A14702" s="2">
        <v>14697</v>
      </c>
      <c r="B14702" s="3" t="str">
        <f>"00717271"</f>
        <v>00717271</v>
      </c>
    </row>
    <row r="14703" spans="1:2" x14ac:dyDescent="0.25">
      <c r="A14703" s="2">
        <v>14698</v>
      </c>
      <c r="B14703" s="3" t="str">
        <f>"00717311"</f>
        <v>00717311</v>
      </c>
    </row>
    <row r="14704" spans="1:2" x14ac:dyDescent="0.25">
      <c r="A14704" s="2">
        <v>14699</v>
      </c>
      <c r="B14704" s="3" t="str">
        <f>"00717315"</f>
        <v>00717315</v>
      </c>
    </row>
    <row r="14705" spans="1:2" x14ac:dyDescent="0.25">
      <c r="A14705" s="2">
        <v>14700</v>
      </c>
      <c r="B14705" s="3" t="str">
        <f>"00717362"</f>
        <v>00717362</v>
      </c>
    </row>
    <row r="14706" spans="1:2" x14ac:dyDescent="0.25">
      <c r="A14706" s="2">
        <v>14701</v>
      </c>
      <c r="B14706" s="3" t="str">
        <f>"00717425"</f>
        <v>00717425</v>
      </c>
    </row>
    <row r="14707" spans="1:2" x14ac:dyDescent="0.25">
      <c r="A14707" s="2">
        <v>14702</v>
      </c>
      <c r="B14707" s="3" t="str">
        <f>"00717505"</f>
        <v>00717505</v>
      </c>
    </row>
    <row r="14708" spans="1:2" x14ac:dyDescent="0.25">
      <c r="A14708" s="2">
        <v>14703</v>
      </c>
      <c r="B14708" s="3" t="str">
        <f>"00717602"</f>
        <v>00717602</v>
      </c>
    </row>
    <row r="14709" spans="1:2" x14ac:dyDescent="0.25">
      <c r="A14709" s="2">
        <v>14704</v>
      </c>
      <c r="B14709" s="3" t="str">
        <f>"00717632"</f>
        <v>00717632</v>
      </c>
    </row>
    <row r="14710" spans="1:2" x14ac:dyDescent="0.25">
      <c r="A14710" s="2">
        <v>14705</v>
      </c>
      <c r="B14710" s="3" t="str">
        <f>"00717654"</f>
        <v>00717654</v>
      </c>
    </row>
    <row r="14711" spans="1:2" x14ac:dyDescent="0.25">
      <c r="A14711" s="2">
        <v>14706</v>
      </c>
      <c r="B14711" s="3" t="str">
        <f>"00717663"</f>
        <v>00717663</v>
      </c>
    </row>
    <row r="14712" spans="1:2" x14ac:dyDescent="0.25">
      <c r="A14712" s="2">
        <v>14707</v>
      </c>
      <c r="B14712" s="3" t="str">
        <f>"00717677"</f>
        <v>00717677</v>
      </c>
    </row>
    <row r="14713" spans="1:2" x14ac:dyDescent="0.25">
      <c r="A14713" s="2">
        <v>14708</v>
      </c>
      <c r="B14713" s="3" t="str">
        <f>"00717805"</f>
        <v>00717805</v>
      </c>
    </row>
    <row r="14714" spans="1:2" x14ac:dyDescent="0.25">
      <c r="A14714" s="2">
        <v>14709</v>
      </c>
      <c r="B14714" s="3" t="str">
        <f>"00717832"</f>
        <v>00717832</v>
      </c>
    </row>
    <row r="14715" spans="1:2" x14ac:dyDescent="0.25">
      <c r="A14715" s="2">
        <v>14710</v>
      </c>
      <c r="B14715" s="3" t="str">
        <f>"00717867"</f>
        <v>00717867</v>
      </c>
    </row>
    <row r="14716" spans="1:2" x14ac:dyDescent="0.25">
      <c r="A14716" s="2">
        <v>14711</v>
      </c>
      <c r="B14716" s="3" t="str">
        <f>"00717899"</f>
        <v>00717899</v>
      </c>
    </row>
    <row r="14717" spans="1:2" x14ac:dyDescent="0.25">
      <c r="A14717" s="2">
        <v>14712</v>
      </c>
      <c r="B14717" s="3" t="str">
        <f>"00717903"</f>
        <v>00717903</v>
      </c>
    </row>
    <row r="14718" spans="1:2" x14ac:dyDescent="0.25">
      <c r="A14718" s="2">
        <v>14713</v>
      </c>
      <c r="B14718" s="3" t="str">
        <f>"00717912"</f>
        <v>00717912</v>
      </c>
    </row>
    <row r="14719" spans="1:2" x14ac:dyDescent="0.25">
      <c r="A14719" s="2">
        <v>14714</v>
      </c>
      <c r="B14719" s="3" t="str">
        <f>"00717941"</f>
        <v>00717941</v>
      </c>
    </row>
    <row r="14720" spans="1:2" x14ac:dyDescent="0.25">
      <c r="A14720" s="2">
        <v>14715</v>
      </c>
      <c r="B14720" s="3" t="str">
        <f>"00717958"</f>
        <v>00717958</v>
      </c>
    </row>
    <row r="14721" spans="1:2" x14ac:dyDescent="0.25">
      <c r="A14721" s="2">
        <v>14716</v>
      </c>
      <c r="B14721" s="3" t="str">
        <f>"00717996"</f>
        <v>00717996</v>
      </c>
    </row>
    <row r="14722" spans="1:2" x14ac:dyDescent="0.25">
      <c r="A14722" s="2">
        <v>14717</v>
      </c>
      <c r="B14722" s="3" t="str">
        <f>"00718080"</f>
        <v>00718080</v>
      </c>
    </row>
    <row r="14723" spans="1:2" x14ac:dyDescent="0.25">
      <c r="A14723" s="2">
        <v>14718</v>
      </c>
      <c r="B14723" s="3" t="str">
        <f>"00718134"</f>
        <v>00718134</v>
      </c>
    </row>
    <row r="14724" spans="1:2" x14ac:dyDescent="0.25">
      <c r="A14724" s="2">
        <v>14719</v>
      </c>
      <c r="B14724" s="3" t="str">
        <f>"00718185"</f>
        <v>00718185</v>
      </c>
    </row>
    <row r="14725" spans="1:2" x14ac:dyDescent="0.25">
      <c r="A14725" s="2">
        <v>14720</v>
      </c>
      <c r="B14725" s="3" t="str">
        <f>"00718216"</f>
        <v>00718216</v>
      </c>
    </row>
    <row r="14726" spans="1:2" x14ac:dyDescent="0.25">
      <c r="A14726" s="2">
        <v>14721</v>
      </c>
      <c r="B14726" s="3" t="str">
        <f>"00718290"</f>
        <v>00718290</v>
      </c>
    </row>
    <row r="14727" spans="1:2" x14ac:dyDescent="0.25">
      <c r="A14727" s="2">
        <v>14722</v>
      </c>
      <c r="B14727" s="3" t="str">
        <f>"00718299"</f>
        <v>00718299</v>
      </c>
    </row>
    <row r="14728" spans="1:2" x14ac:dyDescent="0.25">
      <c r="A14728" s="2">
        <v>14723</v>
      </c>
      <c r="B14728" s="3" t="str">
        <f>"00718473"</f>
        <v>00718473</v>
      </c>
    </row>
    <row r="14729" spans="1:2" x14ac:dyDescent="0.25">
      <c r="A14729" s="2">
        <v>14724</v>
      </c>
      <c r="B14729" s="3" t="str">
        <f>"00718562"</f>
        <v>00718562</v>
      </c>
    </row>
    <row r="14730" spans="1:2" x14ac:dyDescent="0.25">
      <c r="A14730" s="2">
        <v>14725</v>
      </c>
      <c r="B14730" s="3" t="str">
        <f>"00718613"</f>
        <v>00718613</v>
      </c>
    </row>
    <row r="14731" spans="1:2" x14ac:dyDescent="0.25">
      <c r="A14731" s="2">
        <v>14726</v>
      </c>
      <c r="B14731" s="3" t="str">
        <f>"00718615"</f>
        <v>00718615</v>
      </c>
    </row>
    <row r="14732" spans="1:2" x14ac:dyDescent="0.25">
      <c r="A14732" s="2">
        <v>14727</v>
      </c>
      <c r="B14732" s="3" t="str">
        <f>"00718667"</f>
        <v>00718667</v>
      </c>
    </row>
    <row r="14733" spans="1:2" x14ac:dyDescent="0.25">
      <c r="A14733" s="2">
        <v>14728</v>
      </c>
      <c r="B14733" s="3" t="str">
        <f>"00718841"</f>
        <v>00718841</v>
      </c>
    </row>
    <row r="14734" spans="1:2" x14ac:dyDescent="0.25">
      <c r="A14734" s="2">
        <v>14729</v>
      </c>
      <c r="B14734" s="3" t="str">
        <f>"00718889"</f>
        <v>00718889</v>
      </c>
    </row>
    <row r="14735" spans="1:2" x14ac:dyDescent="0.25">
      <c r="A14735" s="2">
        <v>14730</v>
      </c>
      <c r="B14735" s="3" t="str">
        <f>"00718904"</f>
        <v>00718904</v>
      </c>
    </row>
    <row r="14736" spans="1:2" x14ac:dyDescent="0.25">
      <c r="A14736" s="2">
        <v>14731</v>
      </c>
      <c r="B14736" s="3" t="str">
        <f>"00718963"</f>
        <v>00718963</v>
      </c>
    </row>
    <row r="14737" spans="1:2" x14ac:dyDescent="0.25">
      <c r="A14737" s="2">
        <v>14732</v>
      </c>
      <c r="B14737" s="3" t="str">
        <f>"00719046"</f>
        <v>00719046</v>
      </c>
    </row>
    <row r="14738" spans="1:2" x14ac:dyDescent="0.25">
      <c r="A14738" s="2">
        <v>14733</v>
      </c>
      <c r="B14738" s="3" t="str">
        <f>"00719070"</f>
        <v>00719070</v>
      </c>
    </row>
    <row r="14739" spans="1:2" x14ac:dyDescent="0.25">
      <c r="A14739" s="2">
        <v>14734</v>
      </c>
      <c r="B14739" s="3" t="str">
        <f>"00719142"</f>
        <v>00719142</v>
      </c>
    </row>
    <row r="14740" spans="1:2" x14ac:dyDescent="0.25">
      <c r="A14740" s="2">
        <v>14735</v>
      </c>
      <c r="B14740" s="3" t="str">
        <f>"00719280"</f>
        <v>00719280</v>
      </c>
    </row>
    <row r="14741" spans="1:2" x14ac:dyDescent="0.25">
      <c r="A14741" s="2">
        <v>14736</v>
      </c>
      <c r="B14741" s="3" t="str">
        <f>"00719311"</f>
        <v>00719311</v>
      </c>
    </row>
    <row r="14742" spans="1:2" x14ac:dyDescent="0.25">
      <c r="A14742" s="2">
        <v>14737</v>
      </c>
      <c r="B14742" s="3" t="str">
        <f>"00719334"</f>
        <v>00719334</v>
      </c>
    </row>
    <row r="14743" spans="1:2" x14ac:dyDescent="0.25">
      <c r="A14743" s="2">
        <v>14738</v>
      </c>
      <c r="B14743" s="3" t="str">
        <f>"00719392"</f>
        <v>00719392</v>
      </c>
    </row>
    <row r="14744" spans="1:2" x14ac:dyDescent="0.25">
      <c r="A14744" s="2">
        <v>14739</v>
      </c>
      <c r="B14744" s="3" t="str">
        <f>"00719696"</f>
        <v>00719696</v>
      </c>
    </row>
    <row r="14745" spans="1:2" x14ac:dyDescent="0.25">
      <c r="A14745" s="2">
        <v>14740</v>
      </c>
      <c r="B14745" s="3" t="str">
        <f>"00719717"</f>
        <v>00719717</v>
      </c>
    </row>
    <row r="14746" spans="1:2" x14ac:dyDescent="0.25">
      <c r="A14746" s="2">
        <v>14741</v>
      </c>
      <c r="B14746" s="3" t="str">
        <f>"00719891"</f>
        <v>00719891</v>
      </c>
    </row>
    <row r="14747" spans="1:2" x14ac:dyDescent="0.25">
      <c r="A14747" s="2">
        <v>14742</v>
      </c>
      <c r="B14747" s="3" t="str">
        <f>"00719899"</f>
        <v>00719899</v>
      </c>
    </row>
    <row r="14748" spans="1:2" x14ac:dyDescent="0.25">
      <c r="A14748" s="2">
        <v>14743</v>
      </c>
      <c r="B14748" s="3" t="str">
        <f>"00719903"</f>
        <v>00719903</v>
      </c>
    </row>
    <row r="14749" spans="1:2" x14ac:dyDescent="0.25">
      <c r="A14749" s="2">
        <v>14744</v>
      </c>
      <c r="B14749" s="3" t="str">
        <f>"00719995"</f>
        <v>00719995</v>
      </c>
    </row>
    <row r="14750" spans="1:2" x14ac:dyDescent="0.25">
      <c r="A14750" s="2">
        <v>14745</v>
      </c>
      <c r="B14750" s="3" t="str">
        <f>"00720086"</f>
        <v>00720086</v>
      </c>
    </row>
    <row r="14751" spans="1:2" x14ac:dyDescent="0.25">
      <c r="A14751" s="2">
        <v>14746</v>
      </c>
      <c r="B14751" s="3" t="str">
        <f>"00720203"</f>
        <v>00720203</v>
      </c>
    </row>
    <row r="14752" spans="1:2" x14ac:dyDescent="0.25">
      <c r="A14752" s="2">
        <v>14747</v>
      </c>
      <c r="B14752" s="3" t="str">
        <f>"00720236"</f>
        <v>00720236</v>
      </c>
    </row>
    <row r="14753" spans="1:2" x14ac:dyDescent="0.25">
      <c r="A14753" s="2">
        <v>14748</v>
      </c>
      <c r="B14753" s="3" t="str">
        <f>"00720260"</f>
        <v>00720260</v>
      </c>
    </row>
    <row r="14754" spans="1:2" x14ac:dyDescent="0.25">
      <c r="A14754" s="2">
        <v>14749</v>
      </c>
      <c r="B14754" s="3" t="str">
        <f>"00720272"</f>
        <v>00720272</v>
      </c>
    </row>
    <row r="14755" spans="1:2" x14ac:dyDescent="0.25">
      <c r="A14755" s="2">
        <v>14750</v>
      </c>
      <c r="B14755" s="3" t="str">
        <f>"00720571"</f>
        <v>00720571</v>
      </c>
    </row>
    <row r="14756" spans="1:2" x14ac:dyDescent="0.25">
      <c r="A14756" s="2">
        <v>14751</v>
      </c>
      <c r="B14756" s="3" t="str">
        <f>"00720576"</f>
        <v>00720576</v>
      </c>
    </row>
    <row r="14757" spans="1:2" x14ac:dyDescent="0.25">
      <c r="A14757" s="2">
        <v>14752</v>
      </c>
      <c r="B14757" s="3" t="str">
        <f>"00720591"</f>
        <v>00720591</v>
      </c>
    </row>
    <row r="14758" spans="1:2" x14ac:dyDescent="0.25">
      <c r="A14758" s="2">
        <v>14753</v>
      </c>
      <c r="B14758" s="3" t="str">
        <f>"00720607"</f>
        <v>00720607</v>
      </c>
    </row>
    <row r="14759" spans="1:2" x14ac:dyDescent="0.25">
      <c r="A14759" s="2">
        <v>14754</v>
      </c>
      <c r="B14759" s="3" t="str">
        <f>"00720619"</f>
        <v>00720619</v>
      </c>
    </row>
    <row r="14760" spans="1:2" x14ac:dyDescent="0.25">
      <c r="A14760" s="2">
        <v>14755</v>
      </c>
      <c r="B14760" s="3" t="str">
        <f>"00720663"</f>
        <v>00720663</v>
      </c>
    </row>
    <row r="14761" spans="1:2" x14ac:dyDescent="0.25">
      <c r="A14761" s="2">
        <v>14756</v>
      </c>
      <c r="B14761" s="3" t="str">
        <f>"00720686"</f>
        <v>00720686</v>
      </c>
    </row>
    <row r="14762" spans="1:2" x14ac:dyDescent="0.25">
      <c r="A14762" s="2">
        <v>14757</v>
      </c>
      <c r="B14762" s="3" t="str">
        <f>"00720691"</f>
        <v>00720691</v>
      </c>
    </row>
    <row r="14763" spans="1:2" x14ac:dyDescent="0.25">
      <c r="A14763" s="2">
        <v>14758</v>
      </c>
      <c r="B14763" s="3" t="str">
        <f>"00720705"</f>
        <v>00720705</v>
      </c>
    </row>
    <row r="14764" spans="1:2" x14ac:dyDescent="0.25">
      <c r="A14764" s="2">
        <v>14759</v>
      </c>
      <c r="B14764" s="3" t="str">
        <f>"00720728"</f>
        <v>00720728</v>
      </c>
    </row>
    <row r="14765" spans="1:2" x14ac:dyDescent="0.25">
      <c r="A14765" s="2">
        <v>14760</v>
      </c>
      <c r="B14765" s="3" t="str">
        <f>"00720798"</f>
        <v>00720798</v>
      </c>
    </row>
    <row r="14766" spans="1:2" x14ac:dyDescent="0.25">
      <c r="A14766" s="2">
        <v>14761</v>
      </c>
      <c r="B14766" s="3" t="str">
        <f>"00720838"</f>
        <v>00720838</v>
      </c>
    </row>
    <row r="14767" spans="1:2" x14ac:dyDescent="0.25">
      <c r="A14767" s="2">
        <v>14762</v>
      </c>
      <c r="B14767" s="3" t="str">
        <f>"00720930"</f>
        <v>00720930</v>
      </c>
    </row>
    <row r="14768" spans="1:2" x14ac:dyDescent="0.25">
      <c r="A14768" s="2">
        <v>14763</v>
      </c>
      <c r="B14768" s="3" t="str">
        <f>"00720946"</f>
        <v>00720946</v>
      </c>
    </row>
    <row r="14769" spans="1:2" x14ac:dyDescent="0.25">
      <c r="A14769" s="2">
        <v>14764</v>
      </c>
      <c r="B14769" s="3" t="str">
        <f>"00721057"</f>
        <v>00721057</v>
      </c>
    </row>
    <row r="14770" spans="1:2" x14ac:dyDescent="0.25">
      <c r="A14770" s="2">
        <v>14765</v>
      </c>
      <c r="B14770" s="3" t="str">
        <f>"00721101"</f>
        <v>00721101</v>
      </c>
    </row>
    <row r="14771" spans="1:2" x14ac:dyDescent="0.25">
      <c r="A14771" s="2">
        <v>14766</v>
      </c>
      <c r="B14771" s="3" t="str">
        <f>"00721108"</f>
        <v>00721108</v>
      </c>
    </row>
    <row r="14772" spans="1:2" x14ac:dyDescent="0.25">
      <c r="A14772" s="2">
        <v>14767</v>
      </c>
      <c r="B14772" s="3" t="str">
        <f>"00721191"</f>
        <v>00721191</v>
      </c>
    </row>
    <row r="14773" spans="1:2" x14ac:dyDescent="0.25">
      <c r="A14773" s="2">
        <v>14768</v>
      </c>
      <c r="B14773" s="3" t="str">
        <f>"00721197"</f>
        <v>00721197</v>
      </c>
    </row>
    <row r="14774" spans="1:2" x14ac:dyDescent="0.25">
      <c r="A14774" s="2">
        <v>14769</v>
      </c>
      <c r="B14774" s="3" t="str">
        <f>"00721204"</f>
        <v>00721204</v>
      </c>
    </row>
    <row r="14775" spans="1:2" x14ac:dyDescent="0.25">
      <c r="A14775" s="2">
        <v>14770</v>
      </c>
      <c r="B14775" s="3" t="str">
        <f>"00721310"</f>
        <v>00721310</v>
      </c>
    </row>
    <row r="14776" spans="1:2" x14ac:dyDescent="0.25">
      <c r="A14776" s="2">
        <v>14771</v>
      </c>
      <c r="B14776" s="3" t="str">
        <f>"00721326"</f>
        <v>00721326</v>
      </c>
    </row>
    <row r="14777" spans="1:2" x14ac:dyDescent="0.25">
      <c r="A14777" s="2">
        <v>14772</v>
      </c>
      <c r="B14777" s="3" t="str">
        <f>"00721343"</f>
        <v>00721343</v>
      </c>
    </row>
    <row r="14778" spans="1:2" x14ac:dyDescent="0.25">
      <c r="A14778" s="2">
        <v>14773</v>
      </c>
      <c r="B14778" s="3" t="str">
        <f>"00721363"</f>
        <v>00721363</v>
      </c>
    </row>
    <row r="14779" spans="1:2" x14ac:dyDescent="0.25">
      <c r="A14779" s="2">
        <v>14774</v>
      </c>
      <c r="B14779" s="3" t="str">
        <f>"00721611"</f>
        <v>00721611</v>
      </c>
    </row>
    <row r="14780" spans="1:2" x14ac:dyDescent="0.25">
      <c r="A14780" s="2">
        <v>14775</v>
      </c>
      <c r="B14780" s="3" t="str">
        <f>"00721636"</f>
        <v>00721636</v>
      </c>
    </row>
    <row r="14781" spans="1:2" x14ac:dyDescent="0.25">
      <c r="A14781" s="2">
        <v>14776</v>
      </c>
      <c r="B14781" s="3" t="str">
        <f>"00721769"</f>
        <v>00721769</v>
      </c>
    </row>
    <row r="14782" spans="1:2" x14ac:dyDescent="0.25">
      <c r="A14782" s="2">
        <v>14777</v>
      </c>
      <c r="B14782" s="3" t="str">
        <f>"00721823"</f>
        <v>00721823</v>
      </c>
    </row>
    <row r="14783" spans="1:2" x14ac:dyDescent="0.25">
      <c r="A14783" s="2">
        <v>14778</v>
      </c>
      <c r="B14783" s="3" t="str">
        <f>"00721998"</f>
        <v>00721998</v>
      </c>
    </row>
    <row r="14784" spans="1:2" x14ac:dyDescent="0.25">
      <c r="A14784" s="2">
        <v>14779</v>
      </c>
      <c r="B14784" s="3" t="str">
        <f>"00722041"</f>
        <v>00722041</v>
      </c>
    </row>
    <row r="14785" spans="1:2" x14ac:dyDescent="0.25">
      <c r="A14785" s="2">
        <v>14780</v>
      </c>
      <c r="B14785" s="3" t="str">
        <f>"00722060"</f>
        <v>00722060</v>
      </c>
    </row>
    <row r="14786" spans="1:2" x14ac:dyDescent="0.25">
      <c r="A14786" s="2">
        <v>14781</v>
      </c>
      <c r="B14786" s="3" t="str">
        <f>"00722098"</f>
        <v>00722098</v>
      </c>
    </row>
    <row r="14787" spans="1:2" x14ac:dyDescent="0.25">
      <c r="A14787" s="2">
        <v>14782</v>
      </c>
      <c r="B14787" s="3" t="str">
        <f>"00722154"</f>
        <v>00722154</v>
      </c>
    </row>
    <row r="14788" spans="1:2" x14ac:dyDescent="0.25">
      <c r="A14788" s="2">
        <v>14783</v>
      </c>
      <c r="B14788" s="3" t="str">
        <f>"00722163"</f>
        <v>00722163</v>
      </c>
    </row>
    <row r="14789" spans="1:2" x14ac:dyDescent="0.25">
      <c r="A14789" s="2">
        <v>14784</v>
      </c>
      <c r="B14789" s="3" t="str">
        <f>"00722220"</f>
        <v>00722220</v>
      </c>
    </row>
    <row r="14790" spans="1:2" x14ac:dyDescent="0.25">
      <c r="A14790" s="2">
        <v>14785</v>
      </c>
      <c r="B14790" s="3" t="str">
        <f>"00722248"</f>
        <v>00722248</v>
      </c>
    </row>
    <row r="14791" spans="1:2" x14ac:dyDescent="0.25">
      <c r="A14791" s="2">
        <v>14786</v>
      </c>
      <c r="B14791" s="3" t="str">
        <f>"00722271"</f>
        <v>00722271</v>
      </c>
    </row>
    <row r="14792" spans="1:2" x14ac:dyDescent="0.25">
      <c r="A14792" s="2">
        <v>14787</v>
      </c>
      <c r="B14792" s="3" t="str">
        <f>"00722309"</f>
        <v>00722309</v>
      </c>
    </row>
    <row r="14793" spans="1:2" x14ac:dyDescent="0.25">
      <c r="A14793" s="2">
        <v>14788</v>
      </c>
      <c r="B14793" s="3" t="str">
        <f>"00722361"</f>
        <v>00722361</v>
      </c>
    </row>
    <row r="14794" spans="1:2" x14ac:dyDescent="0.25">
      <c r="A14794" s="2">
        <v>14789</v>
      </c>
      <c r="B14794" s="3" t="str">
        <f>"00722366"</f>
        <v>00722366</v>
      </c>
    </row>
    <row r="14795" spans="1:2" x14ac:dyDescent="0.25">
      <c r="A14795" s="2">
        <v>14790</v>
      </c>
      <c r="B14795" s="3" t="str">
        <f>"00722398"</f>
        <v>00722398</v>
      </c>
    </row>
    <row r="14796" spans="1:2" x14ac:dyDescent="0.25">
      <c r="A14796" s="2">
        <v>14791</v>
      </c>
      <c r="B14796" s="3" t="str">
        <f>"00722441"</f>
        <v>00722441</v>
      </c>
    </row>
    <row r="14797" spans="1:2" x14ac:dyDescent="0.25">
      <c r="A14797" s="2">
        <v>14792</v>
      </c>
      <c r="B14797" s="3" t="str">
        <f>"00722485"</f>
        <v>00722485</v>
      </c>
    </row>
    <row r="14798" spans="1:2" x14ac:dyDescent="0.25">
      <c r="A14798" s="2">
        <v>14793</v>
      </c>
      <c r="B14798" s="3" t="str">
        <f>"00722557"</f>
        <v>00722557</v>
      </c>
    </row>
    <row r="14799" spans="1:2" x14ac:dyDescent="0.25">
      <c r="A14799" s="2">
        <v>14794</v>
      </c>
      <c r="B14799" s="3" t="str">
        <f>"00722561"</f>
        <v>00722561</v>
      </c>
    </row>
    <row r="14800" spans="1:2" x14ac:dyDescent="0.25">
      <c r="A14800" s="2">
        <v>14795</v>
      </c>
      <c r="B14800" s="3" t="str">
        <f>"00722667"</f>
        <v>00722667</v>
      </c>
    </row>
    <row r="14801" spans="1:2" x14ac:dyDescent="0.25">
      <c r="A14801" s="2">
        <v>14796</v>
      </c>
      <c r="B14801" s="3" t="str">
        <f>"00722674"</f>
        <v>00722674</v>
      </c>
    </row>
    <row r="14802" spans="1:2" x14ac:dyDescent="0.25">
      <c r="A14802" s="2">
        <v>14797</v>
      </c>
      <c r="B14802" s="3" t="str">
        <f>"00722752"</f>
        <v>00722752</v>
      </c>
    </row>
    <row r="14803" spans="1:2" x14ac:dyDescent="0.25">
      <c r="A14803" s="2">
        <v>14798</v>
      </c>
      <c r="B14803" s="3" t="str">
        <f>"00722819"</f>
        <v>00722819</v>
      </c>
    </row>
    <row r="14804" spans="1:2" x14ac:dyDescent="0.25">
      <c r="A14804" s="2">
        <v>14799</v>
      </c>
      <c r="B14804" s="3" t="str">
        <f>"00722861"</f>
        <v>00722861</v>
      </c>
    </row>
    <row r="14805" spans="1:2" x14ac:dyDescent="0.25">
      <c r="A14805" s="2">
        <v>14800</v>
      </c>
      <c r="B14805" s="3" t="str">
        <f>"00722871"</f>
        <v>00722871</v>
      </c>
    </row>
    <row r="14806" spans="1:2" x14ac:dyDescent="0.25">
      <c r="A14806" s="2">
        <v>14801</v>
      </c>
      <c r="B14806" s="3" t="str">
        <f>"00722891"</f>
        <v>00722891</v>
      </c>
    </row>
    <row r="14807" spans="1:2" x14ac:dyDescent="0.25">
      <c r="A14807" s="2">
        <v>14802</v>
      </c>
      <c r="B14807" s="3" t="str">
        <f>"00722985"</f>
        <v>00722985</v>
      </c>
    </row>
    <row r="14808" spans="1:2" x14ac:dyDescent="0.25">
      <c r="A14808" s="2">
        <v>14803</v>
      </c>
      <c r="B14808" s="3" t="str">
        <f>"00723035"</f>
        <v>00723035</v>
      </c>
    </row>
    <row r="14809" spans="1:2" x14ac:dyDescent="0.25">
      <c r="A14809" s="2">
        <v>14804</v>
      </c>
      <c r="B14809" s="3" t="str">
        <f>"00723041"</f>
        <v>00723041</v>
      </c>
    </row>
    <row r="14810" spans="1:2" x14ac:dyDescent="0.25">
      <c r="A14810" s="2">
        <v>14805</v>
      </c>
      <c r="B14810" s="3" t="str">
        <f>"00723110"</f>
        <v>00723110</v>
      </c>
    </row>
    <row r="14811" spans="1:2" x14ac:dyDescent="0.25">
      <c r="A14811" s="2">
        <v>14806</v>
      </c>
      <c r="B14811" s="3" t="str">
        <f>"00723147"</f>
        <v>00723147</v>
      </c>
    </row>
    <row r="14812" spans="1:2" x14ac:dyDescent="0.25">
      <c r="A14812" s="2">
        <v>14807</v>
      </c>
      <c r="B14812" s="3" t="str">
        <f>"00723151"</f>
        <v>00723151</v>
      </c>
    </row>
    <row r="14813" spans="1:2" x14ac:dyDescent="0.25">
      <c r="A14813" s="2">
        <v>14808</v>
      </c>
      <c r="B14813" s="3" t="str">
        <f>"00723177"</f>
        <v>00723177</v>
      </c>
    </row>
    <row r="14814" spans="1:2" x14ac:dyDescent="0.25">
      <c r="A14814" s="2">
        <v>14809</v>
      </c>
      <c r="B14814" s="3" t="str">
        <f>"00723185"</f>
        <v>00723185</v>
      </c>
    </row>
    <row r="14815" spans="1:2" x14ac:dyDescent="0.25">
      <c r="A14815" s="2">
        <v>14810</v>
      </c>
      <c r="B14815" s="3" t="str">
        <f>"00723200"</f>
        <v>00723200</v>
      </c>
    </row>
    <row r="14816" spans="1:2" x14ac:dyDescent="0.25">
      <c r="A14816" s="2">
        <v>14811</v>
      </c>
      <c r="B14816" s="3" t="str">
        <f>"00723203"</f>
        <v>00723203</v>
      </c>
    </row>
    <row r="14817" spans="1:2" x14ac:dyDescent="0.25">
      <c r="A14817" s="2">
        <v>14812</v>
      </c>
      <c r="B14817" s="3" t="str">
        <f>"00723212"</f>
        <v>00723212</v>
      </c>
    </row>
    <row r="14818" spans="1:2" x14ac:dyDescent="0.25">
      <c r="A14818" s="2">
        <v>14813</v>
      </c>
      <c r="B14818" s="3" t="str">
        <f>"00723307"</f>
        <v>00723307</v>
      </c>
    </row>
    <row r="14819" spans="1:2" x14ac:dyDescent="0.25">
      <c r="A14819" s="2">
        <v>14814</v>
      </c>
      <c r="B14819" s="3" t="str">
        <f>"00723320"</f>
        <v>00723320</v>
      </c>
    </row>
    <row r="14820" spans="1:2" x14ac:dyDescent="0.25">
      <c r="A14820" s="2">
        <v>14815</v>
      </c>
      <c r="B14820" s="3" t="str">
        <f>"00723322"</f>
        <v>00723322</v>
      </c>
    </row>
    <row r="14821" spans="1:2" x14ac:dyDescent="0.25">
      <c r="A14821" s="2">
        <v>14816</v>
      </c>
      <c r="B14821" s="3" t="str">
        <f>"00723354"</f>
        <v>00723354</v>
      </c>
    </row>
    <row r="14822" spans="1:2" x14ac:dyDescent="0.25">
      <c r="A14822" s="2">
        <v>14817</v>
      </c>
      <c r="B14822" s="3" t="str">
        <f>"00723364"</f>
        <v>00723364</v>
      </c>
    </row>
    <row r="14823" spans="1:2" x14ac:dyDescent="0.25">
      <c r="A14823" s="2">
        <v>14818</v>
      </c>
      <c r="B14823" s="3" t="str">
        <f>"00723370"</f>
        <v>00723370</v>
      </c>
    </row>
    <row r="14824" spans="1:2" x14ac:dyDescent="0.25">
      <c r="A14824" s="2">
        <v>14819</v>
      </c>
      <c r="B14824" s="3" t="str">
        <f>"00723455"</f>
        <v>00723455</v>
      </c>
    </row>
    <row r="14825" spans="1:2" x14ac:dyDescent="0.25">
      <c r="A14825" s="2">
        <v>14820</v>
      </c>
      <c r="B14825" s="3" t="str">
        <f>"00723480"</f>
        <v>00723480</v>
      </c>
    </row>
    <row r="14826" spans="1:2" x14ac:dyDescent="0.25">
      <c r="A14826" s="2">
        <v>14821</v>
      </c>
      <c r="B14826" s="3" t="str">
        <f>"00723484"</f>
        <v>00723484</v>
      </c>
    </row>
    <row r="14827" spans="1:2" x14ac:dyDescent="0.25">
      <c r="A14827" s="2">
        <v>14822</v>
      </c>
      <c r="B14827" s="3" t="str">
        <f>"00723726"</f>
        <v>00723726</v>
      </c>
    </row>
    <row r="14828" spans="1:2" x14ac:dyDescent="0.25">
      <c r="A14828" s="2">
        <v>14823</v>
      </c>
      <c r="B14828" s="3" t="str">
        <f>"00723799"</f>
        <v>00723799</v>
      </c>
    </row>
    <row r="14829" spans="1:2" x14ac:dyDescent="0.25">
      <c r="A14829" s="2">
        <v>14824</v>
      </c>
      <c r="B14829" s="3" t="str">
        <f>"00723802"</f>
        <v>00723802</v>
      </c>
    </row>
    <row r="14830" spans="1:2" x14ac:dyDescent="0.25">
      <c r="A14830" s="2">
        <v>14825</v>
      </c>
      <c r="B14830" s="3" t="str">
        <f>"00723837"</f>
        <v>00723837</v>
      </c>
    </row>
    <row r="14831" spans="1:2" x14ac:dyDescent="0.25">
      <c r="A14831" s="2">
        <v>14826</v>
      </c>
      <c r="B14831" s="3" t="str">
        <f>"00723914"</f>
        <v>00723914</v>
      </c>
    </row>
    <row r="14832" spans="1:2" x14ac:dyDescent="0.25">
      <c r="A14832" s="2">
        <v>14827</v>
      </c>
      <c r="B14832" s="3" t="str">
        <f>"00723938"</f>
        <v>00723938</v>
      </c>
    </row>
    <row r="14833" spans="1:2" x14ac:dyDescent="0.25">
      <c r="A14833" s="2">
        <v>14828</v>
      </c>
      <c r="B14833" s="3" t="str">
        <f>"00723940"</f>
        <v>00723940</v>
      </c>
    </row>
    <row r="14834" spans="1:2" x14ac:dyDescent="0.25">
      <c r="A14834" s="2">
        <v>14829</v>
      </c>
      <c r="B14834" s="3" t="str">
        <f>"00723987"</f>
        <v>00723987</v>
      </c>
    </row>
    <row r="14835" spans="1:2" x14ac:dyDescent="0.25">
      <c r="A14835" s="2">
        <v>14830</v>
      </c>
      <c r="B14835" s="3" t="str">
        <f>"00724033"</f>
        <v>00724033</v>
      </c>
    </row>
    <row r="14836" spans="1:2" x14ac:dyDescent="0.25">
      <c r="A14836" s="2">
        <v>14831</v>
      </c>
      <c r="B14836" s="3" t="str">
        <f>"00724037"</f>
        <v>00724037</v>
      </c>
    </row>
    <row r="14837" spans="1:2" x14ac:dyDescent="0.25">
      <c r="A14837" s="2">
        <v>14832</v>
      </c>
      <c r="B14837" s="3" t="str">
        <f>"00724051"</f>
        <v>00724051</v>
      </c>
    </row>
    <row r="14838" spans="1:2" x14ac:dyDescent="0.25">
      <c r="A14838" s="2">
        <v>14833</v>
      </c>
      <c r="B14838" s="3" t="str">
        <f>"00724091"</f>
        <v>00724091</v>
      </c>
    </row>
    <row r="14839" spans="1:2" x14ac:dyDescent="0.25">
      <c r="A14839" s="2">
        <v>14834</v>
      </c>
      <c r="B14839" s="3" t="str">
        <f>"00724147"</f>
        <v>00724147</v>
      </c>
    </row>
    <row r="14840" spans="1:2" x14ac:dyDescent="0.25">
      <c r="A14840" s="2">
        <v>14835</v>
      </c>
      <c r="B14840" s="3" t="str">
        <f>"00724189"</f>
        <v>00724189</v>
      </c>
    </row>
    <row r="14841" spans="1:2" x14ac:dyDescent="0.25">
      <c r="A14841" s="2">
        <v>14836</v>
      </c>
      <c r="B14841" s="3" t="str">
        <f>"00724213"</f>
        <v>00724213</v>
      </c>
    </row>
    <row r="14842" spans="1:2" x14ac:dyDescent="0.25">
      <c r="A14842" s="2">
        <v>14837</v>
      </c>
      <c r="B14842" s="3" t="str">
        <f>"00724253"</f>
        <v>00724253</v>
      </c>
    </row>
    <row r="14843" spans="1:2" x14ac:dyDescent="0.25">
      <c r="A14843" s="2">
        <v>14838</v>
      </c>
      <c r="B14843" s="3" t="str">
        <f>"00724271"</f>
        <v>00724271</v>
      </c>
    </row>
    <row r="14844" spans="1:2" x14ac:dyDescent="0.25">
      <c r="A14844" s="2">
        <v>14839</v>
      </c>
      <c r="B14844" s="3" t="str">
        <f>"00724294"</f>
        <v>00724294</v>
      </c>
    </row>
    <row r="14845" spans="1:2" x14ac:dyDescent="0.25">
      <c r="A14845" s="2">
        <v>14840</v>
      </c>
      <c r="B14845" s="3" t="str">
        <f>"00724297"</f>
        <v>00724297</v>
      </c>
    </row>
    <row r="14846" spans="1:2" x14ac:dyDescent="0.25">
      <c r="A14846" s="2">
        <v>14841</v>
      </c>
      <c r="B14846" s="3" t="str">
        <f>"00724386"</f>
        <v>00724386</v>
      </c>
    </row>
    <row r="14847" spans="1:2" x14ac:dyDescent="0.25">
      <c r="A14847" s="2">
        <v>14842</v>
      </c>
      <c r="B14847" s="3" t="str">
        <f>"00724410"</f>
        <v>00724410</v>
      </c>
    </row>
    <row r="14848" spans="1:2" x14ac:dyDescent="0.25">
      <c r="A14848" s="2">
        <v>14843</v>
      </c>
      <c r="B14848" s="3" t="str">
        <f>"00724429"</f>
        <v>00724429</v>
      </c>
    </row>
    <row r="14849" spans="1:2" x14ac:dyDescent="0.25">
      <c r="A14849" s="2">
        <v>14844</v>
      </c>
      <c r="B14849" s="3" t="str">
        <f>"00724462"</f>
        <v>00724462</v>
      </c>
    </row>
    <row r="14850" spans="1:2" x14ac:dyDescent="0.25">
      <c r="A14850" s="2">
        <v>14845</v>
      </c>
      <c r="B14850" s="3" t="str">
        <f>"00724472"</f>
        <v>00724472</v>
      </c>
    </row>
    <row r="14851" spans="1:2" x14ac:dyDescent="0.25">
      <c r="A14851" s="2">
        <v>14846</v>
      </c>
      <c r="B14851" s="3" t="str">
        <f>"00724501"</f>
        <v>00724501</v>
      </c>
    </row>
    <row r="14852" spans="1:2" x14ac:dyDescent="0.25">
      <c r="A14852" s="2">
        <v>14847</v>
      </c>
      <c r="B14852" s="3" t="str">
        <f>"00724506"</f>
        <v>00724506</v>
      </c>
    </row>
    <row r="14853" spans="1:2" x14ac:dyDescent="0.25">
      <c r="A14853" s="2">
        <v>14848</v>
      </c>
      <c r="B14853" s="3" t="str">
        <f>"00724535"</f>
        <v>00724535</v>
      </c>
    </row>
    <row r="14854" spans="1:2" x14ac:dyDescent="0.25">
      <c r="A14854" s="2">
        <v>14849</v>
      </c>
      <c r="B14854" s="3" t="str">
        <f>"00724549"</f>
        <v>00724549</v>
      </c>
    </row>
    <row r="14855" spans="1:2" x14ac:dyDescent="0.25">
      <c r="A14855" s="2">
        <v>14850</v>
      </c>
      <c r="B14855" s="3" t="str">
        <f>"00724578"</f>
        <v>00724578</v>
      </c>
    </row>
    <row r="14856" spans="1:2" x14ac:dyDescent="0.25">
      <c r="A14856" s="2">
        <v>14851</v>
      </c>
      <c r="B14856" s="3" t="str">
        <f>"00724580"</f>
        <v>00724580</v>
      </c>
    </row>
    <row r="14857" spans="1:2" x14ac:dyDescent="0.25">
      <c r="A14857" s="2">
        <v>14852</v>
      </c>
      <c r="B14857" s="3" t="str">
        <f>"00724600"</f>
        <v>00724600</v>
      </c>
    </row>
    <row r="14858" spans="1:2" x14ac:dyDescent="0.25">
      <c r="A14858" s="2">
        <v>14853</v>
      </c>
      <c r="B14858" s="3" t="str">
        <f>"00724617"</f>
        <v>00724617</v>
      </c>
    </row>
    <row r="14859" spans="1:2" x14ac:dyDescent="0.25">
      <c r="A14859" s="2">
        <v>14854</v>
      </c>
      <c r="B14859" s="3" t="str">
        <f>"00724650"</f>
        <v>00724650</v>
      </c>
    </row>
    <row r="14860" spans="1:2" x14ac:dyDescent="0.25">
      <c r="A14860" s="2">
        <v>14855</v>
      </c>
      <c r="B14860" s="3" t="str">
        <f>"00724731"</f>
        <v>00724731</v>
      </c>
    </row>
    <row r="14861" spans="1:2" x14ac:dyDescent="0.25">
      <c r="A14861" s="2">
        <v>14856</v>
      </c>
      <c r="B14861" s="3" t="str">
        <f>"00724751"</f>
        <v>00724751</v>
      </c>
    </row>
    <row r="14862" spans="1:2" x14ac:dyDescent="0.25">
      <c r="A14862" s="2">
        <v>14857</v>
      </c>
      <c r="B14862" s="3" t="str">
        <f>"00724756"</f>
        <v>00724756</v>
      </c>
    </row>
    <row r="14863" spans="1:2" x14ac:dyDescent="0.25">
      <c r="A14863" s="2">
        <v>14858</v>
      </c>
      <c r="B14863" s="3" t="str">
        <f>"00724773"</f>
        <v>00724773</v>
      </c>
    </row>
    <row r="14864" spans="1:2" x14ac:dyDescent="0.25">
      <c r="A14864" s="2">
        <v>14859</v>
      </c>
      <c r="B14864" s="3" t="str">
        <f>"00724889"</f>
        <v>00724889</v>
      </c>
    </row>
    <row r="14865" spans="1:2" x14ac:dyDescent="0.25">
      <c r="A14865" s="2">
        <v>14860</v>
      </c>
      <c r="B14865" s="3" t="str">
        <f>"00724923"</f>
        <v>00724923</v>
      </c>
    </row>
    <row r="14866" spans="1:2" x14ac:dyDescent="0.25">
      <c r="A14866" s="2">
        <v>14861</v>
      </c>
      <c r="B14866" s="3" t="str">
        <f>"00724968"</f>
        <v>00724968</v>
      </c>
    </row>
    <row r="14867" spans="1:2" x14ac:dyDescent="0.25">
      <c r="A14867" s="2">
        <v>14862</v>
      </c>
      <c r="B14867" s="3" t="str">
        <f>"00724978"</f>
        <v>00724978</v>
      </c>
    </row>
    <row r="14868" spans="1:2" x14ac:dyDescent="0.25">
      <c r="A14868" s="2">
        <v>14863</v>
      </c>
      <c r="B14868" s="3" t="str">
        <f>"00724991"</f>
        <v>00724991</v>
      </c>
    </row>
    <row r="14869" spans="1:2" x14ac:dyDescent="0.25">
      <c r="A14869" s="2">
        <v>14864</v>
      </c>
      <c r="B14869" s="3" t="str">
        <f>"00725003"</f>
        <v>00725003</v>
      </c>
    </row>
    <row r="14870" spans="1:2" x14ac:dyDescent="0.25">
      <c r="A14870" s="2">
        <v>14865</v>
      </c>
      <c r="B14870" s="3" t="str">
        <f>"00725049"</f>
        <v>00725049</v>
      </c>
    </row>
    <row r="14871" spans="1:2" x14ac:dyDescent="0.25">
      <c r="A14871" s="2">
        <v>14866</v>
      </c>
      <c r="B14871" s="3" t="str">
        <f>"00725051"</f>
        <v>00725051</v>
      </c>
    </row>
    <row r="14872" spans="1:2" x14ac:dyDescent="0.25">
      <c r="A14872" s="2">
        <v>14867</v>
      </c>
      <c r="B14872" s="3" t="str">
        <f>"00725102"</f>
        <v>00725102</v>
      </c>
    </row>
    <row r="14873" spans="1:2" x14ac:dyDescent="0.25">
      <c r="A14873" s="2">
        <v>14868</v>
      </c>
      <c r="B14873" s="3" t="str">
        <f>"00725123"</f>
        <v>00725123</v>
      </c>
    </row>
    <row r="14874" spans="1:2" x14ac:dyDescent="0.25">
      <c r="A14874" s="2">
        <v>14869</v>
      </c>
      <c r="B14874" s="3" t="str">
        <f>"00725141"</f>
        <v>00725141</v>
      </c>
    </row>
    <row r="14875" spans="1:2" x14ac:dyDescent="0.25">
      <c r="A14875" s="2">
        <v>14870</v>
      </c>
      <c r="B14875" s="3" t="str">
        <f>"00725142"</f>
        <v>00725142</v>
      </c>
    </row>
    <row r="14876" spans="1:2" x14ac:dyDescent="0.25">
      <c r="A14876" s="2">
        <v>14871</v>
      </c>
      <c r="B14876" s="3" t="str">
        <f>"00725175"</f>
        <v>00725175</v>
      </c>
    </row>
    <row r="14877" spans="1:2" x14ac:dyDescent="0.25">
      <c r="A14877" s="2">
        <v>14872</v>
      </c>
      <c r="B14877" s="3" t="str">
        <f>"00725226"</f>
        <v>00725226</v>
      </c>
    </row>
    <row r="14878" spans="1:2" x14ac:dyDescent="0.25">
      <c r="A14878" s="2">
        <v>14873</v>
      </c>
      <c r="B14878" s="3" t="str">
        <f>"00725345"</f>
        <v>00725345</v>
      </c>
    </row>
    <row r="14879" spans="1:2" x14ac:dyDescent="0.25">
      <c r="A14879" s="2">
        <v>14874</v>
      </c>
      <c r="B14879" s="3" t="str">
        <f>"00725362"</f>
        <v>00725362</v>
      </c>
    </row>
    <row r="14880" spans="1:2" x14ac:dyDescent="0.25">
      <c r="A14880" s="2">
        <v>14875</v>
      </c>
      <c r="B14880" s="3" t="str">
        <f>"00725545"</f>
        <v>00725545</v>
      </c>
    </row>
    <row r="14881" spans="1:2" x14ac:dyDescent="0.25">
      <c r="A14881" s="2">
        <v>14876</v>
      </c>
      <c r="B14881" s="3" t="str">
        <f>"00725654"</f>
        <v>00725654</v>
      </c>
    </row>
    <row r="14882" spans="1:2" x14ac:dyDescent="0.25">
      <c r="A14882" s="2">
        <v>14877</v>
      </c>
      <c r="B14882" s="3" t="str">
        <f>"00725676"</f>
        <v>00725676</v>
      </c>
    </row>
    <row r="14883" spans="1:2" x14ac:dyDescent="0.25">
      <c r="A14883" s="2">
        <v>14878</v>
      </c>
      <c r="B14883" s="3" t="str">
        <f>"00725718"</f>
        <v>00725718</v>
      </c>
    </row>
    <row r="14884" spans="1:2" x14ac:dyDescent="0.25">
      <c r="A14884" s="2">
        <v>14879</v>
      </c>
      <c r="B14884" s="3" t="str">
        <f>"00725744"</f>
        <v>00725744</v>
      </c>
    </row>
    <row r="14885" spans="1:2" x14ac:dyDescent="0.25">
      <c r="A14885" s="2">
        <v>14880</v>
      </c>
      <c r="B14885" s="3" t="str">
        <f>"00725754"</f>
        <v>00725754</v>
      </c>
    </row>
    <row r="14886" spans="1:2" x14ac:dyDescent="0.25">
      <c r="A14886" s="2">
        <v>14881</v>
      </c>
      <c r="B14886" s="3" t="str">
        <f>"00725872"</f>
        <v>00725872</v>
      </c>
    </row>
    <row r="14887" spans="1:2" x14ac:dyDescent="0.25">
      <c r="A14887" s="2">
        <v>14882</v>
      </c>
      <c r="B14887" s="3" t="str">
        <f>"00725876"</f>
        <v>00725876</v>
      </c>
    </row>
    <row r="14888" spans="1:2" x14ac:dyDescent="0.25">
      <c r="A14888" s="2">
        <v>14883</v>
      </c>
      <c r="B14888" s="3" t="str">
        <f>"00725883"</f>
        <v>00725883</v>
      </c>
    </row>
    <row r="14889" spans="1:2" x14ac:dyDescent="0.25">
      <c r="A14889" s="2">
        <v>14884</v>
      </c>
      <c r="B14889" s="3" t="str">
        <f>"00725907"</f>
        <v>00725907</v>
      </c>
    </row>
    <row r="14890" spans="1:2" x14ac:dyDescent="0.25">
      <c r="A14890" s="2">
        <v>14885</v>
      </c>
      <c r="B14890" s="3" t="str">
        <f>"00725911"</f>
        <v>00725911</v>
      </c>
    </row>
    <row r="14891" spans="1:2" x14ac:dyDescent="0.25">
      <c r="A14891" s="2">
        <v>14886</v>
      </c>
      <c r="B14891" s="3" t="str">
        <f>"00726017"</f>
        <v>00726017</v>
      </c>
    </row>
    <row r="14892" spans="1:2" x14ac:dyDescent="0.25">
      <c r="A14892" s="2">
        <v>14887</v>
      </c>
      <c r="B14892" s="3" t="str">
        <f>"00726038"</f>
        <v>00726038</v>
      </c>
    </row>
    <row r="14893" spans="1:2" x14ac:dyDescent="0.25">
      <c r="A14893" s="2">
        <v>14888</v>
      </c>
      <c r="B14893" s="3" t="str">
        <f>"00726100"</f>
        <v>00726100</v>
      </c>
    </row>
    <row r="14894" spans="1:2" x14ac:dyDescent="0.25">
      <c r="A14894" s="2">
        <v>14889</v>
      </c>
      <c r="B14894" s="3" t="str">
        <f>"00726118"</f>
        <v>00726118</v>
      </c>
    </row>
    <row r="14895" spans="1:2" x14ac:dyDescent="0.25">
      <c r="A14895" s="2">
        <v>14890</v>
      </c>
      <c r="B14895" s="3" t="str">
        <f>"00726333"</f>
        <v>00726333</v>
      </c>
    </row>
    <row r="14896" spans="1:2" x14ac:dyDescent="0.25">
      <c r="A14896" s="2">
        <v>14891</v>
      </c>
      <c r="B14896" s="3" t="str">
        <f>"00726378"</f>
        <v>00726378</v>
      </c>
    </row>
    <row r="14897" spans="1:2" x14ac:dyDescent="0.25">
      <c r="A14897" s="2">
        <v>14892</v>
      </c>
      <c r="B14897" s="3" t="str">
        <f>"00726385"</f>
        <v>00726385</v>
      </c>
    </row>
    <row r="14898" spans="1:2" x14ac:dyDescent="0.25">
      <c r="A14898" s="2">
        <v>14893</v>
      </c>
      <c r="B14898" s="3" t="str">
        <f>"00726399"</f>
        <v>00726399</v>
      </c>
    </row>
    <row r="14899" spans="1:2" x14ac:dyDescent="0.25">
      <c r="A14899" s="2">
        <v>14894</v>
      </c>
      <c r="B14899" s="3" t="str">
        <f>"00726448"</f>
        <v>00726448</v>
      </c>
    </row>
    <row r="14900" spans="1:2" x14ac:dyDescent="0.25">
      <c r="A14900" s="2">
        <v>14895</v>
      </c>
      <c r="B14900" s="3" t="str">
        <f>"00726478"</f>
        <v>00726478</v>
      </c>
    </row>
    <row r="14901" spans="1:2" x14ac:dyDescent="0.25">
      <c r="A14901" s="2">
        <v>14896</v>
      </c>
      <c r="B14901" s="3" t="str">
        <f>"00726643"</f>
        <v>00726643</v>
      </c>
    </row>
    <row r="14902" spans="1:2" x14ac:dyDescent="0.25">
      <c r="A14902" s="2">
        <v>14897</v>
      </c>
      <c r="B14902" s="3" t="str">
        <f>"00726672"</f>
        <v>00726672</v>
      </c>
    </row>
    <row r="14903" spans="1:2" x14ac:dyDescent="0.25">
      <c r="A14903" s="2">
        <v>14898</v>
      </c>
      <c r="B14903" s="3" t="str">
        <f>"00726698"</f>
        <v>00726698</v>
      </c>
    </row>
    <row r="14904" spans="1:2" x14ac:dyDescent="0.25">
      <c r="A14904" s="2">
        <v>14899</v>
      </c>
      <c r="B14904" s="3" t="str">
        <f>"00726700"</f>
        <v>00726700</v>
      </c>
    </row>
    <row r="14905" spans="1:2" x14ac:dyDescent="0.25">
      <c r="A14905" s="2">
        <v>14900</v>
      </c>
      <c r="B14905" s="3" t="str">
        <f>"00726709"</f>
        <v>00726709</v>
      </c>
    </row>
    <row r="14906" spans="1:2" x14ac:dyDescent="0.25">
      <c r="A14906" s="2">
        <v>14901</v>
      </c>
      <c r="B14906" s="3" t="str">
        <f>"00726714"</f>
        <v>00726714</v>
      </c>
    </row>
    <row r="14907" spans="1:2" x14ac:dyDescent="0.25">
      <c r="A14907" s="2">
        <v>14902</v>
      </c>
      <c r="B14907" s="3" t="str">
        <f>"00726721"</f>
        <v>00726721</v>
      </c>
    </row>
    <row r="14908" spans="1:2" x14ac:dyDescent="0.25">
      <c r="A14908" s="2">
        <v>14903</v>
      </c>
      <c r="B14908" s="3" t="str">
        <f>"00726725"</f>
        <v>00726725</v>
      </c>
    </row>
    <row r="14909" spans="1:2" x14ac:dyDescent="0.25">
      <c r="A14909" s="2">
        <v>14904</v>
      </c>
      <c r="B14909" s="3" t="str">
        <f>"00726816"</f>
        <v>00726816</v>
      </c>
    </row>
    <row r="14910" spans="1:2" x14ac:dyDescent="0.25">
      <c r="A14910" s="2">
        <v>14905</v>
      </c>
      <c r="B14910" s="3" t="str">
        <f>"00726823"</f>
        <v>00726823</v>
      </c>
    </row>
    <row r="14911" spans="1:2" x14ac:dyDescent="0.25">
      <c r="A14911" s="2">
        <v>14906</v>
      </c>
      <c r="B14911" s="3" t="str">
        <f>"00726856"</f>
        <v>00726856</v>
      </c>
    </row>
    <row r="14912" spans="1:2" x14ac:dyDescent="0.25">
      <c r="A14912" s="2">
        <v>14907</v>
      </c>
      <c r="B14912" s="3" t="str">
        <f>"00726865"</f>
        <v>00726865</v>
      </c>
    </row>
    <row r="14913" spans="1:2" x14ac:dyDescent="0.25">
      <c r="A14913" s="2">
        <v>14908</v>
      </c>
      <c r="B14913" s="3" t="str">
        <f>"00726900"</f>
        <v>00726900</v>
      </c>
    </row>
    <row r="14914" spans="1:2" x14ac:dyDescent="0.25">
      <c r="A14914" s="2">
        <v>14909</v>
      </c>
      <c r="B14914" s="3" t="str">
        <f>"00727123"</f>
        <v>00727123</v>
      </c>
    </row>
    <row r="14915" spans="1:2" x14ac:dyDescent="0.25">
      <c r="A14915" s="2">
        <v>14910</v>
      </c>
      <c r="B14915" s="3" t="str">
        <f>"00727136"</f>
        <v>00727136</v>
      </c>
    </row>
    <row r="14916" spans="1:2" x14ac:dyDescent="0.25">
      <c r="A14916" s="2">
        <v>14911</v>
      </c>
      <c r="B14916" s="3" t="str">
        <f>"00727198"</f>
        <v>00727198</v>
      </c>
    </row>
    <row r="14917" spans="1:2" x14ac:dyDescent="0.25">
      <c r="A14917" s="2">
        <v>14912</v>
      </c>
      <c r="B14917" s="3" t="str">
        <f>"00727383"</f>
        <v>00727383</v>
      </c>
    </row>
    <row r="14918" spans="1:2" x14ac:dyDescent="0.25">
      <c r="A14918" s="2">
        <v>14913</v>
      </c>
      <c r="B14918" s="3" t="str">
        <f>"00727400"</f>
        <v>00727400</v>
      </c>
    </row>
    <row r="14919" spans="1:2" x14ac:dyDescent="0.25">
      <c r="A14919" s="2">
        <v>14914</v>
      </c>
      <c r="B14919" s="3" t="str">
        <f>"00727475"</f>
        <v>00727475</v>
      </c>
    </row>
    <row r="14920" spans="1:2" x14ac:dyDescent="0.25">
      <c r="A14920" s="2">
        <v>14915</v>
      </c>
      <c r="B14920" s="3" t="str">
        <f>"00727501"</f>
        <v>00727501</v>
      </c>
    </row>
    <row r="14921" spans="1:2" x14ac:dyDescent="0.25">
      <c r="A14921" s="2">
        <v>14916</v>
      </c>
      <c r="B14921" s="3" t="str">
        <f>"00727509"</f>
        <v>00727509</v>
      </c>
    </row>
    <row r="14922" spans="1:2" x14ac:dyDescent="0.25">
      <c r="A14922" s="2">
        <v>14917</v>
      </c>
      <c r="B14922" s="3" t="str">
        <f>"00727516"</f>
        <v>00727516</v>
      </c>
    </row>
    <row r="14923" spans="1:2" x14ac:dyDescent="0.25">
      <c r="A14923" s="2">
        <v>14918</v>
      </c>
      <c r="B14923" s="3" t="str">
        <f>"00727574"</f>
        <v>00727574</v>
      </c>
    </row>
    <row r="14924" spans="1:2" x14ac:dyDescent="0.25">
      <c r="A14924" s="2">
        <v>14919</v>
      </c>
      <c r="B14924" s="3" t="str">
        <f>"00727667"</f>
        <v>00727667</v>
      </c>
    </row>
    <row r="14925" spans="1:2" x14ac:dyDescent="0.25">
      <c r="A14925" s="2">
        <v>14920</v>
      </c>
      <c r="B14925" s="3" t="str">
        <f>"00727670"</f>
        <v>00727670</v>
      </c>
    </row>
    <row r="14926" spans="1:2" x14ac:dyDescent="0.25">
      <c r="A14926" s="2">
        <v>14921</v>
      </c>
      <c r="B14926" s="3" t="str">
        <f>"00727679"</f>
        <v>00727679</v>
      </c>
    </row>
    <row r="14927" spans="1:2" x14ac:dyDescent="0.25">
      <c r="A14927" s="2">
        <v>14922</v>
      </c>
      <c r="B14927" s="3" t="str">
        <f>"00727685"</f>
        <v>00727685</v>
      </c>
    </row>
    <row r="14928" spans="1:2" x14ac:dyDescent="0.25">
      <c r="A14928" s="2">
        <v>14923</v>
      </c>
      <c r="B14928" s="3" t="str">
        <f>"00727742"</f>
        <v>00727742</v>
      </c>
    </row>
    <row r="14929" spans="1:2" x14ac:dyDescent="0.25">
      <c r="A14929" s="2">
        <v>14924</v>
      </c>
      <c r="B14929" s="3" t="str">
        <f>"00727759"</f>
        <v>00727759</v>
      </c>
    </row>
    <row r="14930" spans="1:2" x14ac:dyDescent="0.25">
      <c r="A14930" s="2">
        <v>14925</v>
      </c>
      <c r="B14930" s="3" t="str">
        <f>"00727795"</f>
        <v>00727795</v>
      </c>
    </row>
    <row r="14931" spans="1:2" x14ac:dyDescent="0.25">
      <c r="A14931" s="2">
        <v>14926</v>
      </c>
      <c r="B14931" s="3" t="str">
        <f>"00727797"</f>
        <v>00727797</v>
      </c>
    </row>
    <row r="14932" spans="1:2" x14ac:dyDescent="0.25">
      <c r="A14932" s="2">
        <v>14927</v>
      </c>
      <c r="B14932" s="3" t="str">
        <f>"00727828"</f>
        <v>00727828</v>
      </c>
    </row>
    <row r="14933" spans="1:2" x14ac:dyDescent="0.25">
      <c r="A14933" s="2">
        <v>14928</v>
      </c>
      <c r="B14933" s="3" t="str">
        <f>"00727840"</f>
        <v>00727840</v>
      </c>
    </row>
    <row r="14934" spans="1:2" x14ac:dyDescent="0.25">
      <c r="A14934" s="2">
        <v>14929</v>
      </c>
      <c r="B14934" s="3" t="str">
        <f>"00727868"</f>
        <v>00727868</v>
      </c>
    </row>
    <row r="14935" spans="1:2" x14ac:dyDescent="0.25">
      <c r="A14935" s="2">
        <v>14930</v>
      </c>
      <c r="B14935" s="3" t="str">
        <f>"00727884"</f>
        <v>00727884</v>
      </c>
    </row>
    <row r="14936" spans="1:2" x14ac:dyDescent="0.25">
      <c r="A14936" s="2">
        <v>14931</v>
      </c>
      <c r="B14936" s="3" t="str">
        <f>"00727892"</f>
        <v>00727892</v>
      </c>
    </row>
    <row r="14937" spans="1:2" x14ac:dyDescent="0.25">
      <c r="A14937" s="2">
        <v>14932</v>
      </c>
      <c r="B14937" s="3" t="str">
        <f>"00727956"</f>
        <v>00727956</v>
      </c>
    </row>
    <row r="14938" spans="1:2" x14ac:dyDescent="0.25">
      <c r="A14938" s="2">
        <v>14933</v>
      </c>
      <c r="B14938" s="3" t="str">
        <f>"00728028"</f>
        <v>00728028</v>
      </c>
    </row>
    <row r="14939" spans="1:2" x14ac:dyDescent="0.25">
      <c r="A14939" s="2">
        <v>14934</v>
      </c>
      <c r="B14939" s="3" t="str">
        <f>"00728054"</f>
        <v>00728054</v>
      </c>
    </row>
    <row r="14940" spans="1:2" x14ac:dyDescent="0.25">
      <c r="A14940" s="2">
        <v>14935</v>
      </c>
      <c r="B14940" s="3" t="str">
        <f>"00728134"</f>
        <v>00728134</v>
      </c>
    </row>
    <row r="14941" spans="1:2" x14ac:dyDescent="0.25">
      <c r="A14941" s="2">
        <v>14936</v>
      </c>
      <c r="B14941" s="3" t="str">
        <f>"00728136"</f>
        <v>00728136</v>
      </c>
    </row>
    <row r="14942" spans="1:2" x14ac:dyDescent="0.25">
      <c r="A14942" s="2">
        <v>14937</v>
      </c>
      <c r="B14942" s="3" t="str">
        <f>"00728154"</f>
        <v>00728154</v>
      </c>
    </row>
    <row r="14943" spans="1:2" x14ac:dyDescent="0.25">
      <c r="A14943" s="2">
        <v>14938</v>
      </c>
      <c r="B14943" s="3" t="str">
        <f>"00728185"</f>
        <v>00728185</v>
      </c>
    </row>
    <row r="14944" spans="1:2" x14ac:dyDescent="0.25">
      <c r="A14944" s="2">
        <v>14939</v>
      </c>
      <c r="B14944" s="3" t="str">
        <f>"00728199"</f>
        <v>00728199</v>
      </c>
    </row>
    <row r="14945" spans="1:2" x14ac:dyDescent="0.25">
      <c r="A14945" s="2">
        <v>14940</v>
      </c>
      <c r="B14945" s="3" t="str">
        <f>"00728307"</f>
        <v>00728307</v>
      </c>
    </row>
    <row r="14946" spans="1:2" x14ac:dyDescent="0.25">
      <c r="A14946" s="2">
        <v>14941</v>
      </c>
      <c r="B14946" s="3" t="str">
        <f>"00728325"</f>
        <v>00728325</v>
      </c>
    </row>
    <row r="14947" spans="1:2" x14ac:dyDescent="0.25">
      <c r="A14947" s="2">
        <v>14942</v>
      </c>
      <c r="B14947" s="3" t="str">
        <f>"00728380"</f>
        <v>00728380</v>
      </c>
    </row>
    <row r="14948" spans="1:2" x14ac:dyDescent="0.25">
      <c r="A14948" s="2">
        <v>14943</v>
      </c>
      <c r="B14948" s="3" t="str">
        <f>"00728399"</f>
        <v>00728399</v>
      </c>
    </row>
    <row r="14949" spans="1:2" x14ac:dyDescent="0.25">
      <c r="A14949" s="2">
        <v>14944</v>
      </c>
      <c r="B14949" s="3" t="str">
        <f>"00728426"</f>
        <v>00728426</v>
      </c>
    </row>
    <row r="14950" spans="1:2" x14ac:dyDescent="0.25">
      <c r="A14950" s="2">
        <v>14945</v>
      </c>
      <c r="B14950" s="3" t="str">
        <f>"00728439"</f>
        <v>00728439</v>
      </c>
    </row>
    <row r="14951" spans="1:2" x14ac:dyDescent="0.25">
      <c r="A14951" s="2">
        <v>14946</v>
      </c>
      <c r="B14951" s="3" t="str">
        <f>"00728451"</f>
        <v>00728451</v>
      </c>
    </row>
    <row r="14952" spans="1:2" x14ac:dyDescent="0.25">
      <c r="A14952" s="2">
        <v>14947</v>
      </c>
      <c r="B14952" s="3" t="str">
        <f>"00728483"</f>
        <v>00728483</v>
      </c>
    </row>
    <row r="14953" spans="1:2" x14ac:dyDescent="0.25">
      <c r="A14953" s="2">
        <v>14948</v>
      </c>
      <c r="B14953" s="3" t="str">
        <f>"00728494"</f>
        <v>00728494</v>
      </c>
    </row>
    <row r="14954" spans="1:2" x14ac:dyDescent="0.25">
      <c r="A14954" s="2">
        <v>14949</v>
      </c>
      <c r="B14954" s="3" t="str">
        <f>"00728553"</f>
        <v>00728553</v>
      </c>
    </row>
    <row r="14955" spans="1:2" x14ac:dyDescent="0.25">
      <c r="A14955" s="2">
        <v>14950</v>
      </c>
      <c r="B14955" s="3" t="str">
        <f>"00728560"</f>
        <v>00728560</v>
      </c>
    </row>
    <row r="14956" spans="1:2" x14ac:dyDescent="0.25">
      <c r="A14956" s="2">
        <v>14951</v>
      </c>
      <c r="B14956" s="3" t="str">
        <f>"00728578"</f>
        <v>00728578</v>
      </c>
    </row>
    <row r="14957" spans="1:2" x14ac:dyDescent="0.25">
      <c r="A14957" s="2">
        <v>14952</v>
      </c>
      <c r="B14957" s="3" t="str">
        <f>"00728579"</f>
        <v>00728579</v>
      </c>
    </row>
    <row r="14958" spans="1:2" x14ac:dyDescent="0.25">
      <c r="A14958" s="2">
        <v>14953</v>
      </c>
      <c r="B14958" s="3" t="str">
        <f>"00728586"</f>
        <v>00728586</v>
      </c>
    </row>
    <row r="14959" spans="1:2" x14ac:dyDescent="0.25">
      <c r="A14959" s="2">
        <v>14954</v>
      </c>
      <c r="B14959" s="3" t="str">
        <f>"00728635"</f>
        <v>00728635</v>
      </c>
    </row>
    <row r="14960" spans="1:2" x14ac:dyDescent="0.25">
      <c r="A14960" s="2">
        <v>14955</v>
      </c>
      <c r="B14960" s="3" t="str">
        <f>"00728726"</f>
        <v>00728726</v>
      </c>
    </row>
    <row r="14961" spans="1:2" x14ac:dyDescent="0.25">
      <c r="A14961" s="2">
        <v>14956</v>
      </c>
      <c r="B14961" s="3" t="str">
        <f>"00728763"</f>
        <v>00728763</v>
      </c>
    </row>
    <row r="14962" spans="1:2" x14ac:dyDescent="0.25">
      <c r="A14962" s="2">
        <v>14957</v>
      </c>
      <c r="B14962" s="3" t="str">
        <f>"00728773"</f>
        <v>00728773</v>
      </c>
    </row>
    <row r="14963" spans="1:2" x14ac:dyDescent="0.25">
      <c r="A14963" s="2">
        <v>14958</v>
      </c>
      <c r="B14963" s="3" t="str">
        <f>"00728784"</f>
        <v>00728784</v>
      </c>
    </row>
    <row r="14964" spans="1:2" x14ac:dyDescent="0.25">
      <c r="A14964" s="2">
        <v>14959</v>
      </c>
      <c r="B14964" s="3" t="str">
        <f>"00728786"</f>
        <v>00728786</v>
      </c>
    </row>
    <row r="14965" spans="1:2" x14ac:dyDescent="0.25">
      <c r="A14965" s="2">
        <v>14960</v>
      </c>
      <c r="B14965" s="3" t="str">
        <f>"00728810"</f>
        <v>00728810</v>
      </c>
    </row>
    <row r="14966" spans="1:2" x14ac:dyDescent="0.25">
      <c r="A14966" s="2">
        <v>14961</v>
      </c>
      <c r="B14966" s="3" t="str">
        <f>"00728832"</f>
        <v>00728832</v>
      </c>
    </row>
    <row r="14967" spans="1:2" x14ac:dyDescent="0.25">
      <c r="A14967" s="2">
        <v>14962</v>
      </c>
      <c r="B14967" s="3" t="str">
        <f>"00728935"</f>
        <v>00728935</v>
      </c>
    </row>
    <row r="14968" spans="1:2" x14ac:dyDescent="0.25">
      <c r="A14968" s="2">
        <v>14963</v>
      </c>
      <c r="B14968" s="3" t="str">
        <f>"00728943"</f>
        <v>00728943</v>
      </c>
    </row>
    <row r="14969" spans="1:2" x14ac:dyDescent="0.25">
      <c r="A14969" s="2">
        <v>14964</v>
      </c>
      <c r="B14969" s="3" t="str">
        <f>"00728991"</f>
        <v>00728991</v>
      </c>
    </row>
    <row r="14970" spans="1:2" x14ac:dyDescent="0.25">
      <c r="A14970" s="2">
        <v>14965</v>
      </c>
      <c r="B14970" s="3" t="str">
        <f>"00728995"</f>
        <v>00728995</v>
      </c>
    </row>
    <row r="14971" spans="1:2" x14ac:dyDescent="0.25">
      <c r="A14971" s="2">
        <v>14966</v>
      </c>
      <c r="B14971" s="3" t="str">
        <f>"00729093"</f>
        <v>00729093</v>
      </c>
    </row>
    <row r="14972" spans="1:2" x14ac:dyDescent="0.25">
      <c r="A14972" s="2">
        <v>14967</v>
      </c>
      <c r="B14972" s="3" t="str">
        <f>"00729118"</f>
        <v>00729118</v>
      </c>
    </row>
    <row r="14973" spans="1:2" x14ac:dyDescent="0.25">
      <c r="A14973" s="2">
        <v>14968</v>
      </c>
      <c r="B14973" s="3" t="str">
        <f>"00729192"</f>
        <v>00729192</v>
      </c>
    </row>
    <row r="14974" spans="1:2" x14ac:dyDescent="0.25">
      <c r="A14974" s="2">
        <v>14969</v>
      </c>
      <c r="B14974" s="3" t="str">
        <f>"00729197"</f>
        <v>00729197</v>
      </c>
    </row>
    <row r="14975" spans="1:2" x14ac:dyDescent="0.25">
      <c r="A14975" s="2">
        <v>14970</v>
      </c>
      <c r="B14975" s="3" t="str">
        <f>"00729253"</f>
        <v>00729253</v>
      </c>
    </row>
    <row r="14976" spans="1:2" x14ac:dyDescent="0.25">
      <c r="A14976" s="2">
        <v>14971</v>
      </c>
      <c r="B14976" s="3" t="str">
        <f>"00729296"</f>
        <v>00729296</v>
      </c>
    </row>
    <row r="14977" spans="1:2" x14ac:dyDescent="0.25">
      <c r="A14977" s="2">
        <v>14972</v>
      </c>
      <c r="B14977" s="3" t="str">
        <f>"00729314"</f>
        <v>00729314</v>
      </c>
    </row>
    <row r="14978" spans="1:2" x14ac:dyDescent="0.25">
      <c r="A14978" s="2">
        <v>14973</v>
      </c>
      <c r="B14978" s="3" t="str">
        <f>"00729316"</f>
        <v>00729316</v>
      </c>
    </row>
    <row r="14979" spans="1:2" x14ac:dyDescent="0.25">
      <c r="A14979" s="2">
        <v>14974</v>
      </c>
      <c r="B14979" s="3" t="str">
        <f>"00729370"</f>
        <v>00729370</v>
      </c>
    </row>
    <row r="14980" spans="1:2" x14ac:dyDescent="0.25">
      <c r="A14980" s="2">
        <v>14975</v>
      </c>
      <c r="B14980" s="3" t="str">
        <f>"00729384"</f>
        <v>00729384</v>
      </c>
    </row>
    <row r="14981" spans="1:2" x14ac:dyDescent="0.25">
      <c r="A14981" s="2">
        <v>14976</v>
      </c>
      <c r="B14981" s="3" t="str">
        <f>"00729390"</f>
        <v>00729390</v>
      </c>
    </row>
    <row r="14982" spans="1:2" x14ac:dyDescent="0.25">
      <c r="A14982" s="2">
        <v>14977</v>
      </c>
      <c r="B14982" s="3" t="str">
        <f>"00729417"</f>
        <v>00729417</v>
      </c>
    </row>
    <row r="14983" spans="1:2" x14ac:dyDescent="0.25">
      <c r="A14983" s="2">
        <v>14978</v>
      </c>
      <c r="B14983" s="3" t="str">
        <f>"00729419"</f>
        <v>00729419</v>
      </c>
    </row>
    <row r="14984" spans="1:2" x14ac:dyDescent="0.25">
      <c r="A14984" s="2">
        <v>14979</v>
      </c>
      <c r="B14984" s="3" t="str">
        <f>"00729420"</f>
        <v>00729420</v>
      </c>
    </row>
    <row r="14985" spans="1:2" x14ac:dyDescent="0.25">
      <c r="A14985" s="2">
        <v>14980</v>
      </c>
      <c r="B14985" s="3" t="str">
        <f>"00729426"</f>
        <v>00729426</v>
      </c>
    </row>
    <row r="14986" spans="1:2" x14ac:dyDescent="0.25">
      <c r="A14986" s="2">
        <v>14981</v>
      </c>
      <c r="B14986" s="3" t="str">
        <f>"00729639"</f>
        <v>00729639</v>
      </c>
    </row>
    <row r="14987" spans="1:2" x14ac:dyDescent="0.25">
      <c r="A14987" s="2">
        <v>14982</v>
      </c>
      <c r="B14987" s="3" t="str">
        <f>"00729674"</f>
        <v>00729674</v>
      </c>
    </row>
    <row r="14988" spans="1:2" x14ac:dyDescent="0.25">
      <c r="A14988" s="2">
        <v>14983</v>
      </c>
      <c r="B14988" s="3" t="str">
        <f>"00729681"</f>
        <v>00729681</v>
      </c>
    </row>
    <row r="14989" spans="1:2" x14ac:dyDescent="0.25">
      <c r="A14989" s="2">
        <v>14984</v>
      </c>
      <c r="B14989" s="3" t="str">
        <f>"00729719"</f>
        <v>00729719</v>
      </c>
    </row>
    <row r="14990" spans="1:2" x14ac:dyDescent="0.25">
      <c r="A14990" s="2">
        <v>14985</v>
      </c>
      <c r="B14990" s="3" t="str">
        <f>"00729772"</f>
        <v>00729772</v>
      </c>
    </row>
    <row r="14991" spans="1:2" x14ac:dyDescent="0.25">
      <c r="A14991" s="2">
        <v>14986</v>
      </c>
      <c r="B14991" s="3" t="str">
        <f>"00729839"</f>
        <v>00729839</v>
      </c>
    </row>
    <row r="14992" spans="1:2" x14ac:dyDescent="0.25">
      <c r="A14992" s="2">
        <v>14987</v>
      </c>
      <c r="B14992" s="3" t="str">
        <f>"00729853"</f>
        <v>00729853</v>
      </c>
    </row>
    <row r="14993" spans="1:2" x14ac:dyDescent="0.25">
      <c r="A14993" s="2">
        <v>14988</v>
      </c>
      <c r="B14993" s="3" t="str">
        <f>"00729855"</f>
        <v>00729855</v>
      </c>
    </row>
    <row r="14994" spans="1:2" x14ac:dyDescent="0.25">
      <c r="A14994" s="2">
        <v>14989</v>
      </c>
      <c r="B14994" s="3" t="str">
        <f>"00729877"</f>
        <v>00729877</v>
      </c>
    </row>
    <row r="14995" spans="1:2" x14ac:dyDescent="0.25">
      <c r="A14995" s="2">
        <v>14990</v>
      </c>
      <c r="B14995" s="3" t="str">
        <f>"00729887"</f>
        <v>00729887</v>
      </c>
    </row>
    <row r="14996" spans="1:2" x14ac:dyDescent="0.25">
      <c r="A14996" s="2">
        <v>14991</v>
      </c>
      <c r="B14996" s="3" t="str">
        <f>"00729901"</f>
        <v>00729901</v>
      </c>
    </row>
    <row r="14997" spans="1:2" x14ac:dyDescent="0.25">
      <c r="A14997" s="2">
        <v>14992</v>
      </c>
      <c r="B14997" s="3" t="str">
        <f>"00729905"</f>
        <v>00729905</v>
      </c>
    </row>
    <row r="14998" spans="1:2" x14ac:dyDescent="0.25">
      <c r="A14998" s="2">
        <v>14993</v>
      </c>
      <c r="B14998" s="3" t="str">
        <f>"00730086"</f>
        <v>00730086</v>
      </c>
    </row>
    <row r="14999" spans="1:2" x14ac:dyDescent="0.25">
      <c r="A14999" s="2">
        <v>14994</v>
      </c>
      <c r="B14999" s="3" t="str">
        <f>"00730111"</f>
        <v>00730111</v>
      </c>
    </row>
    <row r="15000" spans="1:2" x14ac:dyDescent="0.25">
      <c r="A15000" s="2">
        <v>14995</v>
      </c>
      <c r="B15000" s="3" t="str">
        <f>"00730279"</f>
        <v>00730279</v>
      </c>
    </row>
    <row r="15001" spans="1:2" x14ac:dyDescent="0.25">
      <c r="A15001" s="2">
        <v>14996</v>
      </c>
      <c r="B15001" s="3" t="str">
        <f>"00730316"</f>
        <v>00730316</v>
      </c>
    </row>
    <row r="15002" spans="1:2" x14ac:dyDescent="0.25">
      <c r="A15002" s="2">
        <v>14997</v>
      </c>
      <c r="B15002" s="3" t="str">
        <f>"00730345"</f>
        <v>00730345</v>
      </c>
    </row>
    <row r="15003" spans="1:2" x14ac:dyDescent="0.25">
      <c r="A15003" s="2">
        <v>14998</v>
      </c>
      <c r="B15003" s="3" t="str">
        <f>"00730381"</f>
        <v>00730381</v>
      </c>
    </row>
    <row r="15004" spans="1:2" x14ac:dyDescent="0.25">
      <c r="A15004" s="2">
        <v>14999</v>
      </c>
      <c r="B15004" s="3" t="str">
        <f>"00730521"</f>
        <v>00730521</v>
      </c>
    </row>
    <row r="15005" spans="1:2" x14ac:dyDescent="0.25">
      <c r="A15005" s="2">
        <v>15000</v>
      </c>
      <c r="B15005" s="3" t="str">
        <f>"00730529"</f>
        <v>00730529</v>
      </c>
    </row>
    <row r="15006" spans="1:2" x14ac:dyDescent="0.25">
      <c r="A15006" s="2">
        <v>15001</v>
      </c>
      <c r="B15006" s="3" t="str">
        <f>"00730546"</f>
        <v>00730546</v>
      </c>
    </row>
    <row r="15007" spans="1:2" x14ac:dyDescent="0.25">
      <c r="A15007" s="2">
        <v>15002</v>
      </c>
      <c r="B15007" s="3" t="str">
        <f>"00730565"</f>
        <v>00730565</v>
      </c>
    </row>
    <row r="15008" spans="1:2" x14ac:dyDescent="0.25">
      <c r="A15008" s="2">
        <v>15003</v>
      </c>
      <c r="B15008" s="3" t="str">
        <f>"00730593"</f>
        <v>00730593</v>
      </c>
    </row>
    <row r="15009" spans="1:2" x14ac:dyDescent="0.25">
      <c r="A15009" s="2">
        <v>15004</v>
      </c>
      <c r="B15009" s="3" t="str">
        <f>"00730594"</f>
        <v>00730594</v>
      </c>
    </row>
    <row r="15010" spans="1:2" x14ac:dyDescent="0.25">
      <c r="A15010" s="2">
        <v>15005</v>
      </c>
      <c r="B15010" s="3" t="str">
        <f>"00730618"</f>
        <v>00730618</v>
      </c>
    </row>
    <row r="15011" spans="1:2" x14ac:dyDescent="0.25">
      <c r="A15011" s="2">
        <v>15006</v>
      </c>
      <c r="B15011" s="3" t="str">
        <f>"00730709"</f>
        <v>00730709</v>
      </c>
    </row>
    <row r="15012" spans="1:2" x14ac:dyDescent="0.25">
      <c r="A15012" s="2">
        <v>15007</v>
      </c>
      <c r="B15012" s="3" t="str">
        <f>"00730733"</f>
        <v>00730733</v>
      </c>
    </row>
    <row r="15013" spans="1:2" x14ac:dyDescent="0.25">
      <c r="A15013" s="2">
        <v>15008</v>
      </c>
      <c r="B15013" s="3" t="str">
        <f>"00730739"</f>
        <v>00730739</v>
      </c>
    </row>
    <row r="15014" spans="1:2" x14ac:dyDescent="0.25">
      <c r="A15014" s="2">
        <v>15009</v>
      </c>
      <c r="B15014" s="3" t="str">
        <f>"00730745"</f>
        <v>00730745</v>
      </c>
    </row>
    <row r="15015" spans="1:2" x14ac:dyDescent="0.25">
      <c r="A15015" s="2">
        <v>15010</v>
      </c>
      <c r="B15015" s="3" t="str">
        <f>"00730746"</f>
        <v>00730746</v>
      </c>
    </row>
    <row r="15016" spans="1:2" x14ac:dyDescent="0.25">
      <c r="A15016" s="2">
        <v>15011</v>
      </c>
      <c r="B15016" s="3" t="str">
        <f>"00730762"</f>
        <v>00730762</v>
      </c>
    </row>
    <row r="15017" spans="1:2" x14ac:dyDescent="0.25">
      <c r="A15017" s="2">
        <v>15012</v>
      </c>
      <c r="B15017" s="3" t="str">
        <f>"00730785"</f>
        <v>00730785</v>
      </c>
    </row>
    <row r="15018" spans="1:2" x14ac:dyDescent="0.25">
      <c r="A15018" s="2">
        <v>15013</v>
      </c>
      <c r="B15018" s="3" t="str">
        <f>"00730840"</f>
        <v>00730840</v>
      </c>
    </row>
    <row r="15019" spans="1:2" x14ac:dyDescent="0.25">
      <c r="A15019" s="2">
        <v>15014</v>
      </c>
      <c r="B15019" s="3" t="str">
        <f>"00730852"</f>
        <v>00730852</v>
      </c>
    </row>
    <row r="15020" spans="1:2" x14ac:dyDescent="0.25">
      <c r="A15020" s="2">
        <v>15015</v>
      </c>
      <c r="B15020" s="3" t="str">
        <f>"00730887"</f>
        <v>00730887</v>
      </c>
    </row>
    <row r="15021" spans="1:2" x14ac:dyDescent="0.25">
      <c r="A15021" s="2">
        <v>15016</v>
      </c>
      <c r="B15021" s="3" t="str">
        <f>"00730890"</f>
        <v>00730890</v>
      </c>
    </row>
    <row r="15022" spans="1:2" x14ac:dyDescent="0.25">
      <c r="A15022" s="2">
        <v>15017</v>
      </c>
      <c r="B15022" s="3" t="str">
        <f>"00730919"</f>
        <v>00730919</v>
      </c>
    </row>
    <row r="15023" spans="1:2" x14ac:dyDescent="0.25">
      <c r="A15023" s="2">
        <v>15018</v>
      </c>
      <c r="B15023" s="3" t="str">
        <f>"00731055"</f>
        <v>00731055</v>
      </c>
    </row>
    <row r="15024" spans="1:2" x14ac:dyDescent="0.25">
      <c r="A15024" s="2">
        <v>15019</v>
      </c>
      <c r="B15024" s="3" t="str">
        <f>"00731074"</f>
        <v>00731074</v>
      </c>
    </row>
    <row r="15025" spans="1:2" x14ac:dyDescent="0.25">
      <c r="A15025" s="2">
        <v>15020</v>
      </c>
      <c r="B15025" s="3" t="str">
        <f>"00731123"</f>
        <v>00731123</v>
      </c>
    </row>
    <row r="15026" spans="1:2" x14ac:dyDescent="0.25">
      <c r="A15026" s="2">
        <v>15021</v>
      </c>
      <c r="B15026" s="3" t="str">
        <f>"00731138"</f>
        <v>00731138</v>
      </c>
    </row>
    <row r="15027" spans="1:2" x14ac:dyDescent="0.25">
      <c r="A15027" s="2">
        <v>15022</v>
      </c>
      <c r="B15027" s="3" t="str">
        <f>"00731139"</f>
        <v>00731139</v>
      </c>
    </row>
    <row r="15028" spans="1:2" x14ac:dyDescent="0.25">
      <c r="A15028" s="2">
        <v>15023</v>
      </c>
      <c r="B15028" s="3" t="str">
        <f>"00731218"</f>
        <v>00731218</v>
      </c>
    </row>
    <row r="15029" spans="1:2" x14ac:dyDescent="0.25">
      <c r="A15029" s="2">
        <v>15024</v>
      </c>
      <c r="B15029" s="3" t="str">
        <f>"00731242"</f>
        <v>00731242</v>
      </c>
    </row>
    <row r="15030" spans="1:2" x14ac:dyDescent="0.25">
      <c r="A15030" s="2">
        <v>15025</v>
      </c>
      <c r="B15030" s="3" t="str">
        <f>"00731252"</f>
        <v>00731252</v>
      </c>
    </row>
    <row r="15031" spans="1:2" x14ac:dyDescent="0.25">
      <c r="A15031" s="2">
        <v>15026</v>
      </c>
      <c r="B15031" s="3" t="str">
        <f>"00732524"</f>
        <v>00732524</v>
      </c>
    </row>
    <row r="15032" spans="1:2" x14ac:dyDescent="0.25">
      <c r="A15032" s="2">
        <v>15027</v>
      </c>
      <c r="B15032" s="3" t="str">
        <f>"00732529"</f>
        <v>00732529</v>
      </c>
    </row>
    <row r="15033" spans="1:2" x14ac:dyDescent="0.25">
      <c r="A15033" s="2">
        <v>15028</v>
      </c>
      <c r="B15033" s="3" t="str">
        <f>"00732540"</f>
        <v>00732540</v>
      </c>
    </row>
    <row r="15034" spans="1:2" x14ac:dyDescent="0.25">
      <c r="A15034" s="2">
        <v>15029</v>
      </c>
      <c r="B15034" s="3" t="str">
        <f>"00732605"</f>
        <v>00732605</v>
      </c>
    </row>
    <row r="15035" spans="1:2" x14ac:dyDescent="0.25">
      <c r="A15035" s="2">
        <v>15030</v>
      </c>
      <c r="B15035" s="3" t="str">
        <f>"00732677"</f>
        <v>00732677</v>
      </c>
    </row>
    <row r="15036" spans="1:2" x14ac:dyDescent="0.25">
      <c r="A15036" s="2">
        <v>15031</v>
      </c>
      <c r="B15036" s="3" t="str">
        <f>"00732689"</f>
        <v>00732689</v>
      </c>
    </row>
    <row r="15037" spans="1:2" x14ac:dyDescent="0.25">
      <c r="A15037" s="2">
        <v>15032</v>
      </c>
      <c r="B15037" s="3" t="str">
        <f>"00732696"</f>
        <v>00732696</v>
      </c>
    </row>
    <row r="15038" spans="1:2" x14ac:dyDescent="0.25">
      <c r="A15038" s="2">
        <v>15033</v>
      </c>
      <c r="B15038" s="3" t="str">
        <f>"00732709"</f>
        <v>00732709</v>
      </c>
    </row>
    <row r="15039" spans="1:2" x14ac:dyDescent="0.25">
      <c r="A15039" s="2">
        <v>15034</v>
      </c>
      <c r="B15039" s="3" t="str">
        <f>"00732762"</f>
        <v>00732762</v>
      </c>
    </row>
    <row r="15040" spans="1:2" x14ac:dyDescent="0.25">
      <c r="A15040" s="2">
        <v>15035</v>
      </c>
      <c r="B15040" s="3" t="str">
        <f>"00732797"</f>
        <v>00732797</v>
      </c>
    </row>
    <row r="15041" spans="1:2" x14ac:dyDescent="0.25">
      <c r="A15041" s="2">
        <v>15036</v>
      </c>
      <c r="B15041" s="3" t="str">
        <f>"00732826"</f>
        <v>00732826</v>
      </c>
    </row>
    <row r="15042" spans="1:2" x14ac:dyDescent="0.25">
      <c r="A15042" s="2">
        <v>15037</v>
      </c>
      <c r="B15042" s="3" t="str">
        <f>"00732839"</f>
        <v>00732839</v>
      </c>
    </row>
    <row r="15043" spans="1:2" x14ac:dyDescent="0.25">
      <c r="A15043" s="2">
        <v>15038</v>
      </c>
      <c r="B15043" s="3" t="str">
        <f>"00732883"</f>
        <v>00732883</v>
      </c>
    </row>
    <row r="15044" spans="1:2" x14ac:dyDescent="0.25">
      <c r="A15044" s="2">
        <v>15039</v>
      </c>
      <c r="B15044" s="3" t="str">
        <f>"00732947"</f>
        <v>00732947</v>
      </c>
    </row>
    <row r="15045" spans="1:2" x14ac:dyDescent="0.25">
      <c r="A15045" s="2">
        <v>15040</v>
      </c>
      <c r="B15045" s="3" t="str">
        <f>"00732958"</f>
        <v>00732958</v>
      </c>
    </row>
    <row r="15046" spans="1:2" x14ac:dyDescent="0.25">
      <c r="A15046" s="2">
        <v>15041</v>
      </c>
      <c r="B15046" s="3" t="str">
        <f>"00733035"</f>
        <v>00733035</v>
      </c>
    </row>
    <row r="15047" spans="1:2" x14ac:dyDescent="0.25">
      <c r="A15047" s="2">
        <v>15042</v>
      </c>
      <c r="B15047" s="3" t="str">
        <f>"00733057"</f>
        <v>00733057</v>
      </c>
    </row>
    <row r="15048" spans="1:2" x14ac:dyDescent="0.25">
      <c r="A15048" s="2">
        <v>15043</v>
      </c>
      <c r="B15048" s="3" t="str">
        <f>"00733072"</f>
        <v>00733072</v>
      </c>
    </row>
    <row r="15049" spans="1:2" x14ac:dyDescent="0.25">
      <c r="A15049" s="2">
        <v>15044</v>
      </c>
      <c r="B15049" s="3" t="str">
        <f>"00733094"</f>
        <v>00733094</v>
      </c>
    </row>
    <row r="15050" spans="1:2" x14ac:dyDescent="0.25">
      <c r="A15050" s="2">
        <v>15045</v>
      </c>
      <c r="B15050" s="3" t="str">
        <f>"00733145"</f>
        <v>00733145</v>
      </c>
    </row>
    <row r="15051" spans="1:2" x14ac:dyDescent="0.25">
      <c r="A15051" s="2">
        <v>15046</v>
      </c>
      <c r="B15051" s="3" t="str">
        <f>"00733158"</f>
        <v>00733158</v>
      </c>
    </row>
    <row r="15052" spans="1:2" x14ac:dyDescent="0.25">
      <c r="A15052" s="2">
        <v>15047</v>
      </c>
      <c r="B15052" s="3" t="str">
        <f>"00733159"</f>
        <v>00733159</v>
      </c>
    </row>
    <row r="15053" spans="1:2" x14ac:dyDescent="0.25">
      <c r="A15053" s="2">
        <v>15048</v>
      </c>
      <c r="B15053" s="3" t="str">
        <f>"00733204"</f>
        <v>00733204</v>
      </c>
    </row>
    <row r="15054" spans="1:2" x14ac:dyDescent="0.25">
      <c r="A15054" s="2">
        <v>15049</v>
      </c>
      <c r="B15054" s="3" t="str">
        <f>"00733220"</f>
        <v>00733220</v>
      </c>
    </row>
    <row r="15055" spans="1:2" x14ac:dyDescent="0.25">
      <c r="A15055" s="2">
        <v>15050</v>
      </c>
      <c r="B15055" s="3" t="str">
        <f>"00733303"</f>
        <v>00733303</v>
      </c>
    </row>
    <row r="15056" spans="1:2" x14ac:dyDescent="0.25">
      <c r="A15056" s="2">
        <v>15051</v>
      </c>
      <c r="B15056" s="3" t="str">
        <f>"00733331"</f>
        <v>00733331</v>
      </c>
    </row>
    <row r="15057" spans="1:2" x14ac:dyDescent="0.25">
      <c r="A15057" s="2">
        <v>15052</v>
      </c>
      <c r="B15057" s="3" t="str">
        <f>"00733458"</f>
        <v>00733458</v>
      </c>
    </row>
    <row r="15058" spans="1:2" x14ac:dyDescent="0.25">
      <c r="A15058" s="2">
        <v>15053</v>
      </c>
      <c r="B15058" s="3" t="str">
        <f>"00733560"</f>
        <v>00733560</v>
      </c>
    </row>
    <row r="15059" spans="1:2" x14ac:dyDescent="0.25">
      <c r="A15059" s="2">
        <v>15054</v>
      </c>
      <c r="B15059" s="3" t="str">
        <f>"00733563"</f>
        <v>00733563</v>
      </c>
    </row>
    <row r="15060" spans="1:2" x14ac:dyDescent="0.25">
      <c r="A15060" s="2">
        <v>15055</v>
      </c>
      <c r="B15060" s="3" t="str">
        <f>"00733594"</f>
        <v>00733594</v>
      </c>
    </row>
    <row r="15061" spans="1:2" x14ac:dyDescent="0.25">
      <c r="A15061" s="2">
        <v>15056</v>
      </c>
      <c r="B15061" s="3" t="str">
        <f>"00733609"</f>
        <v>00733609</v>
      </c>
    </row>
    <row r="15062" spans="1:2" x14ac:dyDescent="0.25">
      <c r="A15062" s="2">
        <v>15057</v>
      </c>
      <c r="B15062" s="3" t="str">
        <f>"00733636"</f>
        <v>00733636</v>
      </c>
    </row>
    <row r="15063" spans="1:2" x14ac:dyDescent="0.25">
      <c r="A15063" s="2">
        <v>15058</v>
      </c>
      <c r="B15063" s="3" t="str">
        <f>"00733668"</f>
        <v>00733668</v>
      </c>
    </row>
    <row r="15064" spans="1:2" x14ac:dyDescent="0.25">
      <c r="A15064" s="2">
        <v>15059</v>
      </c>
      <c r="B15064" s="3" t="str">
        <f>"00733688"</f>
        <v>00733688</v>
      </c>
    </row>
    <row r="15065" spans="1:2" x14ac:dyDescent="0.25">
      <c r="A15065" s="2">
        <v>15060</v>
      </c>
      <c r="B15065" s="3" t="str">
        <f>"00733708"</f>
        <v>00733708</v>
      </c>
    </row>
    <row r="15066" spans="1:2" x14ac:dyDescent="0.25">
      <c r="A15066" s="2">
        <v>15061</v>
      </c>
      <c r="B15066" s="3" t="str">
        <f>"00733727"</f>
        <v>00733727</v>
      </c>
    </row>
    <row r="15067" spans="1:2" x14ac:dyDescent="0.25">
      <c r="A15067" s="2">
        <v>15062</v>
      </c>
      <c r="B15067" s="3" t="str">
        <f>"00733840"</f>
        <v>00733840</v>
      </c>
    </row>
    <row r="15068" spans="1:2" x14ac:dyDescent="0.25">
      <c r="A15068" s="2">
        <v>15063</v>
      </c>
      <c r="B15068" s="3" t="str">
        <f>"00733845"</f>
        <v>00733845</v>
      </c>
    </row>
    <row r="15069" spans="1:2" x14ac:dyDescent="0.25">
      <c r="A15069" s="2">
        <v>15064</v>
      </c>
      <c r="B15069" s="3" t="str">
        <f>"00733929"</f>
        <v>00733929</v>
      </c>
    </row>
    <row r="15070" spans="1:2" x14ac:dyDescent="0.25">
      <c r="A15070" s="2">
        <v>15065</v>
      </c>
      <c r="B15070" s="3" t="str">
        <f>"00733931"</f>
        <v>00733931</v>
      </c>
    </row>
    <row r="15071" spans="1:2" x14ac:dyDescent="0.25">
      <c r="A15071" s="2">
        <v>15066</v>
      </c>
      <c r="B15071" s="3" t="str">
        <f>"00733938"</f>
        <v>00733938</v>
      </c>
    </row>
    <row r="15072" spans="1:2" x14ac:dyDescent="0.25">
      <c r="A15072" s="2">
        <v>15067</v>
      </c>
      <c r="B15072" s="3" t="str">
        <f>"00733955"</f>
        <v>00733955</v>
      </c>
    </row>
    <row r="15073" spans="1:2" x14ac:dyDescent="0.25">
      <c r="A15073" s="2">
        <v>15068</v>
      </c>
      <c r="B15073" s="3" t="str">
        <f>"00733961"</f>
        <v>00733961</v>
      </c>
    </row>
    <row r="15074" spans="1:2" x14ac:dyDescent="0.25">
      <c r="A15074" s="2">
        <v>15069</v>
      </c>
      <c r="B15074" s="3" t="str">
        <f>"00734009"</f>
        <v>00734009</v>
      </c>
    </row>
    <row r="15075" spans="1:2" x14ac:dyDescent="0.25">
      <c r="A15075" s="2">
        <v>15070</v>
      </c>
      <c r="B15075" s="3" t="str">
        <f>"00734016"</f>
        <v>00734016</v>
      </c>
    </row>
    <row r="15076" spans="1:2" x14ac:dyDescent="0.25">
      <c r="A15076" s="2">
        <v>15071</v>
      </c>
      <c r="B15076" s="3" t="str">
        <f>"00734024"</f>
        <v>00734024</v>
      </c>
    </row>
    <row r="15077" spans="1:2" x14ac:dyDescent="0.25">
      <c r="A15077" s="2">
        <v>15072</v>
      </c>
      <c r="B15077" s="3" t="str">
        <f>"00734032"</f>
        <v>00734032</v>
      </c>
    </row>
    <row r="15078" spans="1:2" x14ac:dyDescent="0.25">
      <c r="A15078" s="2">
        <v>15073</v>
      </c>
      <c r="B15078" s="3" t="str">
        <f>"00734091"</f>
        <v>00734091</v>
      </c>
    </row>
    <row r="15079" spans="1:2" x14ac:dyDescent="0.25">
      <c r="A15079" s="2">
        <v>15074</v>
      </c>
      <c r="B15079" s="3" t="str">
        <f>"00734135"</f>
        <v>00734135</v>
      </c>
    </row>
    <row r="15080" spans="1:2" x14ac:dyDescent="0.25">
      <c r="A15080" s="2">
        <v>15075</v>
      </c>
      <c r="B15080" s="3" t="str">
        <f>"00734159"</f>
        <v>00734159</v>
      </c>
    </row>
    <row r="15081" spans="1:2" x14ac:dyDescent="0.25">
      <c r="A15081" s="2">
        <v>15076</v>
      </c>
      <c r="B15081" s="3" t="str">
        <f>"00734211"</f>
        <v>00734211</v>
      </c>
    </row>
    <row r="15082" spans="1:2" x14ac:dyDescent="0.25">
      <c r="A15082" s="2">
        <v>15077</v>
      </c>
      <c r="B15082" s="3" t="str">
        <f>"00734242"</f>
        <v>00734242</v>
      </c>
    </row>
    <row r="15083" spans="1:2" x14ac:dyDescent="0.25">
      <c r="A15083" s="2">
        <v>15078</v>
      </c>
      <c r="B15083" s="3" t="str">
        <f>"00734256"</f>
        <v>00734256</v>
      </c>
    </row>
    <row r="15084" spans="1:2" x14ac:dyDescent="0.25">
      <c r="A15084" s="2">
        <v>15079</v>
      </c>
      <c r="B15084" s="3" t="str">
        <f>"00734311"</f>
        <v>00734311</v>
      </c>
    </row>
    <row r="15085" spans="1:2" x14ac:dyDescent="0.25">
      <c r="A15085" s="2">
        <v>15080</v>
      </c>
      <c r="B15085" s="3" t="str">
        <f>"00734386"</f>
        <v>00734386</v>
      </c>
    </row>
    <row r="15086" spans="1:2" x14ac:dyDescent="0.25">
      <c r="A15086" s="2">
        <v>15081</v>
      </c>
      <c r="B15086" s="3" t="str">
        <f>"00734402"</f>
        <v>00734402</v>
      </c>
    </row>
    <row r="15087" spans="1:2" x14ac:dyDescent="0.25">
      <c r="A15087" s="2">
        <v>15082</v>
      </c>
      <c r="B15087" s="3" t="str">
        <f>"00734425"</f>
        <v>00734425</v>
      </c>
    </row>
    <row r="15088" spans="1:2" x14ac:dyDescent="0.25">
      <c r="A15088" s="2">
        <v>15083</v>
      </c>
      <c r="B15088" s="3" t="str">
        <f>"00734441"</f>
        <v>00734441</v>
      </c>
    </row>
    <row r="15089" spans="1:2" x14ac:dyDescent="0.25">
      <c r="A15089" s="2">
        <v>15084</v>
      </c>
      <c r="B15089" s="3" t="str">
        <f>"00734448"</f>
        <v>00734448</v>
      </c>
    </row>
    <row r="15090" spans="1:2" x14ac:dyDescent="0.25">
      <c r="A15090" s="2">
        <v>15085</v>
      </c>
      <c r="B15090" s="3" t="str">
        <f>"00734472"</f>
        <v>00734472</v>
      </c>
    </row>
    <row r="15091" spans="1:2" x14ac:dyDescent="0.25">
      <c r="A15091" s="2">
        <v>15086</v>
      </c>
      <c r="B15091" s="3" t="str">
        <f>"00734478"</f>
        <v>00734478</v>
      </c>
    </row>
    <row r="15092" spans="1:2" x14ac:dyDescent="0.25">
      <c r="A15092" s="2">
        <v>15087</v>
      </c>
      <c r="B15092" s="3" t="str">
        <f>"00734481"</f>
        <v>00734481</v>
      </c>
    </row>
    <row r="15093" spans="1:2" x14ac:dyDescent="0.25">
      <c r="A15093" s="2">
        <v>15088</v>
      </c>
      <c r="B15093" s="3" t="str">
        <f>"00734515"</f>
        <v>00734515</v>
      </c>
    </row>
    <row r="15094" spans="1:2" x14ac:dyDescent="0.25">
      <c r="A15094" s="2">
        <v>15089</v>
      </c>
      <c r="B15094" s="3" t="str">
        <f>"00734595"</f>
        <v>00734595</v>
      </c>
    </row>
    <row r="15095" spans="1:2" x14ac:dyDescent="0.25">
      <c r="A15095" s="2">
        <v>15090</v>
      </c>
      <c r="B15095" s="3" t="str">
        <f>"00734625"</f>
        <v>00734625</v>
      </c>
    </row>
    <row r="15096" spans="1:2" x14ac:dyDescent="0.25">
      <c r="A15096" s="2">
        <v>15091</v>
      </c>
      <c r="B15096" s="3" t="str">
        <f>"00734668"</f>
        <v>00734668</v>
      </c>
    </row>
    <row r="15097" spans="1:2" x14ac:dyDescent="0.25">
      <c r="A15097" s="2">
        <v>15092</v>
      </c>
      <c r="B15097" s="3" t="str">
        <f>"00734774"</f>
        <v>00734774</v>
      </c>
    </row>
    <row r="15098" spans="1:2" x14ac:dyDescent="0.25">
      <c r="A15098" s="2">
        <v>15093</v>
      </c>
      <c r="B15098" s="3" t="str">
        <f>"00734816"</f>
        <v>00734816</v>
      </c>
    </row>
    <row r="15099" spans="1:2" x14ac:dyDescent="0.25">
      <c r="A15099" s="2">
        <v>15094</v>
      </c>
      <c r="B15099" s="3" t="str">
        <f>"00734859"</f>
        <v>00734859</v>
      </c>
    </row>
    <row r="15100" spans="1:2" x14ac:dyDescent="0.25">
      <c r="A15100" s="2">
        <v>15095</v>
      </c>
      <c r="B15100" s="3" t="str">
        <f>"00734866"</f>
        <v>00734866</v>
      </c>
    </row>
    <row r="15101" spans="1:2" x14ac:dyDescent="0.25">
      <c r="A15101" s="2">
        <v>15096</v>
      </c>
      <c r="B15101" s="3" t="str">
        <f>"00734900"</f>
        <v>00734900</v>
      </c>
    </row>
    <row r="15102" spans="1:2" x14ac:dyDescent="0.25">
      <c r="A15102" s="2">
        <v>15097</v>
      </c>
      <c r="B15102" s="3" t="str">
        <f>"00734915"</f>
        <v>00734915</v>
      </c>
    </row>
    <row r="15103" spans="1:2" x14ac:dyDescent="0.25">
      <c r="A15103" s="2">
        <v>15098</v>
      </c>
      <c r="B15103" s="3" t="str">
        <f>"00734968"</f>
        <v>00734968</v>
      </c>
    </row>
    <row r="15104" spans="1:2" x14ac:dyDescent="0.25">
      <c r="A15104" s="2">
        <v>15099</v>
      </c>
      <c r="B15104" s="3" t="str">
        <f>"00735028"</f>
        <v>00735028</v>
      </c>
    </row>
    <row r="15105" spans="1:2" x14ac:dyDescent="0.25">
      <c r="A15105" s="2">
        <v>15100</v>
      </c>
      <c r="B15105" s="3" t="str">
        <f>"00735031"</f>
        <v>00735031</v>
      </c>
    </row>
    <row r="15106" spans="1:2" x14ac:dyDescent="0.25">
      <c r="A15106" s="2">
        <v>15101</v>
      </c>
      <c r="B15106" s="3" t="str">
        <f>"00735083"</f>
        <v>00735083</v>
      </c>
    </row>
    <row r="15107" spans="1:2" x14ac:dyDescent="0.25">
      <c r="A15107" s="2">
        <v>15102</v>
      </c>
      <c r="B15107" s="3" t="str">
        <f>"00735101"</f>
        <v>00735101</v>
      </c>
    </row>
    <row r="15108" spans="1:2" x14ac:dyDescent="0.25">
      <c r="A15108" s="2">
        <v>15103</v>
      </c>
      <c r="B15108" s="3" t="str">
        <f>"00735217"</f>
        <v>00735217</v>
      </c>
    </row>
    <row r="15109" spans="1:2" x14ac:dyDescent="0.25">
      <c r="A15109" s="2">
        <v>15104</v>
      </c>
      <c r="B15109" s="3" t="str">
        <f>"00735290"</f>
        <v>00735290</v>
      </c>
    </row>
    <row r="15110" spans="1:2" x14ac:dyDescent="0.25">
      <c r="A15110" s="2">
        <v>15105</v>
      </c>
      <c r="B15110" s="3" t="str">
        <f>"00735314"</f>
        <v>00735314</v>
      </c>
    </row>
    <row r="15111" spans="1:2" x14ac:dyDescent="0.25">
      <c r="A15111" s="2">
        <v>15106</v>
      </c>
      <c r="B15111" s="3" t="str">
        <f>"00735322"</f>
        <v>00735322</v>
      </c>
    </row>
    <row r="15112" spans="1:2" x14ac:dyDescent="0.25">
      <c r="A15112" s="2">
        <v>15107</v>
      </c>
      <c r="B15112" s="3" t="str">
        <f>"00735334"</f>
        <v>00735334</v>
      </c>
    </row>
    <row r="15113" spans="1:2" x14ac:dyDescent="0.25">
      <c r="A15113" s="2">
        <v>15108</v>
      </c>
      <c r="B15113" s="3" t="str">
        <f>"00735338"</f>
        <v>00735338</v>
      </c>
    </row>
    <row r="15114" spans="1:2" x14ac:dyDescent="0.25">
      <c r="A15114" s="2">
        <v>15109</v>
      </c>
      <c r="B15114" s="3" t="str">
        <f>"00735359"</f>
        <v>00735359</v>
      </c>
    </row>
    <row r="15115" spans="1:2" x14ac:dyDescent="0.25">
      <c r="A15115" s="2">
        <v>15110</v>
      </c>
      <c r="B15115" s="3" t="str">
        <f>"00735422"</f>
        <v>00735422</v>
      </c>
    </row>
    <row r="15116" spans="1:2" x14ac:dyDescent="0.25">
      <c r="A15116" s="2">
        <v>15111</v>
      </c>
      <c r="B15116" s="3" t="str">
        <f>"00735443"</f>
        <v>00735443</v>
      </c>
    </row>
    <row r="15117" spans="1:2" x14ac:dyDescent="0.25">
      <c r="A15117" s="2">
        <v>15112</v>
      </c>
      <c r="B15117" s="3" t="str">
        <f>"00735480"</f>
        <v>00735480</v>
      </c>
    </row>
    <row r="15118" spans="1:2" x14ac:dyDescent="0.25">
      <c r="A15118" s="2">
        <v>15113</v>
      </c>
      <c r="B15118" s="3" t="str">
        <f>"00735493"</f>
        <v>00735493</v>
      </c>
    </row>
    <row r="15119" spans="1:2" x14ac:dyDescent="0.25">
      <c r="A15119" s="2">
        <v>15114</v>
      </c>
      <c r="B15119" s="3" t="str">
        <f>"00735499"</f>
        <v>00735499</v>
      </c>
    </row>
    <row r="15120" spans="1:2" x14ac:dyDescent="0.25">
      <c r="A15120" s="2">
        <v>15115</v>
      </c>
      <c r="B15120" s="3" t="str">
        <f>"00735535"</f>
        <v>00735535</v>
      </c>
    </row>
    <row r="15121" spans="1:2" x14ac:dyDescent="0.25">
      <c r="A15121" s="2">
        <v>15116</v>
      </c>
      <c r="B15121" s="3" t="str">
        <f>"00735560"</f>
        <v>00735560</v>
      </c>
    </row>
    <row r="15122" spans="1:2" x14ac:dyDescent="0.25">
      <c r="A15122" s="2">
        <v>15117</v>
      </c>
      <c r="B15122" s="3" t="str">
        <f>"00735589"</f>
        <v>00735589</v>
      </c>
    </row>
    <row r="15123" spans="1:2" x14ac:dyDescent="0.25">
      <c r="A15123" s="2">
        <v>15118</v>
      </c>
      <c r="B15123" s="3" t="str">
        <f>"00735600"</f>
        <v>00735600</v>
      </c>
    </row>
    <row r="15124" spans="1:2" x14ac:dyDescent="0.25">
      <c r="A15124" s="2">
        <v>15119</v>
      </c>
      <c r="B15124" s="3" t="str">
        <f>"00735608"</f>
        <v>00735608</v>
      </c>
    </row>
    <row r="15125" spans="1:2" x14ac:dyDescent="0.25">
      <c r="A15125" s="2">
        <v>15120</v>
      </c>
      <c r="B15125" s="3" t="str">
        <f>"00735613"</f>
        <v>00735613</v>
      </c>
    </row>
    <row r="15126" spans="1:2" x14ac:dyDescent="0.25">
      <c r="A15126" s="2">
        <v>15121</v>
      </c>
      <c r="B15126" s="3" t="str">
        <f>"00735628"</f>
        <v>00735628</v>
      </c>
    </row>
    <row r="15127" spans="1:2" x14ac:dyDescent="0.25">
      <c r="A15127" s="2">
        <v>15122</v>
      </c>
      <c r="B15127" s="3" t="str">
        <f>"00735740"</f>
        <v>00735740</v>
      </c>
    </row>
    <row r="15128" spans="1:2" x14ac:dyDescent="0.25">
      <c r="A15128" s="2">
        <v>15123</v>
      </c>
      <c r="B15128" s="3" t="str">
        <f>"00735760"</f>
        <v>00735760</v>
      </c>
    </row>
    <row r="15129" spans="1:2" x14ac:dyDescent="0.25">
      <c r="A15129" s="2">
        <v>15124</v>
      </c>
      <c r="B15129" s="3" t="str">
        <f>"00735787"</f>
        <v>00735787</v>
      </c>
    </row>
    <row r="15130" spans="1:2" x14ac:dyDescent="0.25">
      <c r="A15130" s="2">
        <v>15125</v>
      </c>
      <c r="B15130" s="3" t="str">
        <f>"00735873"</f>
        <v>00735873</v>
      </c>
    </row>
    <row r="15131" spans="1:2" x14ac:dyDescent="0.25">
      <c r="A15131" s="2">
        <v>15126</v>
      </c>
      <c r="B15131" s="3" t="str">
        <f>"00735912"</f>
        <v>00735912</v>
      </c>
    </row>
    <row r="15132" spans="1:2" x14ac:dyDescent="0.25">
      <c r="A15132" s="2">
        <v>15127</v>
      </c>
      <c r="B15132" s="3" t="str">
        <f>"00735986"</f>
        <v>00735986</v>
      </c>
    </row>
    <row r="15133" spans="1:2" x14ac:dyDescent="0.25">
      <c r="A15133" s="2">
        <v>15128</v>
      </c>
      <c r="B15133" s="3" t="str">
        <f>"00736012"</f>
        <v>00736012</v>
      </c>
    </row>
    <row r="15134" spans="1:2" x14ac:dyDescent="0.25">
      <c r="A15134" s="2">
        <v>15129</v>
      </c>
      <c r="B15134" s="3" t="str">
        <f>"00736039"</f>
        <v>00736039</v>
      </c>
    </row>
    <row r="15135" spans="1:2" x14ac:dyDescent="0.25">
      <c r="A15135" s="2">
        <v>15130</v>
      </c>
      <c r="B15135" s="3" t="str">
        <f>"00736112"</f>
        <v>00736112</v>
      </c>
    </row>
    <row r="15136" spans="1:2" x14ac:dyDescent="0.25">
      <c r="A15136" s="2">
        <v>15131</v>
      </c>
      <c r="B15136" s="3" t="str">
        <f>"00736113"</f>
        <v>00736113</v>
      </c>
    </row>
    <row r="15137" spans="1:2" x14ac:dyDescent="0.25">
      <c r="A15137" s="2">
        <v>15132</v>
      </c>
      <c r="B15137" s="3" t="str">
        <f>"00736126"</f>
        <v>00736126</v>
      </c>
    </row>
    <row r="15138" spans="1:2" x14ac:dyDescent="0.25">
      <c r="A15138" s="2">
        <v>15133</v>
      </c>
      <c r="B15138" s="3" t="str">
        <f>"00736129"</f>
        <v>00736129</v>
      </c>
    </row>
    <row r="15139" spans="1:2" x14ac:dyDescent="0.25">
      <c r="A15139" s="2">
        <v>15134</v>
      </c>
      <c r="B15139" s="3" t="str">
        <f>"00736161"</f>
        <v>00736161</v>
      </c>
    </row>
    <row r="15140" spans="1:2" x14ac:dyDescent="0.25">
      <c r="A15140" s="2">
        <v>15135</v>
      </c>
      <c r="B15140" s="3" t="str">
        <f>"00736177"</f>
        <v>00736177</v>
      </c>
    </row>
    <row r="15141" spans="1:2" x14ac:dyDescent="0.25">
      <c r="A15141" s="2">
        <v>15136</v>
      </c>
      <c r="B15141" s="3" t="str">
        <f>"00736185"</f>
        <v>00736185</v>
      </c>
    </row>
    <row r="15142" spans="1:2" x14ac:dyDescent="0.25">
      <c r="A15142" s="2">
        <v>15137</v>
      </c>
      <c r="B15142" s="3" t="str">
        <f>"00736189"</f>
        <v>00736189</v>
      </c>
    </row>
    <row r="15143" spans="1:2" x14ac:dyDescent="0.25">
      <c r="A15143" s="2">
        <v>15138</v>
      </c>
      <c r="B15143" s="3" t="str">
        <f>"00736207"</f>
        <v>00736207</v>
      </c>
    </row>
    <row r="15144" spans="1:2" x14ac:dyDescent="0.25">
      <c r="A15144" s="2">
        <v>15139</v>
      </c>
      <c r="B15144" s="3" t="str">
        <f>"00736219"</f>
        <v>00736219</v>
      </c>
    </row>
    <row r="15145" spans="1:2" x14ac:dyDescent="0.25">
      <c r="A15145" s="2">
        <v>15140</v>
      </c>
      <c r="B15145" s="3" t="str">
        <f>"00736235"</f>
        <v>00736235</v>
      </c>
    </row>
    <row r="15146" spans="1:2" x14ac:dyDescent="0.25">
      <c r="A15146" s="2">
        <v>15141</v>
      </c>
      <c r="B15146" s="3" t="str">
        <f>"00736280"</f>
        <v>00736280</v>
      </c>
    </row>
    <row r="15147" spans="1:2" x14ac:dyDescent="0.25">
      <c r="A15147" s="2">
        <v>15142</v>
      </c>
      <c r="B15147" s="3" t="str">
        <f>"00736336"</f>
        <v>00736336</v>
      </c>
    </row>
    <row r="15148" spans="1:2" x14ac:dyDescent="0.25">
      <c r="A15148" s="2">
        <v>15143</v>
      </c>
      <c r="B15148" s="3" t="str">
        <f>"00736403"</f>
        <v>00736403</v>
      </c>
    </row>
    <row r="15149" spans="1:2" x14ac:dyDescent="0.25">
      <c r="A15149" s="2">
        <v>15144</v>
      </c>
      <c r="B15149" s="3" t="str">
        <f>"00736472"</f>
        <v>00736472</v>
      </c>
    </row>
    <row r="15150" spans="1:2" x14ac:dyDescent="0.25">
      <c r="A15150" s="2">
        <v>15145</v>
      </c>
      <c r="B15150" s="3" t="str">
        <f>"00736519"</f>
        <v>00736519</v>
      </c>
    </row>
    <row r="15151" spans="1:2" x14ac:dyDescent="0.25">
      <c r="A15151" s="2">
        <v>15146</v>
      </c>
      <c r="B15151" s="3" t="str">
        <f>"00736548"</f>
        <v>00736548</v>
      </c>
    </row>
    <row r="15152" spans="1:2" x14ac:dyDescent="0.25">
      <c r="A15152" s="2">
        <v>15147</v>
      </c>
      <c r="B15152" s="3" t="str">
        <f>"00736581"</f>
        <v>00736581</v>
      </c>
    </row>
    <row r="15153" spans="1:2" x14ac:dyDescent="0.25">
      <c r="A15153" s="2">
        <v>15148</v>
      </c>
      <c r="B15153" s="3" t="str">
        <f>"00736585"</f>
        <v>00736585</v>
      </c>
    </row>
    <row r="15154" spans="1:2" x14ac:dyDescent="0.25">
      <c r="A15154" s="2">
        <v>15149</v>
      </c>
      <c r="B15154" s="3" t="str">
        <f>"00736600"</f>
        <v>00736600</v>
      </c>
    </row>
    <row r="15155" spans="1:2" x14ac:dyDescent="0.25">
      <c r="A15155" s="2">
        <v>15150</v>
      </c>
      <c r="B15155" s="3" t="str">
        <f>"00736604"</f>
        <v>00736604</v>
      </c>
    </row>
    <row r="15156" spans="1:2" x14ac:dyDescent="0.25">
      <c r="A15156" s="2">
        <v>15151</v>
      </c>
      <c r="B15156" s="3" t="str">
        <f>"00736623"</f>
        <v>00736623</v>
      </c>
    </row>
    <row r="15157" spans="1:2" x14ac:dyDescent="0.25">
      <c r="A15157" s="2">
        <v>15152</v>
      </c>
      <c r="B15157" s="3" t="str">
        <f>"00736652"</f>
        <v>00736652</v>
      </c>
    </row>
    <row r="15158" spans="1:2" x14ac:dyDescent="0.25">
      <c r="A15158" s="2">
        <v>15153</v>
      </c>
      <c r="B15158" s="3" t="str">
        <f>"00736666"</f>
        <v>00736666</v>
      </c>
    </row>
    <row r="15159" spans="1:2" x14ac:dyDescent="0.25">
      <c r="A15159" s="2">
        <v>15154</v>
      </c>
      <c r="B15159" s="3" t="str">
        <f>"00736679"</f>
        <v>00736679</v>
      </c>
    </row>
    <row r="15160" spans="1:2" x14ac:dyDescent="0.25">
      <c r="A15160" s="2">
        <v>15155</v>
      </c>
      <c r="B15160" s="3" t="str">
        <f>"00736687"</f>
        <v>00736687</v>
      </c>
    </row>
    <row r="15161" spans="1:2" x14ac:dyDescent="0.25">
      <c r="A15161" s="2">
        <v>15156</v>
      </c>
      <c r="B15161" s="3" t="str">
        <f>"00736695"</f>
        <v>00736695</v>
      </c>
    </row>
    <row r="15162" spans="1:2" x14ac:dyDescent="0.25">
      <c r="A15162" s="2">
        <v>15157</v>
      </c>
      <c r="B15162" s="3" t="str">
        <f>"00736726"</f>
        <v>00736726</v>
      </c>
    </row>
    <row r="15163" spans="1:2" x14ac:dyDescent="0.25">
      <c r="A15163" s="2">
        <v>15158</v>
      </c>
      <c r="B15163" s="3" t="str">
        <f>"00736727"</f>
        <v>00736727</v>
      </c>
    </row>
    <row r="15164" spans="1:2" x14ac:dyDescent="0.25">
      <c r="A15164" s="2">
        <v>15159</v>
      </c>
      <c r="B15164" s="3" t="str">
        <f>"00736733"</f>
        <v>00736733</v>
      </c>
    </row>
    <row r="15165" spans="1:2" x14ac:dyDescent="0.25">
      <c r="A15165" s="2">
        <v>15160</v>
      </c>
      <c r="B15165" s="3" t="str">
        <f>"00736758"</f>
        <v>00736758</v>
      </c>
    </row>
    <row r="15166" spans="1:2" x14ac:dyDescent="0.25">
      <c r="A15166" s="2">
        <v>15161</v>
      </c>
      <c r="B15166" s="3" t="str">
        <f>"00736772"</f>
        <v>00736772</v>
      </c>
    </row>
    <row r="15167" spans="1:2" x14ac:dyDescent="0.25">
      <c r="A15167" s="2">
        <v>15162</v>
      </c>
      <c r="B15167" s="3" t="str">
        <f>"00736775"</f>
        <v>00736775</v>
      </c>
    </row>
    <row r="15168" spans="1:2" x14ac:dyDescent="0.25">
      <c r="A15168" s="2">
        <v>15163</v>
      </c>
      <c r="B15168" s="3" t="str">
        <f>"00736776"</f>
        <v>00736776</v>
      </c>
    </row>
    <row r="15169" spans="1:2" x14ac:dyDescent="0.25">
      <c r="A15169" s="2">
        <v>15164</v>
      </c>
      <c r="B15169" s="3" t="str">
        <f>"00736822"</f>
        <v>00736822</v>
      </c>
    </row>
    <row r="15170" spans="1:2" x14ac:dyDescent="0.25">
      <c r="A15170" s="2">
        <v>15165</v>
      </c>
      <c r="B15170" s="3" t="str">
        <f>"00736842"</f>
        <v>00736842</v>
      </c>
    </row>
    <row r="15171" spans="1:2" x14ac:dyDescent="0.25">
      <c r="A15171" s="2">
        <v>15166</v>
      </c>
      <c r="B15171" s="3" t="str">
        <f>"00736920"</f>
        <v>00736920</v>
      </c>
    </row>
    <row r="15172" spans="1:2" x14ac:dyDescent="0.25">
      <c r="A15172" s="2">
        <v>15167</v>
      </c>
      <c r="B15172" s="3" t="str">
        <f>"00736941"</f>
        <v>00736941</v>
      </c>
    </row>
    <row r="15173" spans="1:2" x14ac:dyDescent="0.25">
      <c r="A15173" s="2">
        <v>15168</v>
      </c>
      <c r="B15173" s="3" t="str">
        <f>"00736947"</f>
        <v>00736947</v>
      </c>
    </row>
    <row r="15174" spans="1:2" x14ac:dyDescent="0.25">
      <c r="A15174" s="2">
        <v>15169</v>
      </c>
      <c r="B15174" s="3" t="str">
        <f>"00736955"</f>
        <v>00736955</v>
      </c>
    </row>
    <row r="15175" spans="1:2" x14ac:dyDescent="0.25">
      <c r="A15175" s="2">
        <v>15170</v>
      </c>
      <c r="B15175" s="3" t="str">
        <f>"00737013"</f>
        <v>00737013</v>
      </c>
    </row>
    <row r="15176" spans="1:2" x14ac:dyDescent="0.25">
      <c r="A15176" s="2">
        <v>15171</v>
      </c>
      <c r="B15176" s="3" t="str">
        <f>"00737018"</f>
        <v>00737018</v>
      </c>
    </row>
    <row r="15177" spans="1:2" x14ac:dyDescent="0.25">
      <c r="A15177" s="2">
        <v>15172</v>
      </c>
      <c r="B15177" s="3" t="str">
        <f>"00737040"</f>
        <v>00737040</v>
      </c>
    </row>
    <row r="15178" spans="1:2" x14ac:dyDescent="0.25">
      <c r="A15178" s="2">
        <v>15173</v>
      </c>
      <c r="B15178" s="3" t="str">
        <f>"00737050"</f>
        <v>00737050</v>
      </c>
    </row>
    <row r="15179" spans="1:2" x14ac:dyDescent="0.25">
      <c r="A15179" s="2">
        <v>15174</v>
      </c>
      <c r="B15179" s="3" t="str">
        <f>"00737099"</f>
        <v>00737099</v>
      </c>
    </row>
    <row r="15180" spans="1:2" x14ac:dyDescent="0.25">
      <c r="A15180" s="2">
        <v>15175</v>
      </c>
      <c r="B15180" s="3" t="str">
        <f>"00737126"</f>
        <v>00737126</v>
      </c>
    </row>
    <row r="15181" spans="1:2" x14ac:dyDescent="0.25">
      <c r="A15181" s="2">
        <v>15176</v>
      </c>
      <c r="B15181" s="3" t="str">
        <f>"00737139"</f>
        <v>00737139</v>
      </c>
    </row>
    <row r="15182" spans="1:2" x14ac:dyDescent="0.25">
      <c r="A15182" s="2">
        <v>15177</v>
      </c>
      <c r="B15182" s="3" t="str">
        <f>"00737159"</f>
        <v>00737159</v>
      </c>
    </row>
    <row r="15183" spans="1:2" x14ac:dyDescent="0.25">
      <c r="A15183" s="2">
        <v>15178</v>
      </c>
      <c r="B15183" s="3" t="str">
        <f>"00737211"</f>
        <v>00737211</v>
      </c>
    </row>
    <row r="15184" spans="1:2" x14ac:dyDescent="0.25">
      <c r="A15184" s="2">
        <v>15179</v>
      </c>
      <c r="B15184" s="3" t="str">
        <f>"00737263"</f>
        <v>00737263</v>
      </c>
    </row>
    <row r="15185" spans="1:2" x14ac:dyDescent="0.25">
      <c r="A15185" s="2">
        <v>15180</v>
      </c>
      <c r="B15185" s="3" t="str">
        <f>"00737326"</f>
        <v>00737326</v>
      </c>
    </row>
    <row r="15186" spans="1:2" x14ac:dyDescent="0.25">
      <c r="A15186" s="2">
        <v>15181</v>
      </c>
      <c r="B15186" s="3" t="str">
        <f>"00737391"</f>
        <v>00737391</v>
      </c>
    </row>
    <row r="15187" spans="1:2" x14ac:dyDescent="0.25">
      <c r="A15187" s="2">
        <v>15182</v>
      </c>
      <c r="B15187" s="3" t="str">
        <f>"00737423"</f>
        <v>00737423</v>
      </c>
    </row>
    <row r="15188" spans="1:2" x14ac:dyDescent="0.25">
      <c r="A15188" s="2">
        <v>15183</v>
      </c>
      <c r="B15188" s="3" t="str">
        <f>"00737427"</f>
        <v>00737427</v>
      </c>
    </row>
    <row r="15189" spans="1:2" x14ac:dyDescent="0.25">
      <c r="A15189" s="2">
        <v>15184</v>
      </c>
      <c r="B15189" s="3" t="str">
        <f>"00737441"</f>
        <v>00737441</v>
      </c>
    </row>
    <row r="15190" spans="1:2" x14ac:dyDescent="0.25">
      <c r="A15190" s="2">
        <v>15185</v>
      </c>
      <c r="B15190" s="3" t="str">
        <f>"00737454"</f>
        <v>00737454</v>
      </c>
    </row>
    <row r="15191" spans="1:2" x14ac:dyDescent="0.25">
      <c r="A15191" s="2">
        <v>15186</v>
      </c>
      <c r="B15191" s="3" t="str">
        <f>"00737472"</f>
        <v>00737472</v>
      </c>
    </row>
    <row r="15192" spans="1:2" x14ac:dyDescent="0.25">
      <c r="A15192" s="2">
        <v>15187</v>
      </c>
      <c r="B15192" s="3" t="str">
        <f>"00737488"</f>
        <v>00737488</v>
      </c>
    </row>
    <row r="15193" spans="1:2" x14ac:dyDescent="0.25">
      <c r="A15193" s="2">
        <v>15188</v>
      </c>
      <c r="B15193" s="3" t="str">
        <f>"00737507"</f>
        <v>00737507</v>
      </c>
    </row>
    <row r="15194" spans="1:2" x14ac:dyDescent="0.25">
      <c r="A15194" s="2">
        <v>15189</v>
      </c>
      <c r="B15194" s="3" t="str">
        <f>"00737521"</f>
        <v>00737521</v>
      </c>
    </row>
    <row r="15195" spans="1:2" x14ac:dyDescent="0.25">
      <c r="A15195" s="2">
        <v>15190</v>
      </c>
      <c r="B15195" s="3" t="str">
        <f>"00737531"</f>
        <v>00737531</v>
      </c>
    </row>
    <row r="15196" spans="1:2" x14ac:dyDescent="0.25">
      <c r="A15196" s="2">
        <v>15191</v>
      </c>
      <c r="B15196" s="3" t="str">
        <f>"00737535"</f>
        <v>00737535</v>
      </c>
    </row>
    <row r="15197" spans="1:2" x14ac:dyDescent="0.25">
      <c r="A15197" s="2">
        <v>15192</v>
      </c>
      <c r="B15197" s="3" t="str">
        <f>"00737586"</f>
        <v>00737586</v>
      </c>
    </row>
    <row r="15198" spans="1:2" x14ac:dyDescent="0.25">
      <c r="A15198" s="2">
        <v>15193</v>
      </c>
      <c r="B15198" s="3" t="str">
        <f>"00737627"</f>
        <v>00737627</v>
      </c>
    </row>
    <row r="15199" spans="1:2" x14ac:dyDescent="0.25">
      <c r="A15199" s="2">
        <v>15194</v>
      </c>
      <c r="B15199" s="3" t="str">
        <f>"00737633"</f>
        <v>00737633</v>
      </c>
    </row>
    <row r="15200" spans="1:2" x14ac:dyDescent="0.25">
      <c r="A15200" s="2">
        <v>15195</v>
      </c>
      <c r="B15200" s="3" t="str">
        <f>"00737657"</f>
        <v>00737657</v>
      </c>
    </row>
    <row r="15201" spans="1:2" x14ac:dyDescent="0.25">
      <c r="A15201" s="2">
        <v>15196</v>
      </c>
      <c r="B15201" s="3" t="str">
        <f>"00737682"</f>
        <v>00737682</v>
      </c>
    </row>
    <row r="15202" spans="1:2" x14ac:dyDescent="0.25">
      <c r="A15202" s="2">
        <v>15197</v>
      </c>
      <c r="B15202" s="3" t="str">
        <f>"00737684"</f>
        <v>00737684</v>
      </c>
    </row>
    <row r="15203" spans="1:2" x14ac:dyDescent="0.25">
      <c r="A15203" s="2">
        <v>15198</v>
      </c>
      <c r="B15203" s="3" t="str">
        <f>"00737703"</f>
        <v>00737703</v>
      </c>
    </row>
    <row r="15204" spans="1:2" x14ac:dyDescent="0.25">
      <c r="A15204" s="2">
        <v>15199</v>
      </c>
      <c r="B15204" s="3" t="str">
        <f>"00737709"</f>
        <v>00737709</v>
      </c>
    </row>
    <row r="15205" spans="1:2" x14ac:dyDescent="0.25">
      <c r="A15205" s="2">
        <v>15200</v>
      </c>
      <c r="B15205" s="3" t="str">
        <f>"00737721"</f>
        <v>00737721</v>
      </c>
    </row>
    <row r="15206" spans="1:2" x14ac:dyDescent="0.25">
      <c r="A15206" s="2">
        <v>15201</v>
      </c>
      <c r="B15206" s="3" t="str">
        <f>"00737747"</f>
        <v>00737747</v>
      </c>
    </row>
    <row r="15207" spans="1:2" x14ac:dyDescent="0.25">
      <c r="A15207" s="2">
        <v>15202</v>
      </c>
      <c r="B15207" s="3" t="str">
        <f>"00737764"</f>
        <v>00737764</v>
      </c>
    </row>
    <row r="15208" spans="1:2" x14ac:dyDescent="0.25">
      <c r="A15208" s="2">
        <v>15203</v>
      </c>
      <c r="B15208" s="3" t="str">
        <f>"00737836"</f>
        <v>00737836</v>
      </c>
    </row>
    <row r="15209" spans="1:2" x14ac:dyDescent="0.25">
      <c r="A15209" s="2">
        <v>15204</v>
      </c>
      <c r="B15209" s="3" t="str">
        <f>"00737839"</f>
        <v>00737839</v>
      </c>
    </row>
    <row r="15210" spans="1:2" x14ac:dyDescent="0.25">
      <c r="A15210" s="2">
        <v>15205</v>
      </c>
      <c r="B15210" s="3" t="str">
        <f>"00737840"</f>
        <v>00737840</v>
      </c>
    </row>
    <row r="15211" spans="1:2" x14ac:dyDescent="0.25">
      <c r="A15211" s="2">
        <v>15206</v>
      </c>
      <c r="B15211" s="3" t="str">
        <f>"00737860"</f>
        <v>00737860</v>
      </c>
    </row>
    <row r="15212" spans="1:2" x14ac:dyDescent="0.25">
      <c r="A15212" s="2">
        <v>15207</v>
      </c>
      <c r="B15212" s="3" t="str">
        <f>"00737987"</f>
        <v>00737987</v>
      </c>
    </row>
    <row r="15213" spans="1:2" x14ac:dyDescent="0.25">
      <c r="A15213" s="2">
        <v>15208</v>
      </c>
      <c r="B15213" s="3" t="str">
        <f>"00738101"</f>
        <v>00738101</v>
      </c>
    </row>
    <row r="15214" spans="1:2" x14ac:dyDescent="0.25">
      <c r="A15214" s="2">
        <v>15209</v>
      </c>
      <c r="B15214" s="3" t="str">
        <f>"00738213"</f>
        <v>00738213</v>
      </c>
    </row>
    <row r="15215" spans="1:2" x14ac:dyDescent="0.25">
      <c r="A15215" s="2">
        <v>15210</v>
      </c>
      <c r="B15215" s="3" t="str">
        <f>"00738248"</f>
        <v>00738248</v>
      </c>
    </row>
    <row r="15216" spans="1:2" x14ac:dyDescent="0.25">
      <c r="A15216" s="2">
        <v>15211</v>
      </c>
      <c r="B15216" s="3" t="str">
        <f>"00738284"</f>
        <v>00738284</v>
      </c>
    </row>
    <row r="15217" spans="1:2" x14ac:dyDescent="0.25">
      <c r="A15217" s="2">
        <v>15212</v>
      </c>
      <c r="B15217" s="3" t="str">
        <f>"00738295"</f>
        <v>00738295</v>
      </c>
    </row>
    <row r="15218" spans="1:2" x14ac:dyDescent="0.25">
      <c r="A15218" s="2">
        <v>15213</v>
      </c>
      <c r="B15218" s="3" t="str">
        <f>"00738297"</f>
        <v>00738297</v>
      </c>
    </row>
    <row r="15219" spans="1:2" x14ac:dyDescent="0.25">
      <c r="A15219" s="2">
        <v>15214</v>
      </c>
      <c r="B15219" s="3" t="str">
        <f>"00738314"</f>
        <v>00738314</v>
      </c>
    </row>
    <row r="15220" spans="1:2" x14ac:dyDescent="0.25">
      <c r="A15220" s="2">
        <v>15215</v>
      </c>
      <c r="B15220" s="3" t="str">
        <f>"00738341"</f>
        <v>00738341</v>
      </c>
    </row>
    <row r="15221" spans="1:2" x14ac:dyDescent="0.25">
      <c r="A15221" s="2">
        <v>15216</v>
      </c>
      <c r="B15221" s="3" t="str">
        <f>"00738342"</f>
        <v>00738342</v>
      </c>
    </row>
    <row r="15222" spans="1:2" x14ac:dyDescent="0.25">
      <c r="A15222" s="2">
        <v>15217</v>
      </c>
      <c r="B15222" s="3" t="str">
        <f>"00738436"</f>
        <v>00738436</v>
      </c>
    </row>
    <row r="15223" spans="1:2" x14ac:dyDescent="0.25">
      <c r="A15223" s="2">
        <v>15218</v>
      </c>
      <c r="B15223" s="3" t="str">
        <f>"00738454"</f>
        <v>00738454</v>
      </c>
    </row>
    <row r="15224" spans="1:2" x14ac:dyDescent="0.25">
      <c r="A15224" s="2">
        <v>15219</v>
      </c>
      <c r="B15224" s="3" t="str">
        <f>"00738473"</f>
        <v>00738473</v>
      </c>
    </row>
    <row r="15225" spans="1:2" x14ac:dyDescent="0.25">
      <c r="A15225" s="2">
        <v>15220</v>
      </c>
      <c r="B15225" s="3" t="str">
        <f>"00738541"</f>
        <v>00738541</v>
      </c>
    </row>
    <row r="15226" spans="1:2" x14ac:dyDescent="0.25">
      <c r="A15226" s="2">
        <v>15221</v>
      </c>
      <c r="B15226" s="3" t="str">
        <f>"00738569"</f>
        <v>00738569</v>
      </c>
    </row>
    <row r="15227" spans="1:2" x14ac:dyDescent="0.25">
      <c r="A15227" s="2">
        <v>15222</v>
      </c>
      <c r="B15227" s="3" t="str">
        <f>"00738571"</f>
        <v>00738571</v>
      </c>
    </row>
    <row r="15228" spans="1:2" x14ac:dyDescent="0.25">
      <c r="A15228" s="2">
        <v>15223</v>
      </c>
      <c r="B15228" s="3" t="str">
        <f>"00738604"</f>
        <v>00738604</v>
      </c>
    </row>
    <row r="15229" spans="1:2" x14ac:dyDescent="0.25">
      <c r="A15229" s="2">
        <v>15224</v>
      </c>
      <c r="B15229" s="3" t="str">
        <f>"00738633"</f>
        <v>00738633</v>
      </c>
    </row>
    <row r="15230" spans="1:2" x14ac:dyDescent="0.25">
      <c r="A15230" s="2">
        <v>15225</v>
      </c>
      <c r="B15230" s="3" t="str">
        <f>"00738647"</f>
        <v>00738647</v>
      </c>
    </row>
    <row r="15231" spans="1:2" x14ac:dyDescent="0.25">
      <c r="A15231" s="2">
        <v>15226</v>
      </c>
      <c r="B15231" s="3" t="str">
        <f>"00738657"</f>
        <v>00738657</v>
      </c>
    </row>
    <row r="15232" spans="1:2" x14ac:dyDescent="0.25">
      <c r="A15232" s="2">
        <v>15227</v>
      </c>
      <c r="B15232" s="3" t="str">
        <f>"00738663"</f>
        <v>00738663</v>
      </c>
    </row>
    <row r="15233" spans="1:2" x14ac:dyDescent="0.25">
      <c r="A15233" s="2">
        <v>15228</v>
      </c>
      <c r="B15233" s="3" t="str">
        <f>"00738674"</f>
        <v>00738674</v>
      </c>
    </row>
    <row r="15234" spans="1:2" x14ac:dyDescent="0.25">
      <c r="A15234" s="2">
        <v>15229</v>
      </c>
      <c r="B15234" s="3" t="str">
        <f>"00738683"</f>
        <v>00738683</v>
      </c>
    </row>
    <row r="15235" spans="1:2" x14ac:dyDescent="0.25">
      <c r="A15235" s="2">
        <v>15230</v>
      </c>
      <c r="B15235" s="3" t="str">
        <f>"00738724"</f>
        <v>00738724</v>
      </c>
    </row>
    <row r="15236" spans="1:2" x14ac:dyDescent="0.25">
      <c r="A15236" s="2">
        <v>15231</v>
      </c>
      <c r="B15236" s="3" t="str">
        <f>"00738746"</f>
        <v>00738746</v>
      </c>
    </row>
    <row r="15237" spans="1:2" x14ac:dyDescent="0.25">
      <c r="A15237" s="2">
        <v>15232</v>
      </c>
      <c r="B15237" s="3" t="str">
        <f>"00738752"</f>
        <v>00738752</v>
      </c>
    </row>
    <row r="15238" spans="1:2" x14ac:dyDescent="0.25">
      <c r="A15238" s="2">
        <v>15233</v>
      </c>
      <c r="B15238" s="3" t="str">
        <f>"00738806"</f>
        <v>00738806</v>
      </c>
    </row>
    <row r="15239" spans="1:2" x14ac:dyDescent="0.25">
      <c r="A15239" s="2">
        <v>15234</v>
      </c>
      <c r="B15239" s="3" t="str">
        <f>"00738847"</f>
        <v>00738847</v>
      </c>
    </row>
    <row r="15240" spans="1:2" x14ac:dyDescent="0.25">
      <c r="A15240" s="2">
        <v>15235</v>
      </c>
      <c r="B15240" s="3" t="str">
        <f>"00738855"</f>
        <v>00738855</v>
      </c>
    </row>
    <row r="15241" spans="1:2" x14ac:dyDescent="0.25">
      <c r="A15241" s="2">
        <v>15236</v>
      </c>
      <c r="B15241" s="3" t="str">
        <f>"00738870"</f>
        <v>00738870</v>
      </c>
    </row>
    <row r="15242" spans="1:2" x14ac:dyDescent="0.25">
      <c r="A15242" s="2">
        <v>15237</v>
      </c>
      <c r="B15242" s="3" t="str">
        <f>"00738874"</f>
        <v>00738874</v>
      </c>
    </row>
    <row r="15243" spans="1:2" x14ac:dyDescent="0.25">
      <c r="A15243" s="2">
        <v>15238</v>
      </c>
      <c r="B15243" s="3" t="str">
        <f>"00738904"</f>
        <v>00738904</v>
      </c>
    </row>
    <row r="15244" spans="1:2" x14ac:dyDescent="0.25">
      <c r="A15244" s="2">
        <v>15239</v>
      </c>
      <c r="B15244" s="3" t="str">
        <f>"00738908"</f>
        <v>00738908</v>
      </c>
    </row>
    <row r="15245" spans="1:2" x14ac:dyDescent="0.25">
      <c r="A15245" s="2">
        <v>15240</v>
      </c>
      <c r="B15245" s="3" t="str">
        <f>"00738940"</f>
        <v>00738940</v>
      </c>
    </row>
    <row r="15246" spans="1:2" x14ac:dyDescent="0.25">
      <c r="A15246" s="2">
        <v>15241</v>
      </c>
      <c r="B15246" s="3" t="str">
        <f>"00738974"</f>
        <v>00738974</v>
      </c>
    </row>
    <row r="15247" spans="1:2" x14ac:dyDescent="0.25">
      <c r="A15247" s="2">
        <v>15242</v>
      </c>
      <c r="B15247" s="3" t="str">
        <f>"00738981"</f>
        <v>00738981</v>
      </c>
    </row>
    <row r="15248" spans="1:2" x14ac:dyDescent="0.25">
      <c r="A15248" s="2">
        <v>15243</v>
      </c>
      <c r="B15248" s="3" t="str">
        <f>"00739034"</f>
        <v>00739034</v>
      </c>
    </row>
    <row r="15249" spans="1:2" x14ac:dyDescent="0.25">
      <c r="A15249" s="2">
        <v>15244</v>
      </c>
      <c r="B15249" s="3" t="str">
        <f>"00739053"</f>
        <v>00739053</v>
      </c>
    </row>
    <row r="15250" spans="1:2" x14ac:dyDescent="0.25">
      <c r="A15250" s="2">
        <v>15245</v>
      </c>
      <c r="B15250" s="3" t="str">
        <f>"00739082"</f>
        <v>00739082</v>
      </c>
    </row>
    <row r="15251" spans="1:2" x14ac:dyDescent="0.25">
      <c r="A15251" s="2">
        <v>15246</v>
      </c>
      <c r="B15251" s="3" t="str">
        <f>"00739109"</f>
        <v>00739109</v>
      </c>
    </row>
    <row r="15252" spans="1:2" x14ac:dyDescent="0.25">
      <c r="A15252" s="2">
        <v>15247</v>
      </c>
      <c r="B15252" s="3" t="str">
        <f>"00739128"</f>
        <v>00739128</v>
      </c>
    </row>
    <row r="15253" spans="1:2" x14ac:dyDescent="0.25">
      <c r="A15253" s="2">
        <v>15248</v>
      </c>
      <c r="B15253" s="3" t="str">
        <f>"00739139"</f>
        <v>00739139</v>
      </c>
    </row>
    <row r="15254" spans="1:2" x14ac:dyDescent="0.25">
      <c r="A15254" s="2">
        <v>15249</v>
      </c>
      <c r="B15254" s="3" t="str">
        <f>"00739143"</f>
        <v>00739143</v>
      </c>
    </row>
    <row r="15255" spans="1:2" x14ac:dyDescent="0.25">
      <c r="A15255" s="2">
        <v>15250</v>
      </c>
      <c r="B15255" s="3" t="str">
        <f>"00739153"</f>
        <v>00739153</v>
      </c>
    </row>
    <row r="15256" spans="1:2" x14ac:dyDescent="0.25">
      <c r="A15256" s="2">
        <v>15251</v>
      </c>
      <c r="B15256" s="3" t="str">
        <f>"00739166"</f>
        <v>00739166</v>
      </c>
    </row>
    <row r="15257" spans="1:2" x14ac:dyDescent="0.25">
      <c r="A15257" s="2">
        <v>15252</v>
      </c>
      <c r="B15257" s="3" t="str">
        <f>"00739204"</f>
        <v>00739204</v>
      </c>
    </row>
    <row r="15258" spans="1:2" x14ac:dyDescent="0.25">
      <c r="A15258" s="2">
        <v>15253</v>
      </c>
      <c r="B15258" s="3" t="str">
        <f>"00739222"</f>
        <v>00739222</v>
      </c>
    </row>
    <row r="15259" spans="1:2" x14ac:dyDescent="0.25">
      <c r="A15259" s="2">
        <v>15254</v>
      </c>
      <c r="B15259" s="3" t="str">
        <f>"00739229"</f>
        <v>00739229</v>
      </c>
    </row>
    <row r="15260" spans="1:2" x14ac:dyDescent="0.25">
      <c r="A15260" s="2">
        <v>15255</v>
      </c>
      <c r="B15260" s="3" t="str">
        <f>"00739239"</f>
        <v>00739239</v>
      </c>
    </row>
    <row r="15261" spans="1:2" x14ac:dyDescent="0.25">
      <c r="A15261" s="2">
        <v>15256</v>
      </c>
      <c r="B15261" s="3" t="str">
        <f>"00739253"</f>
        <v>00739253</v>
      </c>
    </row>
    <row r="15262" spans="1:2" x14ac:dyDescent="0.25">
      <c r="A15262" s="2">
        <v>15257</v>
      </c>
      <c r="B15262" s="3" t="str">
        <f>"00739271"</f>
        <v>00739271</v>
      </c>
    </row>
    <row r="15263" spans="1:2" x14ac:dyDescent="0.25">
      <c r="A15263" s="2">
        <v>15258</v>
      </c>
      <c r="B15263" s="3" t="str">
        <f>"00739336"</f>
        <v>00739336</v>
      </c>
    </row>
    <row r="15264" spans="1:2" x14ac:dyDescent="0.25">
      <c r="A15264" s="2">
        <v>15259</v>
      </c>
      <c r="B15264" s="3" t="str">
        <f>"00739355"</f>
        <v>00739355</v>
      </c>
    </row>
    <row r="15265" spans="1:2" x14ac:dyDescent="0.25">
      <c r="A15265" s="2">
        <v>15260</v>
      </c>
      <c r="B15265" s="3" t="str">
        <f>"00739399"</f>
        <v>00739399</v>
      </c>
    </row>
    <row r="15266" spans="1:2" x14ac:dyDescent="0.25">
      <c r="A15266" s="2">
        <v>15261</v>
      </c>
      <c r="B15266" s="3" t="str">
        <f>"00739400"</f>
        <v>00739400</v>
      </c>
    </row>
    <row r="15267" spans="1:2" x14ac:dyDescent="0.25">
      <c r="A15267" s="2">
        <v>15262</v>
      </c>
      <c r="B15267" s="3" t="str">
        <f>"00739428"</f>
        <v>00739428</v>
      </c>
    </row>
    <row r="15268" spans="1:2" x14ac:dyDescent="0.25">
      <c r="A15268" s="2">
        <v>15263</v>
      </c>
      <c r="B15268" s="3" t="str">
        <f>"00739431"</f>
        <v>00739431</v>
      </c>
    </row>
    <row r="15269" spans="1:2" x14ac:dyDescent="0.25">
      <c r="A15269" s="2">
        <v>15264</v>
      </c>
      <c r="B15269" s="3" t="str">
        <f>"00739459"</f>
        <v>00739459</v>
      </c>
    </row>
    <row r="15270" spans="1:2" x14ac:dyDescent="0.25">
      <c r="A15270" s="2">
        <v>15265</v>
      </c>
      <c r="B15270" s="3" t="str">
        <f>"00739465"</f>
        <v>00739465</v>
      </c>
    </row>
    <row r="15271" spans="1:2" x14ac:dyDescent="0.25">
      <c r="A15271" s="2">
        <v>15266</v>
      </c>
      <c r="B15271" s="3" t="str">
        <f>"00739546"</f>
        <v>00739546</v>
      </c>
    </row>
    <row r="15272" spans="1:2" x14ac:dyDescent="0.25">
      <c r="A15272" s="2">
        <v>15267</v>
      </c>
      <c r="B15272" s="3" t="str">
        <f>"00739547"</f>
        <v>00739547</v>
      </c>
    </row>
    <row r="15273" spans="1:2" x14ac:dyDescent="0.25">
      <c r="A15273" s="2">
        <v>15268</v>
      </c>
      <c r="B15273" s="3" t="str">
        <f>"00739553"</f>
        <v>00739553</v>
      </c>
    </row>
    <row r="15274" spans="1:2" x14ac:dyDescent="0.25">
      <c r="A15274" s="2">
        <v>15269</v>
      </c>
      <c r="B15274" s="3" t="str">
        <f>"00739582"</f>
        <v>00739582</v>
      </c>
    </row>
    <row r="15275" spans="1:2" x14ac:dyDescent="0.25">
      <c r="A15275" s="2">
        <v>15270</v>
      </c>
      <c r="B15275" s="3" t="str">
        <f>"00739600"</f>
        <v>00739600</v>
      </c>
    </row>
    <row r="15276" spans="1:2" x14ac:dyDescent="0.25">
      <c r="A15276" s="2">
        <v>15271</v>
      </c>
      <c r="B15276" s="3" t="str">
        <f>"00739606"</f>
        <v>00739606</v>
      </c>
    </row>
    <row r="15277" spans="1:2" x14ac:dyDescent="0.25">
      <c r="A15277" s="2">
        <v>15272</v>
      </c>
      <c r="B15277" s="3" t="str">
        <f>"00739628"</f>
        <v>00739628</v>
      </c>
    </row>
    <row r="15278" spans="1:2" x14ac:dyDescent="0.25">
      <c r="A15278" s="2">
        <v>15273</v>
      </c>
      <c r="B15278" s="3" t="str">
        <f>"00739764"</f>
        <v>00739764</v>
      </c>
    </row>
    <row r="15279" spans="1:2" x14ac:dyDescent="0.25">
      <c r="A15279" s="2">
        <v>15274</v>
      </c>
      <c r="B15279" s="3" t="str">
        <f>"00739789"</f>
        <v>00739789</v>
      </c>
    </row>
    <row r="15280" spans="1:2" x14ac:dyDescent="0.25">
      <c r="A15280" s="2">
        <v>15275</v>
      </c>
      <c r="B15280" s="3" t="str">
        <f>"00739938"</f>
        <v>00739938</v>
      </c>
    </row>
    <row r="15281" spans="1:2" x14ac:dyDescent="0.25">
      <c r="A15281" s="2">
        <v>15276</v>
      </c>
      <c r="B15281" s="3" t="str">
        <f>"00739948"</f>
        <v>00739948</v>
      </c>
    </row>
    <row r="15282" spans="1:2" x14ac:dyDescent="0.25">
      <c r="A15282" s="2">
        <v>15277</v>
      </c>
      <c r="B15282" s="3" t="str">
        <f>"00739976"</f>
        <v>00739976</v>
      </c>
    </row>
    <row r="15283" spans="1:2" x14ac:dyDescent="0.25">
      <c r="A15283" s="2">
        <v>15278</v>
      </c>
      <c r="B15283" s="3" t="str">
        <f>"00740019"</f>
        <v>00740019</v>
      </c>
    </row>
    <row r="15284" spans="1:2" x14ac:dyDescent="0.25">
      <c r="A15284" s="2">
        <v>15279</v>
      </c>
      <c r="B15284" s="3" t="str">
        <f>"00740075"</f>
        <v>00740075</v>
      </c>
    </row>
    <row r="15285" spans="1:2" x14ac:dyDescent="0.25">
      <c r="A15285" s="2">
        <v>15280</v>
      </c>
      <c r="B15285" s="3" t="str">
        <f>"00740197"</f>
        <v>00740197</v>
      </c>
    </row>
    <row r="15286" spans="1:2" x14ac:dyDescent="0.25">
      <c r="A15286" s="2">
        <v>15281</v>
      </c>
      <c r="B15286" s="3" t="str">
        <f>"00740198"</f>
        <v>00740198</v>
      </c>
    </row>
    <row r="15287" spans="1:2" x14ac:dyDescent="0.25">
      <c r="A15287" s="2">
        <v>15282</v>
      </c>
      <c r="B15287" s="3" t="str">
        <f>"00740207"</f>
        <v>00740207</v>
      </c>
    </row>
    <row r="15288" spans="1:2" x14ac:dyDescent="0.25">
      <c r="A15288" s="2">
        <v>15283</v>
      </c>
      <c r="B15288" s="3" t="str">
        <f>"00740224"</f>
        <v>00740224</v>
      </c>
    </row>
    <row r="15289" spans="1:2" x14ac:dyDescent="0.25">
      <c r="A15289" s="2">
        <v>15284</v>
      </c>
      <c r="B15289" s="3" t="str">
        <f>"00740231"</f>
        <v>00740231</v>
      </c>
    </row>
    <row r="15290" spans="1:2" x14ac:dyDescent="0.25">
      <c r="A15290" s="2">
        <v>15285</v>
      </c>
      <c r="B15290" s="3" t="str">
        <f>"00740265"</f>
        <v>00740265</v>
      </c>
    </row>
    <row r="15291" spans="1:2" x14ac:dyDescent="0.25">
      <c r="A15291" s="2">
        <v>15286</v>
      </c>
      <c r="B15291" s="3" t="str">
        <f>"00740287"</f>
        <v>00740287</v>
      </c>
    </row>
    <row r="15292" spans="1:2" x14ac:dyDescent="0.25">
      <c r="A15292" s="2">
        <v>15287</v>
      </c>
      <c r="B15292" s="3" t="str">
        <f>"00740291"</f>
        <v>00740291</v>
      </c>
    </row>
    <row r="15293" spans="1:2" x14ac:dyDescent="0.25">
      <c r="A15293" s="2">
        <v>15288</v>
      </c>
      <c r="B15293" s="3" t="str">
        <f>"00740342"</f>
        <v>00740342</v>
      </c>
    </row>
    <row r="15294" spans="1:2" x14ac:dyDescent="0.25">
      <c r="A15294" s="2">
        <v>15289</v>
      </c>
      <c r="B15294" s="3" t="str">
        <f>"00740375"</f>
        <v>00740375</v>
      </c>
    </row>
    <row r="15295" spans="1:2" x14ac:dyDescent="0.25">
      <c r="A15295" s="2">
        <v>15290</v>
      </c>
      <c r="B15295" s="3" t="str">
        <f>"00740378"</f>
        <v>00740378</v>
      </c>
    </row>
    <row r="15296" spans="1:2" x14ac:dyDescent="0.25">
      <c r="A15296" s="2">
        <v>15291</v>
      </c>
      <c r="B15296" s="3" t="str">
        <f>"00740422"</f>
        <v>00740422</v>
      </c>
    </row>
    <row r="15297" spans="1:2" x14ac:dyDescent="0.25">
      <c r="A15297" s="2">
        <v>15292</v>
      </c>
      <c r="B15297" s="3" t="str">
        <f>"00740490"</f>
        <v>00740490</v>
      </c>
    </row>
    <row r="15298" spans="1:2" x14ac:dyDescent="0.25">
      <c r="A15298" s="2">
        <v>15293</v>
      </c>
      <c r="B15298" s="3" t="str">
        <f>"00740504"</f>
        <v>00740504</v>
      </c>
    </row>
    <row r="15299" spans="1:2" x14ac:dyDescent="0.25">
      <c r="A15299" s="2">
        <v>15294</v>
      </c>
      <c r="B15299" s="3" t="str">
        <f>"00740518"</f>
        <v>00740518</v>
      </c>
    </row>
    <row r="15300" spans="1:2" x14ac:dyDescent="0.25">
      <c r="A15300" s="2">
        <v>15295</v>
      </c>
      <c r="B15300" s="3" t="str">
        <f>"00740524"</f>
        <v>00740524</v>
      </c>
    </row>
    <row r="15301" spans="1:2" x14ac:dyDescent="0.25">
      <c r="A15301" s="2">
        <v>15296</v>
      </c>
      <c r="B15301" s="3" t="str">
        <f>"00740552"</f>
        <v>00740552</v>
      </c>
    </row>
    <row r="15302" spans="1:2" x14ac:dyDescent="0.25">
      <c r="A15302" s="2">
        <v>15297</v>
      </c>
      <c r="B15302" s="3" t="str">
        <f>"00740603"</f>
        <v>00740603</v>
      </c>
    </row>
    <row r="15303" spans="1:2" x14ac:dyDescent="0.25">
      <c r="A15303" s="2">
        <v>15298</v>
      </c>
      <c r="B15303" s="3" t="str">
        <f>"00740623"</f>
        <v>00740623</v>
      </c>
    </row>
    <row r="15304" spans="1:2" x14ac:dyDescent="0.25">
      <c r="A15304" s="2">
        <v>15299</v>
      </c>
      <c r="B15304" s="3" t="str">
        <f>"00740631"</f>
        <v>00740631</v>
      </c>
    </row>
    <row r="15305" spans="1:2" x14ac:dyDescent="0.25">
      <c r="A15305" s="2">
        <v>15300</v>
      </c>
      <c r="B15305" s="3" t="str">
        <f>"00740638"</f>
        <v>00740638</v>
      </c>
    </row>
    <row r="15306" spans="1:2" x14ac:dyDescent="0.25">
      <c r="A15306" s="2">
        <v>15301</v>
      </c>
      <c r="B15306" s="3" t="str">
        <f>"00740664"</f>
        <v>00740664</v>
      </c>
    </row>
    <row r="15307" spans="1:2" x14ac:dyDescent="0.25">
      <c r="A15307" s="2">
        <v>15302</v>
      </c>
      <c r="B15307" s="3" t="str">
        <f>"00740670"</f>
        <v>00740670</v>
      </c>
    </row>
    <row r="15308" spans="1:2" x14ac:dyDescent="0.25">
      <c r="A15308" s="2">
        <v>15303</v>
      </c>
      <c r="B15308" s="3" t="str">
        <f>"00740766"</f>
        <v>00740766</v>
      </c>
    </row>
    <row r="15309" spans="1:2" x14ac:dyDescent="0.25">
      <c r="A15309" s="2">
        <v>15304</v>
      </c>
      <c r="B15309" s="3" t="str">
        <f>"00740875"</f>
        <v>00740875</v>
      </c>
    </row>
    <row r="15310" spans="1:2" x14ac:dyDescent="0.25">
      <c r="A15310" s="2">
        <v>15305</v>
      </c>
      <c r="B15310" s="3" t="str">
        <f>"00740914"</f>
        <v>00740914</v>
      </c>
    </row>
    <row r="15311" spans="1:2" x14ac:dyDescent="0.25">
      <c r="A15311" s="2">
        <v>15306</v>
      </c>
      <c r="B15311" s="3" t="str">
        <f>"00740936"</f>
        <v>00740936</v>
      </c>
    </row>
    <row r="15312" spans="1:2" x14ac:dyDescent="0.25">
      <c r="A15312" s="2">
        <v>15307</v>
      </c>
      <c r="B15312" s="3" t="str">
        <f>"00740975"</f>
        <v>00740975</v>
      </c>
    </row>
    <row r="15313" spans="1:2" x14ac:dyDescent="0.25">
      <c r="A15313" s="2">
        <v>15308</v>
      </c>
      <c r="B15313" s="3" t="str">
        <f>"00741065"</f>
        <v>00741065</v>
      </c>
    </row>
    <row r="15314" spans="1:2" x14ac:dyDescent="0.25">
      <c r="A15314" s="2">
        <v>15309</v>
      </c>
      <c r="B15314" s="3" t="str">
        <f>"00741144"</f>
        <v>00741144</v>
      </c>
    </row>
    <row r="15315" spans="1:2" x14ac:dyDescent="0.25">
      <c r="A15315" s="2">
        <v>15310</v>
      </c>
      <c r="B15315" s="3" t="str">
        <f>"00741160"</f>
        <v>00741160</v>
      </c>
    </row>
    <row r="15316" spans="1:2" x14ac:dyDescent="0.25">
      <c r="A15316" s="2">
        <v>15311</v>
      </c>
      <c r="B15316" s="3" t="str">
        <f>"00741251"</f>
        <v>00741251</v>
      </c>
    </row>
    <row r="15317" spans="1:2" x14ac:dyDescent="0.25">
      <c r="A15317" s="2">
        <v>15312</v>
      </c>
      <c r="B15317" s="3" t="str">
        <f>"00741271"</f>
        <v>00741271</v>
      </c>
    </row>
    <row r="15318" spans="1:2" x14ac:dyDescent="0.25">
      <c r="A15318" s="2">
        <v>15313</v>
      </c>
      <c r="B15318" s="3" t="str">
        <f>"00741311"</f>
        <v>00741311</v>
      </c>
    </row>
    <row r="15319" spans="1:2" x14ac:dyDescent="0.25">
      <c r="A15319" s="2">
        <v>15314</v>
      </c>
      <c r="B15319" s="3" t="str">
        <f>"00741320"</f>
        <v>00741320</v>
      </c>
    </row>
    <row r="15320" spans="1:2" x14ac:dyDescent="0.25">
      <c r="A15320" s="2">
        <v>15315</v>
      </c>
      <c r="B15320" s="3" t="str">
        <f>"00741331"</f>
        <v>00741331</v>
      </c>
    </row>
    <row r="15321" spans="1:2" x14ac:dyDescent="0.25">
      <c r="A15321" s="2">
        <v>15316</v>
      </c>
      <c r="B15321" s="3" t="str">
        <f>"00741350"</f>
        <v>00741350</v>
      </c>
    </row>
    <row r="15322" spans="1:2" x14ac:dyDescent="0.25">
      <c r="A15322" s="2">
        <v>15317</v>
      </c>
      <c r="B15322" s="3" t="str">
        <f>"00741414"</f>
        <v>00741414</v>
      </c>
    </row>
    <row r="15323" spans="1:2" x14ac:dyDescent="0.25">
      <c r="A15323" s="2">
        <v>15318</v>
      </c>
      <c r="B15323" s="3" t="str">
        <f>"00741462"</f>
        <v>00741462</v>
      </c>
    </row>
    <row r="15324" spans="1:2" x14ac:dyDescent="0.25">
      <c r="A15324" s="2">
        <v>15319</v>
      </c>
      <c r="B15324" s="3" t="str">
        <f>"00741480"</f>
        <v>00741480</v>
      </c>
    </row>
    <row r="15325" spans="1:2" x14ac:dyDescent="0.25">
      <c r="A15325" s="2">
        <v>15320</v>
      </c>
      <c r="B15325" s="3" t="str">
        <f>"00741562"</f>
        <v>00741562</v>
      </c>
    </row>
    <row r="15326" spans="1:2" x14ac:dyDescent="0.25">
      <c r="A15326" s="2">
        <v>15321</v>
      </c>
      <c r="B15326" s="3" t="str">
        <f>"00741646"</f>
        <v>00741646</v>
      </c>
    </row>
    <row r="15327" spans="1:2" x14ac:dyDescent="0.25">
      <c r="A15327" s="2">
        <v>15322</v>
      </c>
      <c r="B15327" s="3" t="str">
        <f>"00741666"</f>
        <v>00741666</v>
      </c>
    </row>
    <row r="15328" spans="1:2" x14ac:dyDescent="0.25">
      <c r="A15328" s="2">
        <v>15323</v>
      </c>
      <c r="B15328" s="3" t="str">
        <f>"00741757"</f>
        <v>00741757</v>
      </c>
    </row>
    <row r="15329" spans="1:2" x14ac:dyDescent="0.25">
      <c r="A15329" s="2">
        <v>15324</v>
      </c>
      <c r="B15329" s="3" t="str">
        <f>"00741766"</f>
        <v>00741766</v>
      </c>
    </row>
    <row r="15330" spans="1:2" x14ac:dyDescent="0.25">
      <c r="A15330" s="2">
        <v>15325</v>
      </c>
      <c r="B15330" s="3" t="str">
        <f>"00741771"</f>
        <v>00741771</v>
      </c>
    </row>
    <row r="15331" spans="1:2" x14ac:dyDescent="0.25">
      <c r="A15331" s="2">
        <v>15326</v>
      </c>
      <c r="B15331" s="3" t="str">
        <f>"00741874"</f>
        <v>00741874</v>
      </c>
    </row>
    <row r="15332" spans="1:2" x14ac:dyDescent="0.25">
      <c r="A15332" s="2">
        <v>15327</v>
      </c>
      <c r="B15332" s="3" t="str">
        <f>"00741952"</f>
        <v>00741952</v>
      </c>
    </row>
    <row r="15333" spans="1:2" x14ac:dyDescent="0.25">
      <c r="A15333" s="2">
        <v>15328</v>
      </c>
      <c r="B15333" s="3" t="str">
        <f>"00741970"</f>
        <v>00741970</v>
      </c>
    </row>
    <row r="15334" spans="1:2" x14ac:dyDescent="0.25">
      <c r="A15334" s="2">
        <v>15329</v>
      </c>
      <c r="B15334" s="3" t="str">
        <f>"00742012"</f>
        <v>00742012</v>
      </c>
    </row>
    <row r="15335" spans="1:2" x14ac:dyDescent="0.25">
      <c r="A15335" s="2">
        <v>15330</v>
      </c>
      <c r="B15335" s="3" t="str">
        <f>"00742022"</f>
        <v>00742022</v>
      </c>
    </row>
    <row r="15336" spans="1:2" x14ac:dyDescent="0.25">
      <c r="A15336" s="2">
        <v>15331</v>
      </c>
      <c r="B15336" s="3" t="str">
        <f>"00742024"</f>
        <v>00742024</v>
      </c>
    </row>
    <row r="15337" spans="1:2" x14ac:dyDescent="0.25">
      <c r="A15337" s="2">
        <v>15332</v>
      </c>
      <c r="B15337" s="3" t="str">
        <f>"00742046"</f>
        <v>00742046</v>
      </c>
    </row>
    <row r="15338" spans="1:2" x14ac:dyDescent="0.25">
      <c r="A15338" s="2">
        <v>15333</v>
      </c>
      <c r="B15338" s="3" t="str">
        <f>"00742051"</f>
        <v>00742051</v>
      </c>
    </row>
    <row r="15339" spans="1:2" x14ac:dyDescent="0.25">
      <c r="A15339" s="2">
        <v>15334</v>
      </c>
      <c r="B15339" s="3" t="str">
        <f>"00742067"</f>
        <v>00742067</v>
      </c>
    </row>
    <row r="15340" spans="1:2" x14ac:dyDescent="0.25">
      <c r="A15340" s="2">
        <v>15335</v>
      </c>
      <c r="B15340" s="3" t="str">
        <f>"00742092"</f>
        <v>00742092</v>
      </c>
    </row>
    <row r="15341" spans="1:2" x14ac:dyDescent="0.25">
      <c r="A15341" s="2">
        <v>15336</v>
      </c>
      <c r="B15341" s="3" t="str">
        <f>"00742099"</f>
        <v>00742099</v>
      </c>
    </row>
    <row r="15342" spans="1:2" x14ac:dyDescent="0.25">
      <c r="A15342" s="2">
        <v>15337</v>
      </c>
      <c r="B15342" s="3" t="str">
        <f>"00742125"</f>
        <v>00742125</v>
      </c>
    </row>
    <row r="15343" spans="1:2" x14ac:dyDescent="0.25">
      <c r="A15343" s="2">
        <v>15338</v>
      </c>
      <c r="B15343" s="3" t="str">
        <f>"00742197"</f>
        <v>00742197</v>
      </c>
    </row>
    <row r="15344" spans="1:2" x14ac:dyDescent="0.25">
      <c r="A15344" s="2">
        <v>15339</v>
      </c>
      <c r="B15344" s="3" t="str">
        <f>"00742213"</f>
        <v>00742213</v>
      </c>
    </row>
    <row r="15345" spans="1:2" x14ac:dyDescent="0.25">
      <c r="A15345" s="2">
        <v>15340</v>
      </c>
      <c r="B15345" s="3" t="str">
        <f>"00742222"</f>
        <v>00742222</v>
      </c>
    </row>
    <row r="15346" spans="1:2" x14ac:dyDescent="0.25">
      <c r="A15346" s="2">
        <v>15341</v>
      </c>
      <c r="B15346" s="3" t="str">
        <f>"00742307"</f>
        <v>00742307</v>
      </c>
    </row>
    <row r="15347" spans="1:2" x14ac:dyDescent="0.25">
      <c r="A15347" s="2">
        <v>15342</v>
      </c>
      <c r="B15347" s="3" t="str">
        <f>"00742346"</f>
        <v>00742346</v>
      </c>
    </row>
    <row r="15348" spans="1:2" x14ac:dyDescent="0.25">
      <c r="A15348" s="2">
        <v>15343</v>
      </c>
      <c r="B15348" s="3" t="str">
        <f>"00742467"</f>
        <v>00742467</v>
      </c>
    </row>
    <row r="15349" spans="1:2" x14ac:dyDescent="0.25">
      <c r="A15349" s="2">
        <v>15344</v>
      </c>
      <c r="B15349" s="3" t="str">
        <f>"00742532"</f>
        <v>00742532</v>
      </c>
    </row>
    <row r="15350" spans="1:2" x14ac:dyDescent="0.25">
      <c r="A15350" s="2">
        <v>15345</v>
      </c>
      <c r="B15350" s="3" t="str">
        <f>"00742536"</f>
        <v>00742536</v>
      </c>
    </row>
    <row r="15351" spans="1:2" x14ac:dyDescent="0.25">
      <c r="A15351" s="2">
        <v>15346</v>
      </c>
      <c r="B15351" s="3" t="str">
        <f>"00742688"</f>
        <v>00742688</v>
      </c>
    </row>
    <row r="15352" spans="1:2" x14ac:dyDescent="0.25">
      <c r="A15352" s="2">
        <v>15347</v>
      </c>
      <c r="B15352" s="3" t="str">
        <f>"00742693"</f>
        <v>00742693</v>
      </c>
    </row>
    <row r="15353" spans="1:2" x14ac:dyDescent="0.25">
      <c r="A15353" s="2">
        <v>15348</v>
      </c>
      <c r="B15353" s="3" t="str">
        <f>"00742707"</f>
        <v>00742707</v>
      </c>
    </row>
    <row r="15354" spans="1:2" x14ac:dyDescent="0.25">
      <c r="A15354" s="2">
        <v>15349</v>
      </c>
      <c r="B15354" s="3" t="str">
        <f>"00742738"</f>
        <v>00742738</v>
      </c>
    </row>
    <row r="15355" spans="1:2" x14ac:dyDescent="0.25">
      <c r="A15355" s="2">
        <v>15350</v>
      </c>
      <c r="B15355" s="3" t="str">
        <f>"00742856"</f>
        <v>00742856</v>
      </c>
    </row>
    <row r="15356" spans="1:2" x14ac:dyDescent="0.25">
      <c r="A15356" s="2">
        <v>15351</v>
      </c>
      <c r="B15356" s="3" t="str">
        <f>"00743061"</f>
        <v>00743061</v>
      </c>
    </row>
    <row r="15357" spans="1:2" x14ac:dyDescent="0.25">
      <c r="A15357" s="2">
        <v>15352</v>
      </c>
      <c r="B15357" s="3" t="str">
        <f>"00743073"</f>
        <v>00743073</v>
      </c>
    </row>
    <row r="15358" spans="1:2" x14ac:dyDescent="0.25">
      <c r="A15358" s="2">
        <v>15353</v>
      </c>
      <c r="B15358" s="3" t="str">
        <f>"00743223"</f>
        <v>00743223</v>
      </c>
    </row>
    <row r="15359" spans="1:2" x14ac:dyDescent="0.25">
      <c r="A15359" s="2">
        <v>15354</v>
      </c>
      <c r="B15359" s="3" t="str">
        <f>"00743232"</f>
        <v>00743232</v>
      </c>
    </row>
    <row r="15360" spans="1:2" x14ac:dyDescent="0.25">
      <c r="A15360" s="2">
        <v>15355</v>
      </c>
      <c r="B15360" s="3" t="str">
        <f>"00743328"</f>
        <v>00743328</v>
      </c>
    </row>
    <row r="15361" spans="1:2" x14ac:dyDescent="0.25">
      <c r="A15361" s="2">
        <v>15356</v>
      </c>
      <c r="B15361" s="3" t="str">
        <f>"00743345"</f>
        <v>00743345</v>
      </c>
    </row>
    <row r="15362" spans="1:2" x14ac:dyDescent="0.25">
      <c r="A15362" s="2">
        <v>15357</v>
      </c>
      <c r="B15362" s="3" t="str">
        <f>"00743362"</f>
        <v>00743362</v>
      </c>
    </row>
    <row r="15363" spans="1:2" x14ac:dyDescent="0.25">
      <c r="A15363" s="2">
        <v>15358</v>
      </c>
      <c r="B15363" s="3" t="str">
        <f>"00743446"</f>
        <v>00743446</v>
      </c>
    </row>
    <row r="15364" spans="1:2" x14ac:dyDescent="0.25">
      <c r="A15364" s="2">
        <v>15359</v>
      </c>
      <c r="B15364" s="3" t="str">
        <f>"00743531"</f>
        <v>00743531</v>
      </c>
    </row>
    <row r="15365" spans="1:2" x14ac:dyDescent="0.25">
      <c r="A15365" s="2">
        <v>15360</v>
      </c>
      <c r="B15365" s="3" t="str">
        <f>"00743553"</f>
        <v>00743553</v>
      </c>
    </row>
    <row r="15366" spans="1:2" x14ac:dyDescent="0.25">
      <c r="A15366" s="2">
        <v>15361</v>
      </c>
      <c r="B15366" s="3" t="str">
        <f>"00743564"</f>
        <v>00743564</v>
      </c>
    </row>
    <row r="15367" spans="1:2" x14ac:dyDescent="0.25">
      <c r="A15367" s="2">
        <v>15362</v>
      </c>
      <c r="B15367" s="3" t="str">
        <f>"00743681"</f>
        <v>00743681</v>
      </c>
    </row>
    <row r="15368" spans="1:2" x14ac:dyDescent="0.25">
      <c r="A15368" s="2">
        <v>15363</v>
      </c>
      <c r="B15368" s="3" t="str">
        <f>"00743695"</f>
        <v>00743695</v>
      </c>
    </row>
    <row r="15369" spans="1:2" x14ac:dyDescent="0.25">
      <c r="A15369" s="2">
        <v>15364</v>
      </c>
      <c r="B15369" s="3" t="str">
        <f>"00743725"</f>
        <v>00743725</v>
      </c>
    </row>
    <row r="15370" spans="1:2" x14ac:dyDescent="0.25">
      <c r="A15370" s="2">
        <v>15365</v>
      </c>
      <c r="B15370" s="3" t="str">
        <f>"00743735"</f>
        <v>00743735</v>
      </c>
    </row>
    <row r="15371" spans="1:2" x14ac:dyDescent="0.25">
      <c r="A15371" s="2">
        <v>15366</v>
      </c>
      <c r="B15371" s="3" t="str">
        <f>"00743755"</f>
        <v>00743755</v>
      </c>
    </row>
    <row r="15372" spans="1:2" x14ac:dyDescent="0.25">
      <c r="A15372" s="2">
        <v>15367</v>
      </c>
      <c r="B15372" s="3" t="str">
        <f>"00743841"</f>
        <v>00743841</v>
      </c>
    </row>
    <row r="15373" spans="1:2" x14ac:dyDescent="0.25">
      <c r="A15373" s="2">
        <v>15368</v>
      </c>
      <c r="B15373" s="3" t="str">
        <f>"00743843"</f>
        <v>00743843</v>
      </c>
    </row>
    <row r="15374" spans="1:2" x14ac:dyDescent="0.25">
      <c r="A15374" s="2">
        <v>15369</v>
      </c>
      <c r="B15374" s="3" t="str">
        <f>"00743861"</f>
        <v>00743861</v>
      </c>
    </row>
    <row r="15375" spans="1:2" x14ac:dyDescent="0.25">
      <c r="A15375" s="2">
        <v>15370</v>
      </c>
      <c r="B15375" s="3" t="str">
        <f>"00743917"</f>
        <v>00743917</v>
      </c>
    </row>
    <row r="15376" spans="1:2" x14ac:dyDescent="0.25">
      <c r="A15376" s="2">
        <v>15371</v>
      </c>
      <c r="B15376" s="3" t="str">
        <f>"00743924"</f>
        <v>00743924</v>
      </c>
    </row>
    <row r="15377" spans="1:2" x14ac:dyDescent="0.25">
      <c r="A15377" s="2">
        <v>15372</v>
      </c>
      <c r="B15377" s="3" t="str">
        <f>"00744071"</f>
        <v>00744071</v>
      </c>
    </row>
    <row r="15378" spans="1:2" x14ac:dyDescent="0.25">
      <c r="A15378" s="2">
        <v>15373</v>
      </c>
      <c r="B15378" s="3" t="str">
        <f>"00744111"</f>
        <v>00744111</v>
      </c>
    </row>
    <row r="15379" spans="1:2" x14ac:dyDescent="0.25">
      <c r="A15379" s="2">
        <v>15374</v>
      </c>
      <c r="B15379" s="3" t="str">
        <f>"00744147"</f>
        <v>00744147</v>
      </c>
    </row>
    <row r="15380" spans="1:2" x14ac:dyDescent="0.25">
      <c r="A15380" s="2">
        <v>15375</v>
      </c>
      <c r="B15380" s="3" t="str">
        <f>"00744261"</f>
        <v>00744261</v>
      </c>
    </row>
    <row r="15381" spans="1:2" x14ac:dyDescent="0.25">
      <c r="A15381" s="2">
        <v>15376</v>
      </c>
      <c r="B15381" s="3" t="str">
        <f>"00744271"</f>
        <v>00744271</v>
      </c>
    </row>
    <row r="15382" spans="1:2" x14ac:dyDescent="0.25">
      <c r="A15382" s="2">
        <v>15377</v>
      </c>
      <c r="B15382" s="3" t="str">
        <f>"00744293"</f>
        <v>00744293</v>
      </c>
    </row>
    <row r="15383" spans="1:2" x14ac:dyDescent="0.25">
      <c r="A15383" s="2">
        <v>15378</v>
      </c>
      <c r="B15383" s="3" t="str">
        <f>"00744321"</f>
        <v>00744321</v>
      </c>
    </row>
    <row r="15384" spans="1:2" x14ac:dyDescent="0.25">
      <c r="A15384" s="2">
        <v>15379</v>
      </c>
      <c r="B15384" s="3" t="str">
        <f>"00744348"</f>
        <v>00744348</v>
      </c>
    </row>
    <row r="15385" spans="1:2" x14ac:dyDescent="0.25">
      <c r="A15385" s="2">
        <v>15380</v>
      </c>
      <c r="B15385" s="3" t="str">
        <f>"00744391"</f>
        <v>00744391</v>
      </c>
    </row>
    <row r="15386" spans="1:2" x14ac:dyDescent="0.25">
      <c r="A15386" s="2">
        <v>15381</v>
      </c>
      <c r="B15386" s="3" t="str">
        <f>"00744418"</f>
        <v>00744418</v>
      </c>
    </row>
    <row r="15387" spans="1:2" x14ac:dyDescent="0.25">
      <c r="A15387" s="2">
        <v>15382</v>
      </c>
      <c r="B15387" s="3" t="str">
        <f>"00744420"</f>
        <v>00744420</v>
      </c>
    </row>
    <row r="15388" spans="1:2" x14ac:dyDescent="0.25">
      <c r="A15388" s="2">
        <v>15383</v>
      </c>
      <c r="B15388" s="3" t="str">
        <f>"00744434"</f>
        <v>00744434</v>
      </c>
    </row>
    <row r="15389" spans="1:2" x14ac:dyDescent="0.25">
      <c r="A15389" s="2">
        <v>15384</v>
      </c>
      <c r="B15389" s="3" t="str">
        <f>"00744486"</f>
        <v>00744486</v>
      </c>
    </row>
    <row r="15390" spans="1:2" x14ac:dyDescent="0.25">
      <c r="A15390" s="2">
        <v>15385</v>
      </c>
      <c r="B15390" s="3" t="str">
        <f>"00744536"</f>
        <v>00744536</v>
      </c>
    </row>
    <row r="15391" spans="1:2" x14ac:dyDescent="0.25">
      <c r="A15391" s="2">
        <v>15386</v>
      </c>
      <c r="B15391" s="3" t="str">
        <f>"00744538"</f>
        <v>00744538</v>
      </c>
    </row>
    <row r="15392" spans="1:2" x14ac:dyDescent="0.25">
      <c r="A15392" s="2">
        <v>15387</v>
      </c>
      <c r="B15392" s="3" t="str">
        <f>"00744554"</f>
        <v>00744554</v>
      </c>
    </row>
    <row r="15393" spans="1:2" x14ac:dyDescent="0.25">
      <c r="A15393" s="2">
        <v>15388</v>
      </c>
      <c r="B15393" s="3" t="str">
        <f>"00744585"</f>
        <v>00744585</v>
      </c>
    </row>
    <row r="15394" spans="1:2" x14ac:dyDescent="0.25">
      <c r="A15394" s="2">
        <v>15389</v>
      </c>
      <c r="B15394" s="3" t="str">
        <f>"00744589"</f>
        <v>00744589</v>
      </c>
    </row>
    <row r="15395" spans="1:2" x14ac:dyDescent="0.25">
      <c r="A15395" s="2">
        <v>15390</v>
      </c>
      <c r="B15395" s="3" t="str">
        <f>"00744600"</f>
        <v>00744600</v>
      </c>
    </row>
    <row r="15396" spans="1:2" x14ac:dyDescent="0.25">
      <c r="A15396" s="2">
        <v>15391</v>
      </c>
      <c r="B15396" s="3" t="str">
        <f>"00744633"</f>
        <v>00744633</v>
      </c>
    </row>
    <row r="15397" spans="1:2" x14ac:dyDescent="0.25">
      <c r="A15397" s="2">
        <v>15392</v>
      </c>
      <c r="B15397" s="3" t="str">
        <f>"00744652"</f>
        <v>00744652</v>
      </c>
    </row>
    <row r="15398" spans="1:2" x14ac:dyDescent="0.25">
      <c r="A15398" s="2">
        <v>15393</v>
      </c>
      <c r="B15398" s="3" t="str">
        <f>"00744661"</f>
        <v>00744661</v>
      </c>
    </row>
    <row r="15399" spans="1:2" x14ac:dyDescent="0.25">
      <c r="A15399" s="2">
        <v>15394</v>
      </c>
      <c r="B15399" s="3" t="str">
        <f>"00744672"</f>
        <v>00744672</v>
      </c>
    </row>
    <row r="15400" spans="1:2" x14ac:dyDescent="0.25">
      <c r="A15400" s="2">
        <v>15395</v>
      </c>
      <c r="B15400" s="3" t="str">
        <f>"00744703"</f>
        <v>00744703</v>
      </c>
    </row>
    <row r="15401" spans="1:2" x14ac:dyDescent="0.25">
      <c r="A15401" s="2">
        <v>15396</v>
      </c>
      <c r="B15401" s="3" t="str">
        <f>"00744776"</f>
        <v>00744776</v>
      </c>
    </row>
    <row r="15402" spans="1:2" x14ac:dyDescent="0.25">
      <c r="A15402" s="2">
        <v>15397</v>
      </c>
      <c r="B15402" s="3" t="str">
        <f>"00744788"</f>
        <v>00744788</v>
      </c>
    </row>
    <row r="15403" spans="1:2" x14ac:dyDescent="0.25">
      <c r="A15403" s="2">
        <v>15398</v>
      </c>
      <c r="B15403" s="3" t="str">
        <f>"00744820"</f>
        <v>00744820</v>
      </c>
    </row>
    <row r="15404" spans="1:2" x14ac:dyDescent="0.25">
      <c r="A15404" s="2">
        <v>15399</v>
      </c>
      <c r="B15404" s="3" t="str">
        <f>"00744892"</f>
        <v>00744892</v>
      </c>
    </row>
    <row r="15405" spans="1:2" x14ac:dyDescent="0.25">
      <c r="A15405" s="2">
        <v>15400</v>
      </c>
      <c r="B15405" s="3" t="str">
        <f>"00744969"</f>
        <v>00744969</v>
      </c>
    </row>
    <row r="15406" spans="1:2" x14ac:dyDescent="0.25">
      <c r="A15406" s="2">
        <v>15401</v>
      </c>
      <c r="B15406" s="3" t="str">
        <f>"00745008"</f>
        <v>00745008</v>
      </c>
    </row>
    <row r="15407" spans="1:2" x14ac:dyDescent="0.25">
      <c r="A15407" s="2">
        <v>15402</v>
      </c>
      <c r="B15407" s="3" t="str">
        <f>"00745036"</f>
        <v>00745036</v>
      </c>
    </row>
    <row r="15408" spans="1:2" x14ac:dyDescent="0.25">
      <c r="A15408" s="2">
        <v>15403</v>
      </c>
      <c r="B15408" s="3" t="str">
        <f>"00745037"</f>
        <v>00745037</v>
      </c>
    </row>
    <row r="15409" spans="1:2" x14ac:dyDescent="0.25">
      <c r="A15409" s="2">
        <v>15404</v>
      </c>
      <c r="B15409" s="3" t="str">
        <f>"00745058"</f>
        <v>00745058</v>
      </c>
    </row>
    <row r="15410" spans="1:2" x14ac:dyDescent="0.25">
      <c r="A15410" s="2">
        <v>15405</v>
      </c>
      <c r="B15410" s="3" t="str">
        <f>"00745067"</f>
        <v>00745067</v>
      </c>
    </row>
    <row r="15411" spans="1:2" x14ac:dyDescent="0.25">
      <c r="A15411" s="2">
        <v>15406</v>
      </c>
      <c r="B15411" s="3" t="str">
        <f>"00745160"</f>
        <v>00745160</v>
      </c>
    </row>
    <row r="15412" spans="1:2" x14ac:dyDescent="0.25">
      <c r="A15412" s="2">
        <v>15407</v>
      </c>
      <c r="B15412" s="3" t="str">
        <f>"00745168"</f>
        <v>00745168</v>
      </c>
    </row>
    <row r="15413" spans="1:2" x14ac:dyDescent="0.25">
      <c r="A15413" s="2">
        <v>15408</v>
      </c>
      <c r="B15413" s="3" t="str">
        <f>"00745192"</f>
        <v>00745192</v>
      </c>
    </row>
    <row r="15414" spans="1:2" x14ac:dyDescent="0.25">
      <c r="A15414" s="2">
        <v>15409</v>
      </c>
      <c r="B15414" s="3" t="str">
        <f>"00745211"</f>
        <v>00745211</v>
      </c>
    </row>
    <row r="15415" spans="1:2" x14ac:dyDescent="0.25">
      <c r="A15415" s="2">
        <v>15410</v>
      </c>
      <c r="B15415" s="3" t="str">
        <f>"00745333"</f>
        <v>00745333</v>
      </c>
    </row>
    <row r="15416" spans="1:2" x14ac:dyDescent="0.25">
      <c r="A15416" s="2">
        <v>15411</v>
      </c>
      <c r="B15416" s="3" t="str">
        <f>"00745535"</f>
        <v>00745535</v>
      </c>
    </row>
    <row r="15417" spans="1:2" x14ac:dyDescent="0.25">
      <c r="A15417" s="2">
        <v>15412</v>
      </c>
      <c r="B15417" s="3" t="str">
        <f>"00745622"</f>
        <v>00745622</v>
      </c>
    </row>
    <row r="15418" spans="1:2" x14ac:dyDescent="0.25">
      <c r="A15418" s="2">
        <v>15413</v>
      </c>
      <c r="B15418" s="3" t="str">
        <f>"00745692"</f>
        <v>00745692</v>
      </c>
    </row>
    <row r="15419" spans="1:2" x14ac:dyDescent="0.25">
      <c r="A15419" s="2">
        <v>15414</v>
      </c>
      <c r="B15419" s="3" t="str">
        <f>"00745714"</f>
        <v>00745714</v>
      </c>
    </row>
    <row r="15420" spans="1:2" x14ac:dyDescent="0.25">
      <c r="A15420" s="2">
        <v>15415</v>
      </c>
      <c r="B15420" s="3" t="str">
        <f>"00745721"</f>
        <v>00745721</v>
      </c>
    </row>
    <row r="15421" spans="1:2" x14ac:dyDescent="0.25">
      <c r="A15421" s="2">
        <v>15416</v>
      </c>
      <c r="B15421" s="3" t="str">
        <f>"00745863"</f>
        <v>00745863</v>
      </c>
    </row>
    <row r="15422" spans="1:2" x14ac:dyDescent="0.25">
      <c r="A15422" s="2">
        <v>15417</v>
      </c>
      <c r="B15422" s="3" t="str">
        <f>"00745902"</f>
        <v>00745902</v>
      </c>
    </row>
    <row r="15423" spans="1:2" x14ac:dyDescent="0.25">
      <c r="A15423" s="2">
        <v>15418</v>
      </c>
      <c r="B15423" s="3" t="str">
        <f>"00745957"</f>
        <v>00745957</v>
      </c>
    </row>
    <row r="15424" spans="1:2" x14ac:dyDescent="0.25">
      <c r="A15424" s="2">
        <v>15419</v>
      </c>
      <c r="B15424" s="3" t="str">
        <f>"00745958"</f>
        <v>00745958</v>
      </c>
    </row>
    <row r="15425" spans="1:2" x14ac:dyDescent="0.25">
      <c r="A15425" s="2">
        <v>15420</v>
      </c>
      <c r="B15425" s="3" t="str">
        <f>"00745986"</f>
        <v>00745986</v>
      </c>
    </row>
    <row r="15426" spans="1:2" x14ac:dyDescent="0.25">
      <c r="A15426" s="2">
        <v>15421</v>
      </c>
      <c r="B15426" s="3" t="str">
        <f>"00746004"</f>
        <v>00746004</v>
      </c>
    </row>
    <row r="15427" spans="1:2" x14ac:dyDescent="0.25">
      <c r="A15427" s="2">
        <v>15422</v>
      </c>
      <c r="B15427" s="3" t="str">
        <f>"00746008"</f>
        <v>00746008</v>
      </c>
    </row>
    <row r="15428" spans="1:2" x14ac:dyDescent="0.25">
      <c r="A15428" s="2">
        <v>15423</v>
      </c>
      <c r="B15428" s="3" t="str">
        <f>"00746153"</f>
        <v>00746153</v>
      </c>
    </row>
    <row r="15429" spans="1:2" x14ac:dyDescent="0.25">
      <c r="A15429" s="2">
        <v>15424</v>
      </c>
      <c r="B15429" s="3" t="str">
        <f>"00746168"</f>
        <v>00746168</v>
      </c>
    </row>
    <row r="15430" spans="1:2" x14ac:dyDescent="0.25">
      <c r="A15430" s="2">
        <v>15425</v>
      </c>
      <c r="B15430" s="3" t="str">
        <f>"00746189"</f>
        <v>00746189</v>
      </c>
    </row>
    <row r="15431" spans="1:2" x14ac:dyDescent="0.25">
      <c r="A15431" s="2">
        <v>15426</v>
      </c>
      <c r="B15431" s="3" t="str">
        <f>"00746215"</f>
        <v>00746215</v>
      </c>
    </row>
    <row r="15432" spans="1:2" x14ac:dyDescent="0.25">
      <c r="A15432" s="2">
        <v>15427</v>
      </c>
      <c r="B15432" s="3" t="str">
        <f>"00746240"</f>
        <v>00746240</v>
      </c>
    </row>
    <row r="15433" spans="1:2" x14ac:dyDescent="0.25">
      <c r="A15433" s="2">
        <v>15428</v>
      </c>
      <c r="B15433" s="3" t="str">
        <f>"00746331"</f>
        <v>00746331</v>
      </c>
    </row>
    <row r="15434" spans="1:2" x14ac:dyDescent="0.25">
      <c r="A15434" s="2">
        <v>15429</v>
      </c>
      <c r="B15434" s="3" t="str">
        <f>"00746426"</f>
        <v>00746426</v>
      </c>
    </row>
    <row r="15435" spans="1:2" x14ac:dyDescent="0.25">
      <c r="A15435" s="2">
        <v>15430</v>
      </c>
      <c r="B15435" s="3" t="str">
        <f>"00746490"</f>
        <v>00746490</v>
      </c>
    </row>
    <row r="15436" spans="1:2" x14ac:dyDescent="0.25">
      <c r="A15436" s="2">
        <v>15431</v>
      </c>
      <c r="B15436" s="3" t="str">
        <f>"00746571"</f>
        <v>00746571</v>
      </c>
    </row>
    <row r="15437" spans="1:2" x14ac:dyDescent="0.25">
      <c r="A15437" s="2">
        <v>15432</v>
      </c>
      <c r="B15437" s="3" t="str">
        <f>"00746616"</f>
        <v>00746616</v>
      </c>
    </row>
    <row r="15438" spans="1:2" x14ac:dyDescent="0.25">
      <c r="A15438" s="2">
        <v>15433</v>
      </c>
      <c r="B15438" s="3" t="str">
        <f>"00746618"</f>
        <v>00746618</v>
      </c>
    </row>
    <row r="15439" spans="1:2" x14ac:dyDescent="0.25">
      <c r="A15439" s="2">
        <v>15434</v>
      </c>
      <c r="B15439" s="3" t="str">
        <f>"00746629"</f>
        <v>00746629</v>
      </c>
    </row>
    <row r="15440" spans="1:2" x14ac:dyDescent="0.25">
      <c r="A15440" s="2">
        <v>15435</v>
      </c>
      <c r="B15440" s="3" t="str">
        <f>"00746679"</f>
        <v>00746679</v>
      </c>
    </row>
    <row r="15441" spans="1:2" x14ac:dyDescent="0.25">
      <c r="A15441" s="2">
        <v>15436</v>
      </c>
      <c r="B15441" s="3" t="str">
        <f>"00746725"</f>
        <v>00746725</v>
      </c>
    </row>
    <row r="15442" spans="1:2" x14ac:dyDescent="0.25">
      <c r="A15442" s="2">
        <v>15437</v>
      </c>
      <c r="B15442" s="3" t="str">
        <f>"00746761"</f>
        <v>00746761</v>
      </c>
    </row>
    <row r="15443" spans="1:2" x14ac:dyDescent="0.25">
      <c r="A15443" s="2">
        <v>15438</v>
      </c>
      <c r="B15443" s="3" t="str">
        <f>"00746815"</f>
        <v>00746815</v>
      </c>
    </row>
    <row r="15444" spans="1:2" x14ac:dyDescent="0.25">
      <c r="A15444" s="2">
        <v>15439</v>
      </c>
      <c r="B15444" s="3" t="str">
        <f>"00746829"</f>
        <v>00746829</v>
      </c>
    </row>
    <row r="15445" spans="1:2" x14ac:dyDescent="0.25">
      <c r="A15445" s="2">
        <v>15440</v>
      </c>
      <c r="B15445" s="3" t="str">
        <f>"00746941"</f>
        <v>00746941</v>
      </c>
    </row>
    <row r="15446" spans="1:2" x14ac:dyDescent="0.25">
      <c r="A15446" s="2">
        <v>15441</v>
      </c>
      <c r="B15446" s="3" t="str">
        <f>"00747171"</f>
        <v>00747171</v>
      </c>
    </row>
    <row r="15447" spans="1:2" x14ac:dyDescent="0.25">
      <c r="A15447" s="2">
        <v>15442</v>
      </c>
      <c r="B15447" s="3" t="str">
        <f>"00747212"</f>
        <v>00747212</v>
      </c>
    </row>
    <row r="15448" spans="1:2" x14ac:dyDescent="0.25">
      <c r="A15448" s="2">
        <v>15443</v>
      </c>
      <c r="B15448" s="3" t="str">
        <f>"00747214"</f>
        <v>00747214</v>
      </c>
    </row>
    <row r="15449" spans="1:2" x14ac:dyDescent="0.25">
      <c r="A15449" s="2">
        <v>15444</v>
      </c>
      <c r="B15449" s="3" t="str">
        <f>"00747216"</f>
        <v>00747216</v>
      </c>
    </row>
    <row r="15450" spans="1:2" x14ac:dyDescent="0.25">
      <c r="A15450" s="2">
        <v>15445</v>
      </c>
      <c r="B15450" s="3" t="str">
        <f>"00747257"</f>
        <v>00747257</v>
      </c>
    </row>
    <row r="15451" spans="1:2" x14ac:dyDescent="0.25">
      <c r="A15451" s="2">
        <v>15446</v>
      </c>
      <c r="B15451" s="3" t="str">
        <f>"00747401"</f>
        <v>00747401</v>
      </c>
    </row>
    <row r="15452" spans="1:2" x14ac:dyDescent="0.25">
      <c r="A15452" s="2">
        <v>15447</v>
      </c>
      <c r="B15452" s="3" t="str">
        <f>"00747579"</f>
        <v>00747579</v>
      </c>
    </row>
    <row r="15453" spans="1:2" x14ac:dyDescent="0.25">
      <c r="A15453" s="2">
        <v>15448</v>
      </c>
      <c r="B15453" s="3" t="str">
        <f>"00747642"</f>
        <v>00747642</v>
      </c>
    </row>
    <row r="15454" spans="1:2" x14ac:dyDescent="0.25">
      <c r="A15454" s="2">
        <v>15449</v>
      </c>
      <c r="B15454" s="3" t="str">
        <f>"00747796"</f>
        <v>00747796</v>
      </c>
    </row>
    <row r="15455" spans="1:2" x14ac:dyDescent="0.25">
      <c r="A15455" s="2">
        <v>15450</v>
      </c>
      <c r="B15455" s="3" t="str">
        <f>"00747804"</f>
        <v>00747804</v>
      </c>
    </row>
    <row r="15456" spans="1:2" x14ac:dyDescent="0.25">
      <c r="A15456" s="2">
        <v>15451</v>
      </c>
      <c r="B15456" s="3" t="str">
        <f>"00747851"</f>
        <v>00747851</v>
      </c>
    </row>
    <row r="15457" spans="1:2" x14ac:dyDescent="0.25">
      <c r="A15457" s="2">
        <v>15452</v>
      </c>
      <c r="B15457" s="3" t="str">
        <f>"00747886"</f>
        <v>00747886</v>
      </c>
    </row>
    <row r="15458" spans="1:2" x14ac:dyDescent="0.25">
      <c r="A15458" s="2">
        <v>15453</v>
      </c>
      <c r="B15458" s="3" t="str">
        <f>"00747893"</f>
        <v>00747893</v>
      </c>
    </row>
    <row r="15459" spans="1:2" x14ac:dyDescent="0.25">
      <c r="A15459" s="2">
        <v>15454</v>
      </c>
      <c r="B15459" s="3" t="str">
        <f>"00747910"</f>
        <v>00747910</v>
      </c>
    </row>
    <row r="15460" spans="1:2" x14ac:dyDescent="0.25">
      <c r="A15460" s="2">
        <v>15455</v>
      </c>
      <c r="B15460" s="3" t="str">
        <f>"00747944"</f>
        <v>00747944</v>
      </c>
    </row>
    <row r="15461" spans="1:2" x14ac:dyDescent="0.25">
      <c r="A15461" s="2">
        <v>15456</v>
      </c>
      <c r="B15461" s="3" t="str">
        <f>"00748061"</f>
        <v>00748061</v>
      </c>
    </row>
    <row r="15462" spans="1:2" x14ac:dyDescent="0.25">
      <c r="A15462" s="2">
        <v>15457</v>
      </c>
      <c r="B15462" s="3" t="str">
        <f>"00748097"</f>
        <v>00748097</v>
      </c>
    </row>
    <row r="15463" spans="1:2" x14ac:dyDescent="0.25">
      <c r="A15463" s="2">
        <v>15458</v>
      </c>
      <c r="B15463" s="3" t="str">
        <f>"00748198"</f>
        <v>00748198</v>
      </c>
    </row>
    <row r="15464" spans="1:2" x14ac:dyDescent="0.25">
      <c r="A15464" s="2">
        <v>15459</v>
      </c>
      <c r="B15464" s="3" t="str">
        <f>"00748266"</f>
        <v>00748266</v>
      </c>
    </row>
    <row r="15465" spans="1:2" x14ac:dyDescent="0.25">
      <c r="A15465" s="2">
        <v>15460</v>
      </c>
      <c r="B15465" s="3" t="str">
        <f>"00748329"</f>
        <v>00748329</v>
      </c>
    </row>
    <row r="15466" spans="1:2" x14ac:dyDescent="0.25">
      <c r="A15466" s="2">
        <v>15461</v>
      </c>
      <c r="B15466" s="3" t="str">
        <f>"00748336"</f>
        <v>00748336</v>
      </c>
    </row>
    <row r="15467" spans="1:2" x14ac:dyDescent="0.25">
      <c r="A15467" s="2">
        <v>15462</v>
      </c>
      <c r="B15467" s="3" t="str">
        <f>"00748373"</f>
        <v>00748373</v>
      </c>
    </row>
    <row r="15468" spans="1:2" x14ac:dyDescent="0.25">
      <c r="A15468" s="2">
        <v>15463</v>
      </c>
      <c r="B15468" s="3" t="str">
        <f>"00748381"</f>
        <v>00748381</v>
      </c>
    </row>
    <row r="15469" spans="1:2" x14ac:dyDescent="0.25">
      <c r="A15469" s="2">
        <v>15464</v>
      </c>
      <c r="B15469" s="3" t="str">
        <f>"00748383"</f>
        <v>00748383</v>
      </c>
    </row>
    <row r="15470" spans="1:2" x14ac:dyDescent="0.25">
      <c r="A15470" s="2">
        <v>15465</v>
      </c>
      <c r="B15470" s="3" t="str">
        <f>"00748405"</f>
        <v>00748405</v>
      </c>
    </row>
    <row r="15471" spans="1:2" x14ac:dyDescent="0.25">
      <c r="A15471" s="2">
        <v>15466</v>
      </c>
      <c r="B15471" s="3" t="str">
        <f>"00748460"</f>
        <v>00748460</v>
      </c>
    </row>
    <row r="15472" spans="1:2" x14ac:dyDescent="0.25">
      <c r="A15472" s="2">
        <v>15467</v>
      </c>
      <c r="B15472" s="3" t="str">
        <f>"00748465"</f>
        <v>00748465</v>
      </c>
    </row>
    <row r="15473" spans="1:2" x14ac:dyDescent="0.25">
      <c r="A15473" s="2">
        <v>15468</v>
      </c>
      <c r="B15473" s="3" t="str">
        <f>"00748508"</f>
        <v>00748508</v>
      </c>
    </row>
    <row r="15474" spans="1:2" x14ac:dyDescent="0.25">
      <c r="A15474" s="2">
        <v>15469</v>
      </c>
      <c r="B15474" s="3" t="str">
        <f>"00748665"</f>
        <v>00748665</v>
      </c>
    </row>
    <row r="15475" spans="1:2" x14ac:dyDescent="0.25">
      <c r="A15475" s="2">
        <v>15470</v>
      </c>
      <c r="B15475" s="3" t="str">
        <f>"00748782"</f>
        <v>00748782</v>
      </c>
    </row>
    <row r="15476" spans="1:2" x14ac:dyDescent="0.25">
      <c r="A15476" s="2">
        <v>15471</v>
      </c>
      <c r="B15476" s="3" t="str">
        <f>"00748807"</f>
        <v>00748807</v>
      </c>
    </row>
    <row r="15477" spans="1:2" x14ac:dyDescent="0.25">
      <c r="A15477" s="2">
        <v>15472</v>
      </c>
      <c r="B15477" s="3" t="str">
        <f>"00748818"</f>
        <v>00748818</v>
      </c>
    </row>
    <row r="15478" spans="1:2" x14ac:dyDescent="0.25">
      <c r="A15478" s="2">
        <v>15473</v>
      </c>
      <c r="B15478" s="3" t="str">
        <f>"00748895"</f>
        <v>00748895</v>
      </c>
    </row>
    <row r="15479" spans="1:2" x14ac:dyDescent="0.25">
      <c r="A15479" s="2">
        <v>15474</v>
      </c>
      <c r="B15479" s="3" t="str">
        <f>"00748917"</f>
        <v>00748917</v>
      </c>
    </row>
    <row r="15480" spans="1:2" x14ac:dyDescent="0.25">
      <c r="A15480" s="2">
        <v>15475</v>
      </c>
      <c r="B15480" s="3" t="str">
        <f>"00748934"</f>
        <v>00748934</v>
      </c>
    </row>
    <row r="15481" spans="1:2" x14ac:dyDescent="0.25">
      <c r="A15481" s="2">
        <v>15476</v>
      </c>
      <c r="B15481" s="3" t="str">
        <f>"00748946"</f>
        <v>00748946</v>
      </c>
    </row>
    <row r="15482" spans="1:2" x14ac:dyDescent="0.25">
      <c r="A15482" s="2">
        <v>15477</v>
      </c>
      <c r="B15482" s="3" t="str">
        <f>"00748948"</f>
        <v>00748948</v>
      </c>
    </row>
    <row r="15483" spans="1:2" x14ac:dyDescent="0.25">
      <c r="A15483" s="2">
        <v>15478</v>
      </c>
      <c r="B15483" s="3" t="str">
        <f>"00749161"</f>
        <v>00749161</v>
      </c>
    </row>
    <row r="15484" spans="1:2" x14ac:dyDescent="0.25">
      <c r="A15484" s="2">
        <v>15479</v>
      </c>
      <c r="B15484" s="3" t="str">
        <f>"00749177"</f>
        <v>00749177</v>
      </c>
    </row>
    <row r="15485" spans="1:2" x14ac:dyDescent="0.25">
      <c r="A15485" s="2">
        <v>15480</v>
      </c>
      <c r="B15485" s="3" t="str">
        <f>"00749317"</f>
        <v>00749317</v>
      </c>
    </row>
    <row r="15486" spans="1:2" x14ac:dyDescent="0.25">
      <c r="A15486" s="2">
        <v>15481</v>
      </c>
      <c r="B15486" s="3" t="str">
        <f>"00749495"</f>
        <v>00749495</v>
      </c>
    </row>
    <row r="15487" spans="1:2" x14ac:dyDescent="0.25">
      <c r="A15487" s="2">
        <v>15482</v>
      </c>
      <c r="B15487" s="3" t="str">
        <f>"00749557"</f>
        <v>00749557</v>
      </c>
    </row>
    <row r="15488" spans="1:2" x14ac:dyDescent="0.25">
      <c r="A15488" s="2">
        <v>15483</v>
      </c>
      <c r="B15488" s="3" t="str">
        <f>"00749563"</f>
        <v>00749563</v>
      </c>
    </row>
    <row r="15489" spans="1:2" x14ac:dyDescent="0.25">
      <c r="A15489" s="2">
        <v>15484</v>
      </c>
      <c r="B15489" s="3" t="str">
        <f>"00749662"</f>
        <v>00749662</v>
      </c>
    </row>
    <row r="15490" spans="1:2" x14ac:dyDescent="0.25">
      <c r="A15490" s="2">
        <v>15485</v>
      </c>
      <c r="B15490" s="3" t="str">
        <f>"00749678"</f>
        <v>00749678</v>
      </c>
    </row>
    <row r="15491" spans="1:2" x14ac:dyDescent="0.25">
      <c r="A15491" s="2">
        <v>15486</v>
      </c>
      <c r="B15491" s="3" t="str">
        <f>"00749696"</f>
        <v>00749696</v>
      </c>
    </row>
    <row r="15492" spans="1:2" x14ac:dyDescent="0.25">
      <c r="A15492" s="2">
        <v>15487</v>
      </c>
      <c r="B15492" s="3" t="str">
        <f>"00749721"</f>
        <v>00749721</v>
      </c>
    </row>
    <row r="15493" spans="1:2" x14ac:dyDescent="0.25">
      <c r="A15493" s="2">
        <v>15488</v>
      </c>
      <c r="B15493" s="3" t="str">
        <f>"00749796"</f>
        <v>00749796</v>
      </c>
    </row>
    <row r="15494" spans="1:2" x14ac:dyDescent="0.25">
      <c r="A15494" s="2">
        <v>15489</v>
      </c>
      <c r="B15494" s="3" t="str">
        <f>"00750007"</f>
        <v>00750007</v>
      </c>
    </row>
    <row r="15495" spans="1:2" x14ac:dyDescent="0.25">
      <c r="A15495" s="2">
        <v>15490</v>
      </c>
      <c r="B15495" s="3" t="str">
        <f>"00750069"</f>
        <v>00750069</v>
      </c>
    </row>
    <row r="15496" spans="1:2" x14ac:dyDescent="0.25">
      <c r="A15496" s="2">
        <v>15491</v>
      </c>
      <c r="B15496" s="3" t="str">
        <f>"00750114"</f>
        <v>00750114</v>
      </c>
    </row>
    <row r="15497" spans="1:2" x14ac:dyDescent="0.25">
      <c r="A15497" s="2">
        <v>15492</v>
      </c>
      <c r="B15497" s="3" t="str">
        <f>"00750123"</f>
        <v>00750123</v>
      </c>
    </row>
    <row r="15498" spans="1:2" x14ac:dyDescent="0.25">
      <c r="A15498" s="2">
        <v>15493</v>
      </c>
      <c r="B15498" s="3" t="str">
        <f>"00750167"</f>
        <v>00750167</v>
      </c>
    </row>
    <row r="15499" spans="1:2" x14ac:dyDescent="0.25">
      <c r="A15499" s="2">
        <v>15494</v>
      </c>
      <c r="B15499" s="3" t="str">
        <f>"00750176"</f>
        <v>00750176</v>
      </c>
    </row>
    <row r="15500" spans="1:2" x14ac:dyDescent="0.25">
      <c r="A15500" s="2">
        <v>15495</v>
      </c>
      <c r="B15500" s="3" t="str">
        <f>"00750252"</f>
        <v>00750252</v>
      </c>
    </row>
    <row r="15501" spans="1:2" x14ac:dyDescent="0.25">
      <c r="A15501" s="2">
        <v>15496</v>
      </c>
      <c r="B15501" s="3" t="str">
        <f>"00750332"</f>
        <v>00750332</v>
      </c>
    </row>
    <row r="15502" spans="1:2" x14ac:dyDescent="0.25">
      <c r="A15502" s="2">
        <v>15497</v>
      </c>
      <c r="B15502" s="3" t="str">
        <f>"00750333"</f>
        <v>00750333</v>
      </c>
    </row>
    <row r="15503" spans="1:2" x14ac:dyDescent="0.25">
      <c r="A15503" s="2">
        <v>15498</v>
      </c>
      <c r="B15503" s="3" t="str">
        <f>"00750404"</f>
        <v>00750404</v>
      </c>
    </row>
    <row r="15504" spans="1:2" x14ac:dyDescent="0.25">
      <c r="A15504" s="2">
        <v>15499</v>
      </c>
      <c r="B15504" s="3" t="str">
        <f>"00750424"</f>
        <v>00750424</v>
      </c>
    </row>
    <row r="15505" spans="1:2" x14ac:dyDescent="0.25">
      <c r="A15505" s="2">
        <v>15500</v>
      </c>
      <c r="B15505" s="3" t="str">
        <f>"00750434"</f>
        <v>00750434</v>
      </c>
    </row>
    <row r="15506" spans="1:2" x14ac:dyDescent="0.25">
      <c r="A15506" s="2">
        <v>15501</v>
      </c>
      <c r="B15506" s="3" t="str">
        <f>"00750459"</f>
        <v>00750459</v>
      </c>
    </row>
    <row r="15507" spans="1:2" x14ac:dyDescent="0.25">
      <c r="A15507" s="2">
        <v>15502</v>
      </c>
      <c r="B15507" s="3" t="str">
        <f>"00750483"</f>
        <v>00750483</v>
      </c>
    </row>
    <row r="15508" spans="1:2" x14ac:dyDescent="0.25">
      <c r="A15508" s="2">
        <v>15503</v>
      </c>
      <c r="B15508" s="3" t="str">
        <f>"00750536"</f>
        <v>00750536</v>
      </c>
    </row>
    <row r="15509" spans="1:2" x14ac:dyDescent="0.25">
      <c r="A15509" s="2">
        <v>15504</v>
      </c>
      <c r="B15509" s="3" t="str">
        <f>"00750538"</f>
        <v>00750538</v>
      </c>
    </row>
    <row r="15510" spans="1:2" x14ac:dyDescent="0.25">
      <c r="A15510" s="2">
        <v>15505</v>
      </c>
      <c r="B15510" s="3" t="str">
        <f>"00750542"</f>
        <v>00750542</v>
      </c>
    </row>
    <row r="15511" spans="1:2" x14ac:dyDescent="0.25">
      <c r="A15511" s="2">
        <v>15506</v>
      </c>
      <c r="B15511" s="3" t="str">
        <f>"00750554"</f>
        <v>00750554</v>
      </c>
    </row>
    <row r="15512" spans="1:2" x14ac:dyDescent="0.25">
      <c r="A15512" s="2">
        <v>15507</v>
      </c>
      <c r="B15512" s="3" t="str">
        <f>"00750597"</f>
        <v>00750597</v>
      </c>
    </row>
    <row r="15513" spans="1:2" x14ac:dyDescent="0.25">
      <c r="A15513" s="2">
        <v>15508</v>
      </c>
      <c r="B15513" s="3" t="str">
        <f>"00750618"</f>
        <v>00750618</v>
      </c>
    </row>
    <row r="15514" spans="1:2" x14ac:dyDescent="0.25">
      <c r="A15514" s="2">
        <v>15509</v>
      </c>
      <c r="B15514" s="3" t="str">
        <f>"00750626"</f>
        <v>00750626</v>
      </c>
    </row>
    <row r="15515" spans="1:2" x14ac:dyDescent="0.25">
      <c r="A15515" s="2">
        <v>15510</v>
      </c>
      <c r="B15515" s="3" t="str">
        <f>"00750639"</f>
        <v>00750639</v>
      </c>
    </row>
    <row r="15516" spans="1:2" x14ac:dyDescent="0.25">
      <c r="A15516" s="2">
        <v>15511</v>
      </c>
      <c r="B15516" s="3" t="str">
        <f>"00750674"</f>
        <v>00750674</v>
      </c>
    </row>
    <row r="15517" spans="1:2" x14ac:dyDescent="0.25">
      <c r="A15517" s="2">
        <v>15512</v>
      </c>
      <c r="B15517" s="3" t="str">
        <f>"00750697"</f>
        <v>00750697</v>
      </c>
    </row>
    <row r="15518" spans="1:2" x14ac:dyDescent="0.25">
      <c r="A15518" s="2">
        <v>15513</v>
      </c>
      <c r="B15518" s="3" t="str">
        <f>"00750727"</f>
        <v>00750727</v>
      </c>
    </row>
    <row r="15519" spans="1:2" x14ac:dyDescent="0.25">
      <c r="A15519" s="2">
        <v>15514</v>
      </c>
      <c r="B15519" s="3" t="str">
        <f>"00750809"</f>
        <v>00750809</v>
      </c>
    </row>
    <row r="15520" spans="1:2" x14ac:dyDescent="0.25">
      <c r="A15520" s="2">
        <v>15515</v>
      </c>
      <c r="B15520" s="3" t="str">
        <f>"00750837"</f>
        <v>00750837</v>
      </c>
    </row>
    <row r="15521" spans="1:2" x14ac:dyDescent="0.25">
      <c r="A15521" s="2">
        <v>15516</v>
      </c>
      <c r="B15521" s="3" t="str">
        <f>"00750849"</f>
        <v>00750849</v>
      </c>
    </row>
    <row r="15522" spans="1:2" x14ac:dyDescent="0.25">
      <c r="A15522" s="2">
        <v>15517</v>
      </c>
      <c r="B15522" s="3" t="str">
        <f>"00750922"</f>
        <v>00750922</v>
      </c>
    </row>
    <row r="15523" spans="1:2" x14ac:dyDescent="0.25">
      <c r="A15523" s="2">
        <v>15518</v>
      </c>
      <c r="B15523" s="3" t="str">
        <f>"00750932"</f>
        <v>00750932</v>
      </c>
    </row>
    <row r="15524" spans="1:2" x14ac:dyDescent="0.25">
      <c r="A15524" s="2">
        <v>15519</v>
      </c>
      <c r="B15524" s="3" t="str">
        <f>"00750944"</f>
        <v>00750944</v>
      </c>
    </row>
    <row r="15525" spans="1:2" x14ac:dyDescent="0.25">
      <c r="A15525" s="2">
        <v>15520</v>
      </c>
      <c r="B15525" s="3" t="str">
        <f>"00750985"</f>
        <v>00750985</v>
      </c>
    </row>
    <row r="15526" spans="1:2" x14ac:dyDescent="0.25">
      <c r="A15526" s="2">
        <v>15521</v>
      </c>
      <c r="B15526" s="3" t="str">
        <f>"00751015"</f>
        <v>00751015</v>
      </c>
    </row>
    <row r="15527" spans="1:2" x14ac:dyDescent="0.25">
      <c r="A15527" s="2">
        <v>15522</v>
      </c>
      <c r="B15527" s="3" t="str">
        <f>"00751149"</f>
        <v>00751149</v>
      </c>
    </row>
    <row r="15528" spans="1:2" x14ac:dyDescent="0.25">
      <c r="A15528" s="2">
        <v>15523</v>
      </c>
      <c r="B15528" s="3" t="str">
        <f>"00751205"</f>
        <v>00751205</v>
      </c>
    </row>
    <row r="15529" spans="1:2" x14ac:dyDescent="0.25">
      <c r="A15529" s="2">
        <v>15524</v>
      </c>
      <c r="B15529" s="3" t="str">
        <f>"00751597"</f>
        <v>00751597</v>
      </c>
    </row>
    <row r="15530" spans="1:2" x14ac:dyDescent="0.25">
      <c r="A15530" s="2">
        <v>15525</v>
      </c>
      <c r="B15530" s="3" t="str">
        <f>"00751644"</f>
        <v>00751644</v>
      </c>
    </row>
    <row r="15531" spans="1:2" x14ac:dyDescent="0.25">
      <c r="A15531" s="2">
        <v>15526</v>
      </c>
      <c r="B15531" s="3" t="str">
        <f>"00751668"</f>
        <v>00751668</v>
      </c>
    </row>
    <row r="15532" spans="1:2" x14ac:dyDescent="0.25">
      <c r="A15532" s="2">
        <v>15527</v>
      </c>
      <c r="B15532" s="3" t="str">
        <f>"00751761"</f>
        <v>00751761</v>
      </c>
    </row>
    <row r="15533" spans="1:2" x14ac:dyDescent="0.25">
      <c r="A15533" s="2">
        <v>15528</v>
      </c>
      <c r="B15533" s="3" t="str">
        <f>"00751798"</f>
        <v>00751798</v>
      </c>
    </row>
    <row r="15534" spans="1:2" x14ac:dyDescent="0.25">
      <c r="A15534" s="2">
        <v>15529</v>
      </c>
      <c r="B15534" s="3" t="str">
        <f>"00751832"</f>
        <v>00751832</v>
      </c>
    </row>
    <row r="15535" spans="1:2" x14ac:dyDescent="0.25">
      <c r="A15535" s="2">
        <v>15530</v>
      </c>
      <c r="B15535" s="3" t="str">
        <f>"00751859"</f>
        <v>00751859</v>
      </c>
    </row>
    <row r="15536" spans="1:2" x14ac:dyDescent="0.25">
      <c r="A15536" s="2">
        <v>15531</v>
      </c>
      <c r="B15536" s="3" t="str">
        <f>"00751861"</f>
        <v>00751861</v>
      </c>
    </row>
    <row r="15537" spans="1:2" x14ac:dyDescent="0.25">
      <c r="A15537" s="2">
        <v>15532</v>
      </c>
      <c r="B15537" s="3" t="str">
        <f>"00751915"</f>
        <v>00751915</v>
      </c>
    </row>
    <row r="15538" spans="1:2" x14ac:dyDescent="0.25">
      <c r="A15538" s="2">
        <v>15533</v>
      </c>
      <c r="B15538" s="3" t="str">
        <f>"00751928"</f>
        <v>00751928</v>
      </c>
    </row>
    <row r="15539" spans="1:2" x14ac:dyDescent="0.25">
      <c r="A15539" s="2">
        <v>15534</v>
      </c>
      <c r="B15539" s="3" t="str">
        <f>"00751952"</f>
        <v>00751952</v>
      </c>
    </row>
    <row r="15540" spans="1:2" x14ac:dyDescent="0.25">
      <c r="A15540" s="2">
        <v>15535</v>
      </c>
      <c r="B15540" s="3" t="str">
        <f>"00751971"</f>
        <v>00751971</v>
      </c>
    </row>
    <row r="15541" spans="1:2" x14ac:dyDescent="0.25">
      <c r="A15541" s="2">
        <v>15536</v>
      </c>
      <c r="B15541" s="3" t="str">
        <f>"00752019"</f>
        <v>00752019</v>
      </c>
    </row>
    <row r="15542" spans="1:2" x14ac:dyDescent="0.25">
      <c r="A15542" s="2">
        <v>15537</v>
      </c>
      <c r="B15542" s="3" t="str">
        <f>"00752097"</f>
        <v>00752097</v>
      </c>
    </row>
    <row r="15543" spans="1:2" x14ac:dyDescent="0.25">
      <c r="A15543" s="2">
        <v>15538</v>
      </c>
      <c r="B15543" s="3" t="str">
        <f>"00752124"</f>
        <v>00752124</v>
      </c>
    </row>
    <row r="15544" spans="1:2" x14ac:dyDescent="0.25">
      <c r="A15544" s="2">
        <v>15539</v>
      </c>
      <c r="B15544" s="3" t="str">
        <f>"00752219"</f>
        <v>00752219</v>
      </c>
    </row>
    <row r="15545" spans="1:2" x14ac:dyDescent="0.25">
      <c r="A15545" s="2">
        <v>15540</v>
      </c>
      <c r="B15545" s="3" t="str">
        <f>"00752307"</f>
        <v>00752307</v>
      </c>
    </row>
    <row r="15546" spans="1:2" x14ac:dyDescent="0.25">
      <c r="A15546" s="2">
        <v>15541</v>
      </c>
      <c r="B15546" s="3" t="str">
        <f>"00752325"</f>
        <v>00752325</v>
      </c>
    </row>
    <row r="15547" spans="1:2" x14ac:dyDescent="0.25">
      <c r="A15547" s="2">
        <v>15542</v>
      </c>
      <c r="B15547" s="3" t="str">
        <f>"00752336"</f>
        <v>00752336</v>
      </c>
    </row>
    <row r="15548" spans="1:2" x14ac:dyDescent="0.25">
      <c r="A15548" s="2">
        <v>15543</v>
      </c>
      <c r="B15548" s="3" t="str">
        <f>"00752387"</f>
        <v>00752387</v>
      </c>
    </row>
    <row r="15549" spans="1:2" x14ac:dyDescent="0.25">
      <c r="A15549" s="2">
        <v>15544</v>
      </c>
      <c r="B15549" s="3" t="str">
        <f>"00752478"</f>
        <v>00752478</v>
      </c>
    </row>
    <row r="15550" spans="1:2" x14ac:dyDescent="0.25">
      <c r="A15550" s="2">
        <v>15545</v>
      </c>
      <c r="B15550" s="3" t="str">
        <f>"00752567"</f>
        <v>00752567</v>
      </c>
    </row>
    <row r="15551" spans="1:2" x14ac:dyDescent="0.25">
      <c r="A15551" s="2">
        <v>15546</v>
      </c>
      <c r="B15551" s="3" t="str">
        <f>"00752621"</f>
        <v>00752621</v>
      </c>
    </row>
    <row r="15552" spans="1:2" x14ac:dyDescent="0.25">
      <c r="A15552" s="2">
        <v>15547</v>
      </c>
      <c r="B15552" s="3" t="str">
        <f>"00752686"</f>
        <v>00752686</v>
      </c>
    </row>
    <row r="15553" spans="1:2" x14ac:dyDescent="0.25">
      <c r="A15553" s="2">
        <v>15548</v>
      </c>
      <c r="B15553" s="3" t="str">
        <f>"00752695"</f>
        <v>00752695</v>
      </c>
    </row>
    <row r="15554" spans="1:2" x14ac:dyDescent="0.25">
      <c r="A15554" s="2">
        <v>15549</v>
      </c>
      <c r="B15554" s="3" t="str">
        <f>"00752700"</f>
        <v>00752700</v>
      </c>
    </row>
    <row r="15555" spans="1:2" x14ac:dyDescent="0.25">
      <c r="A15555" s="2">
        <v>15550</v>
      </c>
      <c r="B15555" s="3" t="str">
        <f>"00752800"</f>
        <v>00752800</v>
      </c>
    </row>
    <row r="15556" spans="1:2" x14ac:dyDescent="0.25">
      <c r="A15556" s="2">
        <v>15551</v>
      </c>
      <c r="B15556" s="3" t="str">
        <f>"00752806"</f>
        <v>00752806</v>
      </c>
    </row>
    <row r="15557" spans="1:2" x14ac:dyDescent="0.25">
      <c r="A15557" s="2">
        <v>15552</v>
      </c>
      <c r="B15557" s="3" t="str">
        <f>"00752828"</f>
        <v>00752828</v>
      </c>
    </row>
    <row r="15558" spans="1:2" x14ac:dyDescent="0.25">
      <c r="A15558" s="2">
        <v>15553</v>
      </c>
      <c r="B15558" s="3" t="str">
        <f>"00752834"</f>
        <v>00752834</v>
      </c>
    </row>
    <row r="15559" spans="1:2" x14ac:dyDescent="0.25">
      <c r="A15559" s="2">
        <v>15554</v>
      </c>
      <c r="B15559" s="3" t="str">
        <f>"00752843"</f>
        <v>00752843</v>
      </c>
    </row>
    <row r="15560" spans="1:2" x14ac:dyDescent="0.25">
      <c r="A15560" s="2">
        <v>15555</v>
      </c>
      <c r="B15560" s="3" t="str">
        <f>"00752909"</f>
        <v>00752909</v>
      </c>
    </row>
    <row r="15561" spans="1:2" x14ac:dyDescent="0.25">
      <c r="A15561" s="2">
        <v>15556</v>
      </c>
      <c r="B15561" s="3" t="str">
        <f>"00752926"</f>
        <v>00752926</v>
      </c>
    </row>
    <row r="15562" spans="1:2" x14ac:dyDescent="0.25">
      <c r="A15562" s="2">
        <v>15557</v>
      </c>
      <c r="B15562" s="3" t="str">
        <f>"00752932"</f>
        <v>00752932</v>
      </c>
    </row>
    <row r="15563" spans="1:2" x14ac:dyDescent="0.25">
      <c r="A15563" s="2">
        <v>15558</v>
      </c>
      <c r="B15563" s="3" t="str">
        <f>"00752944"</f>
        <v>00752944</v>
      </c>
    </row>
    <row r="15564" spans="1:2" x14ac:dyDescent="0.25">
      <c r="A15564" s="2">
        <v>15559</v>
      </c>
      <c r="B15564" s="3" t="str">
        <f>"00752948"</f>
        <v>00752948</v>
      </c>
    </row>
    <row r="15565" spans="1:2" x14ac:dyDescent="0.25">
      <c r="A15565" s="2">
        <v>15560</v>
      </c>
      <c r="B15565" s="3" t="str">
        <f>"00752957"</f>
        <v>00752957</v>
      </c>
    </row>
    <row r="15566" spans="1:2" x14ac:dyDescent="0.25">
      <c r="A15566" s="2">
        <v>15561</v>
      </c>
      <c r="B15566" s="3" t="str">
        <f>"00753034"</f>
        <v>00753034</v>
      </c>
    </row>
    <row r="15567" spans="1:2" x14ac:dyDescent="0.25">
      <c r="A15567" s="2">
        <v>15562</v>
      </c>
      <c r="B15567" s="3" t="str">
        <f>"00753046"</f>
        <v>00753046</v>
      </c>
    </row>
    <row r="15568" spans="1:2" x14ac:dyDescent="0.25">
      <c r="A15568" s="2">
        <v>15563</v>
      </c>
      <c r="B15568" s="3" t="str">
        <f>"00753062"</f>
        <v>00753062</v>
      </c>
    </row>
    <row r="15569" spans="1:2" x14ac:dyDescent="0.25">
      <c r="A15569" s="2">
        <v>15564</v>
      </c>
      <c r="B15569" s="3" t="str">
        <f>"00753137"</f>
        <v>00753137</v>
      </c>
    </row>
    <row r="15570" spans="1:2" x14ac:dyDescent="0.25">
      <c r="A15570" s="2">
        <v>15565</v>
      </c>
      <c r="B15570" s="3" t="str">
        <f>"00753280"</f>
        <v>00753280</v>
      </c>
    </row>
    <row r="15571" spans="1:2" x14ac:dyDescent="0.25">
      <c r="A15571" s="2">
        <v>15566</v>
      </c>
      <c r="B15571" s="3" t="str">
        <f>"00753354"</f>
        <v>00753354</v>
      </c>
    </row>
    <row r="15572" spans="1:2" x14ac:dyDescent="0.25">
      <c r="A15572" s="2">
        <v>15567</v>
      </c>
      <c r="B15572" s="3" t="str">
        <f>"00753360"</f>
        <v>00753360</v>
      </c>
    </row>
    <row r="15573" spans="1:2" x14ac:dyDescent="0.25">
      <c r="A15573" s="2">
        <v>15568</v>
      </c>
      <c r="B15573" s="3" t="str">
        <f>"00753362"</f>
        <v>00753362</v>
      </c>
    </row>
    <row r="15574" spans="1:2" x14ac:dyDescent="0.25">
      <c r="A15574" s="2">
        <v>15569</v>
      </c>
      <c r="B15574" s="3" t="str">
        <f>"00753389"</f>
        <v>00753389</v>
      </c>
    </row>
    <row r="15575" spans="1:2" x14ac:dyDescent="0.25">
      <c r="A15575" s="2">
        <v>15570</v>
      </c>
      <c r="B15575" s="3" t="str">
        <f>"00753390"</f>
        <v>00753390</v>
      </c>
    </row>
    <row r="15576" spans="1:2" x14ac:dyDescent="0.25">
      <c r="A15576" s="2">
        <v>15571</v>
      </c>
      <c r="B15576" s="3" t="str">
        <f>"00753429"</f>
        <v>00753429</v>
      </c>
    </row>
    <row r="15577" spans="1:2" x14ac:dyDescent="0.25">
      <c r="A15577" s="2">
        <v>15572</v>
      </c>
      <c r="B15577" s="3" t="str">
        <f>"00753627"</f>
        <v>00753627</v>
      </c>
    </row>
    <row r="15578" spans="1:2" x14ac:dyDescent="0.25">
      <c r="A15578" s="2">
        <v>15573</v>
      </c>
      <c r="B15578" s="3" t="str">
        <f>"00753632"</f>
        <v>00753632</v>
      </c>
    </row>
    <row r="15579" spans="1:2" x14ac:dyDescent="0.25">
      <c r="A15579" s="2">
        <v>15574</v>
      </c>
      <c r="B15579" s="3" t="str">
        <f>"00753643"</f>
        <v>00753643</v>
      </c>
    </row>
    <row r="15580" spans="1:2" x14ac:dyDescent="0.25">
      <c r="A15580" s="2">
        <v>15575</v>
      </c>
      <c r="B15580" s="3" t="str">
        <f>"00753645"</f>
        <v>00753645</v>
      </c>
    </row>
    <row r="15581" spans="1:2" x14ac:dyDescent="0.25">
      <c r="A15581" s="2">
        <v>15576</v>
      </c>
      <c r="B15581" s="3" t="str">
        <f>"00753650"</f>
        <v>00753650</v>
      </c>
    </row>
    <row r="15582" spans="1:2" x14ac:dyDescent="0.25">
      <c r="A15582" s="2">
        <v>15577</v>
      </c>
      <c r="B15582" s="3" t="str">
        <f>"00753676"</f>
        <v>00753676</v>
      </c>
    </row>
    <row r="15583" spans="1:2" x14ac:dyDescent="0.25">
      <c r="A15583" s="2">
        <v>15578</v>
      </c>
      <c r="B15583" s="3" t="str">
        <f>"00753711"</f>
        <v>00753711</v>
      </c>
    </row>
    <row r="15584" spans="1:2" x14ac:dyDescent="0.25">
      <c r="A15584" s="2">
        <v>15579</v>
      </c>
      <c r="B15584" s="3" t="str">
        <f>"00753767"</f>
        <v>00753767</v>
      </c>
    </row>
    <row r="15585" spans="1:2" x14ac:dyDescent="0.25">
      <c r="A15585" s="2">
        <v>15580</v>
      </c>
      <c r="B15585" s="3" t="str">
        <f>"00753789"</f>
        <v>00753789</v>
      </c>
    </row>
    <row r="15586" spans="1:2" x14ac:dyDescent="0.25">
      <c r="A15586" s="2">
        <v>15581</v>
      </c>
      <c r="B15586" s="3" t="str">
        <f>"00753795"</f>
        <v>00753795</v>
      </c>
    </row>
    <row r="15587" spans="1:2" x14ac:dyDescent="0.25">
      <c r="A15587" s="2">
        <v>15582</v>
      </c>
      <c r="B15587" s="3" t="str">
        <f>"00753812"</f>
        <v>00753812</v>
      </c>
    </row>
    <row r="15588" spans="1:2" x14ac:dyDescent="0.25">
      <c r="A15588" s="2">
        <v>15583</v>
      </c>
      <c r="B15588" s="3" t="str">
        <f>"00753883"</f>
        <v>00753883</v>
      </c>
    </row>
    <row r="15589" spans="1:2" x14ac:dyDescent="0.25">
      <c r="A15589" s="2">
        <v>15584</v>
      </c>
      <c r="B15589" s="3" t="str">
        <f>"00754000"</f>
        <v>00754000</v>
      </c>
    </row>
    <row r="15590" spans="1:2" x14ac:dyDescent="0.25">
      <c r="A15590" s="2">
        <v>15585</v>
      </c>
      <c r="B15590" s="3" t="str">
        <f>"00754009"</f>
        <v>00754009</v>
      </c>
    </row>
    <row r="15591" spans="1:2" x14ac:dyDescent="0.25">
      <c r="A15591" s="2">
        <v>15586</v>
      </c>
      <c r="B15591" s="3" t="str">
        <f>"00754051"</f>
        <v>00754051</v>
      </c>
    </row>
    <row r="15592" spans="1:2" x14ac:dyDescent="0.25">
      <c r="A15592" s="2">
        <v>15587</v>
      </c>
      <c r="B15592" s="3" t="str">
        <f>"00754055"</f>
        <v>00754055</v>
      </c>
    </row>
    <row r="15593" spans="1:2" x14ac:dyDescent="0.25">
      <c r="A15593" s="2">
        <v>15588</v>
      </c>
      <c r="B15593" s="3" t="str">
        <f>"00754082"</f>
        <v>00754082</v>
      </c>
    </row>
    <row r="15594" spans="1:2" x14ac:dyDescent="0.25">
      <c r="A15594" s="2">
        <v>15589</v>
      </c>
      <c r="B15594" s="3" t="str">
        <f>"00754105"</f>
        <v>00754105</v>
      </c>
    </row>
    <row r="15595" spans="1:2" x14ac:dyDescent="0.25">
      <c r="A15595" s="2">
        <v>15590</v>
      </c>
      <c r="B15595" s="3" t="str">
        <f>"00754117"</f>
        <v>00754117</v>
      </c>
    </row>
    <row r="15596" spans="1:2" x14ac:dyDescent="0.25">
      <c r="A15596" s="2">
        <v>15591</v>
      </c>
      <c r="B15596" s="3" t="str">
        <f>"00754142"</f>
        <v>00754142</v>
      </c>
    </row>
    <row r="15597" spans="1:2" x14ac:dyDescent="0.25">
      <c r="A15597" s="2">
        <v>15592</v>
      </c>
      <c r="B15597" s="3" t="str">
        <f>"00754268"</f>
        <v>00754268</v>
      </c>
    </row>
    <row r="15598" spans="1:2" x14ac:dyDescent="0.25">
      <c r="A15598" s="2">
        <v>15593</v>
      </c>
      <c r="B15598" s="3" t="str">
        <f>"00754283"</f>
        <v>00754283</v>
      </c>
    </row>
    <row r="15599" spans="1:2" x14ac:dyDescent="0.25">
      <c r="A15599" s="2">
        <v>15594</v>
      </c>
      <c r="B15599" s="3" t="str">
        <f>"00754328"</f>
        <v>00754328</v>
      </c>
    </row>
    <row r="15600" spans="1:2" x14ac:dyDescent="0.25">
      <c r="A15600" s="2">
        <v>15595</v>
      </c>
      <c r="B15600" s="3" t="str">
        <f>"00754373"</f>
        <v>00754373</v>
      </c>
    </row>
    <row r="15601" spans="1:2" x14ac:dyDescent="0.25">
      <c r="A15601" s="2">
        <v>15596</v>
      </c>
      <c r="B15601" s="3" t="str">
        <f>"00754379"</f>
        <v>00754379</v>
      </c>
    </row>
    <row r="15602" spans="1:2" x14ac:dyDescent="0.25">
      <c r="A15602" s="2">
        <v>15597</v>
      </c>
      <c r="B15602" s="3" t="str">
        <f>"00754458"</f>
        <v>00754458</v>
      </c>
    </row>
    <row r="15603" spans="1:2" x14ac:dyDescent="0.25">
      <c r="A15603" s="2">
        <v>15598</v>
      </c>
      <c r="B15603" s="3" t="str">
        <f>"00754465"</f>
        <v>00754465</v>
      </c>
    </row>
    <row r="15604" spans="1:2" x14ac:dyDescent="0.25">
      <c r="A15604" s="2">
        <v>15599</v>
      </c>
      <c r="B15604" s="3" t="str">
        <f>"00754607"</f>
        <v>00754607</v>
      </c>
    </row>
    <row r="15605" spans="1:2" x14ac:dyDescent="0.25">
      <c r="A15605" s="2">
        <v>15600</v>
      </c>
      <c r="B15605" s="3" t="str">
        <f>"00754618"</f>
        <v>00754618</v>
      </c>
    </row>
    <row r="15606" spans="1:2" x14ac:dyDescent="0.25">
      <c r="A15606" s="2">
        <v>15601</v>
      </c>
      <c r="B15606" s="3" t="str">
        <f>"00754623"</f>
        <v>00754623</v>
      </c>
    </row>
    <row r="15607" spans="1:2" x14ac:dyDescent="0.25">
      <c r="A15607" s="2">
        <v>15602</v>
      </c>
      <c r="B15607" s="3" t="str">
        <f>"00754656"</f>
        <v>00754656</v>
      </c>
    </row>
    <row r="15608" spans="1:2" x14ac:dyDescent="0.25">
      <c r="A15608" s="2">
        <v>15603</v>
      </c>
      <c r="B15608" s="3" t="str">
        <f>"00754719"</f>
        <v>00754719</v>
      </c>
    </row>
    <row r="15609" spans="1:2" x14ac:dyDescent="0.25">
      <c r="A15609" s="2">
        <v>15604</v>
      </c>
      <c r="B15609" s="3" t="str">
        <f>"00754741"</f>
        <v>00754741</v>
      </c>
    </row>
    <row r="15610" spans="1:2" x14ac:dyDescent="0.25">
      <c r="A15610" s="2">
        <v>15605</v>
      </c>
      <c r="B15610" s="3" t="str">
        <f>"00754759"</f>
        <v>00754759</v>
      </c>
    </row>
    <row r="15611" spans="1:2" x14ac:dyDescent="0.25">
      <c r="A15611" s="2">
        <v>15606</v>
      </c>
      <c r="B15611" s="3" t="str">
        <f>"00754768"</f>
        <v>00754768</v>
      </c>
    </row>
    <row r="15612" spans="1:2" x14ac:dyDescent="0.25">
      <c r="A15612" s="2">
        <v>15607</v>
      </c>
      <c r="B15612" s="3" t="str">
        <f>"00754797"</f>
        <v>00754797</v>
      </c>
    </row>
    <row r="15613" spans="1:2" x14ac:dyDescent="0.25">
      <c r="A15613" s="2">
        <v>15608</v>
      </c>
      <c r="B15613" s="3" t="str">
        <f>"00754802"</f>
        <v>00754802</v>
      </c>
    </row>
    <row r="15614" spans="1:2" x14ac:dyDescent="0.25">
      <c r="A15614" s="2">
        <v>15609</v>
      </c>
      <c r="B15614" s="3" t="str">
        <f>"00754835"</f>
        <v>00754835</v>
      </c>
    </row>
    <row r="15615" spans="1:2" x14ac:dyDescent="0.25">
      <c r="A15615" s="2">
        <v>15610</v>
      </c>
      <c r="B15615" s="3" t="str">
        <f>"00754842"</f>
        <v>00754842</v>
      </c>
    </row>
    <row r="15616" spans="1:2" x14ac:dyDescent="0.25">
      <c r="A15616" s="2">
        <v>15611</v>
      </c>
      <c r="B15616" s="3" t="str">
        <f>"00754926"</f>
        <v>00754926</v>
      </c>
    </row>
    <row r="15617" spans="1:2" x14ac:dyDescent="0.25">
      <c r="A15617" s="2">
        <v>15612</v>
      </c>
      <c r="B15617" s="3" t="str">
        <f>"00754985"</f>
        <v>00754985</v>
      </c>
    </row>
    <row r="15618" spans="1:2" x14ac:dyDescent="0.25">
      <c r="A15618" s="2">
        <v>15613</v>
      </c>
      <c r="B15618" s="3" t="str">
        <f>"00754989"</f>
        <v>00754989</v>
      </c>
    </row>
    <row r="15619" spans="1:2" x14ac:dyDescent="0.25">
      <c r="A15619" s="2">
        <v>15614</v>
      </c>
      <c r="B15619" s="3" t="str">
        <f>"00755004"</f>
        <v>00755004</v>
      </c>
    </row>
    <row r="15620" spans="1:2" x14ac:dyDescent="0.25">
      <c r="A15620" s="2">
        <v>15615</v>
      </c>
      <c r="B15620" s="3" t="str">
        <f>"00755046"</f>
        <v>00755046</v>
      </c>
    </row>
    <row r="15621" spans="1:2" x14ac:dyDescent="0.25">
      <c r="A15621" s="2">
        <v>15616</v>
      </c>
      <c r="B15621" s="3" t="str">
        <f>"00755079"</f>
        <v>00755079</v>
      </c>
    </row>
    <row r="15622" spans="1:2" x14ac:dyDescent="0.25">
      <c r="A15622" s="2">
        <v>15617</v>
      </c>
      <c r="B15622" s="3" t="str">
        <f>"00755103"</f>
        <v>00755103</v>
      </c>
    </row>
    <row r="15623" spans="1:2" x14ac:dyDescent="0.25">
      <c r="A15623" s="2">
        <v>15618</v>
      </c>
      <c r="B15623" s="3" t="str">
        <f>"00755148"</f>
        <v>00755148</v>
      </c>
    </row>
    <row r="15624" spans="1:2" x14ac:dyDescent="0.25">
      <c r="A15624" s="2">
        <v>15619</v>
      </c>
      <c r="B15624" s="3" t="str">
        <f>"00755180"</f>
        <v>00755180</v>
      </c>
    </row>
    <row r="15625" spans="1:2" x14ac:dyDescent="0.25">
      <c r="A15625" s="2">
        <v>15620</v>
      </c>
      <c r="B15625" s="3" t="str">
        <f>"00755205"</f>
        <v>00755205</v>
      </c>
    </row>
    <row r="15626" spans="1:2" x14ac:dyDescent="0.25">
      <c r="A15626" s="2">
        <v>15621</v>
      </c>
      <c r="B15626" s="3" t="str">
        <f>"00755372"</f>
        <v>00755372</v>
      </c>
    </row>
    <row r="15627" spans="1:2" x14ac:dyDescent="0.25">
      <c r="A15627" s="2">
        <v>15622</v>
      </c>
      <c r="B15627" s="3" t="str">
        <f>"00755405"</f>
        <v>00755405</v>
      </c>
    </row>
    <row r="15628" spans="1:2" x14ac:dyDescent="0.25">
      <c r="A15628" s="2">
        <v>15623</v>
      </c>
      <c r="B15628" s="3" t="str">
        <f>"00755411"</f>
        <v>00755411</v>
      </c>
    </row>
    <row r="15629" spans="1:2" x14ac:dyDescent="0.25">
      <c r="A15629" s="2">
        <v>15624</v>
      </c>
      <c r="B15629" s="3" t="str">
        <f>"00755491"</f>
        <v>00755491</v>
      </c>
    </row>
    <row r="15630" spans="1:2" x14ac:dyDescent="0.25">
      <c r="A15630" s="2">
        <v>15625</v>
      </c>
      <c r="B15630" s="3" t="str">
        <f>"00755734"</f>
        <v>00755734</v>
      </c>
    </row>
    <row r="15631" spans="1:2" x14ac:dyDescent="0.25">
      <c r="A15631" s="2">
        <v>15626</v>
      </c>
      <c r="B15631" s="3" t="str">
        <f>"00755736"</f>
        <v>00755736</v>
      </c>
    </row>
    <row r="15632" spans="1:2" x14ac:dyDescent="0.25">
      <c r="A15632" s="2">
        <v>15627</v>
      </c>
      <c r="B15632" s="3" t="str">
        <f>"00755967"</f>
        <v>00755967</v>
      </c>
    </row>
    <row r="15633" spans="1:2" x14ac:dyDescent="0.25">
      <c r="A15633" s="2">
        <v>15628</v>
      </c>
      <c r="B15633" s="3" t="str">
        <f>"00756029"</f>
        <v>00756029</v>
      </c>
    </row>
    <row r="15634" spans="1:2" x14ac:dyDescent="0.25">
      <c r="A15634" s="2">
        <v>15629</v>
      </c>
      <c r="B15634" s="3" t="str">
        <f>"00756036"</f>
        <v>00756036</v>
      </c>
    </row>
    <row r="15635" spans="1:2" x14ac:dyDescent="0.25">
      <c r="A15635" s="2">
        <v>15630</v>
      </c>
      <c r="B15635" s="3" t="str">
        <f>"00756054"</f>
        <v>00756054</v>
      </c>
    </row>
    <row r="15636" spans="1:2" x14ac:dyDescent="0.25">
      <c r="A15636" s="2">
        <v>15631</v>
      </c>
      <c r="B15636" s="3" t="str">
        <f>"00756421"</f>
        <v>00756421</v>
      </c>
    </row>
    <row r="15637" spans="1:2" x14ac:dyDescent="0.25">
      <c r="A15637" s="2">
        <v>15632</v>
      </c>
      <c r="B15637" s="3" t="str">
        <f>"00756599"</f>
        <v>00756599</v>
      </c>
    </row>
    <row r="15638" spans="1:2" x14ac:dyDescent="0.25">
      <c r="A15638" s="2">
        <v>15633</v>
      </c>
      <c r="B15638" s="3" t="str">
        <f>"00756784"</f>
        <v>00756784</v>
      </c>
    </row>
    <row r="15639" spans="1:2" x14ac:dyDescent="0.25">
      <c r="A15639" s="2">
        <v>15634</v>
      </c>
      <c r="B15639" s="3" t="str">
        <f>"00756821"</f>
        <v>00756821</v>
      </c>
    </row>
    <row r="15640" spans="1:2" x14ac:dyDescent="0.25">
      <c r="A15640" s="2">
        <v>15635</v>
      </c>
      <c r="B15640" s="3" t="str">
        <f>"00756825"</f>
        <v>00756825</v>
      </c>
    </row>
    <row r="15641" spans="1:2" x14ac:dyDescent="0.25">
      <c r="A15641" s="2">
        <v>15636</v>
      </c>
      <c r="B15641" s="3" t="str">
        <f>"00756839"</f>
        <v>00756839</v>
      </c>
    </row>
    <row r="15642" spans="1:2" x14ac:dyDescent="0.25">
      <c r="A15642" s="2">
        <v>15637</v>
      </c>
      <c r="B15642" s="3" t="str">
        <f>"00756915"</f>
        <v>00756915</v>
      </c>
    </row>
    <row r="15643" spans="1:2" x14ac:dyDescent="0.25">
      <c r="A15643" s="2">
        <v>15638</v>
      </c>
      <c r="B15643" s="3" t="str">
        <f>"00756956"</f>
        <v>00756956</v>
      </c>
    </row>
    <row r="15644" spans="1:2" x14ac:dyDescent="0.25">
      <c r="A15644" s="2">
        <v>15639</v>
      </c>
      <c r="B15644" s="3" t="str">
        <f>"00756958"</f>
        <v>00756958</v>
      </c>
    </row>
    <row r="15645" spans="1:2" x14ac:dyDescent="0.25">
      <c r="A15645" s="2">
        <v>15640</v>
      </c>
      <c r="B15645" s="3" t="str">
        <f>"00756962"</f>
        <v>00756962</v>
      </c>
    </row>
    <row r="15646" spans="1:2" x14ac:dyDescent="0.25">
      <c r="A15646" s="2">
        <v>15641</v>
      </c>
      <c r="B15646" s="3" t="str">
        <f>"00757250"</f>
        <v>00757250</v>
      </c>
    </row>
    <row r="15647" spans="1:2" x14ac:dyDescent="0.25">
      <c r="A15647" s="2">
        <v>15642</v>
      </c>
      <c r="B15647" s="3" t="str">
        <f>"00757256"</f>
        <v>00757256</v>
      </c>
    </row>
    <row r="15648" spans="1:2" x14ac:dyDescent="0.25">
      <c r="A15648" s="2">
        <v>15643</v>
      </c>
      <c r="B15648" s="3" t="str">
        <f>"00757294"</f>
        <v>00757294</v>
      </c>
    </row>
    <row r="15649" spans="1:2" x14ac:dyDescent="0.25">
      <c r="A15649" s="2">
        <v>15644</v>
      </c>
      <c r="B15649" s="3" t="str">
        <f>"00757306"</f>
        <v>00757306</v>
      </c>
    </row>
    <row r="15650" spans="1:2" x14ac:dyDescent="0.25">
      <c r="A15650" s="2">
        <v>15645</v>
      </c>
      <c r="B15650" s="3" t="str">
        <f>"00757314"</f>
        <v>00757314</v>
      </c>
    </row>
    <row r="15651" spans="1:2" x14ac:dyDescent="0.25">
      <c r="A15651" s="2">
        <v>15646</v>
      </c>
      <c r="B15651" s="3" t="str">
        <f>"00757358"</f>
        <v>00757358</v>
      </c>
    </row>
    <row r="15652" spans="1:2" x14ac:dyDescent="0.25">
      <c r="A15652" s="2">
        <v>15647</v>
      </c>
      <c r="B15652" s="3" t="str">
        <f>"00757385"</f>
        <v>00757385</v>
      </c>
    </row>
    <row r="15653" spans="1:2" x14ac:dyDescent="0.25">
      <c r="A15653" s="2">
        <v>15648</v>
      </c>
      <c r="B15653" s="3" t="str">
        <f>"00757410"</f>
        <v>00757410</v>
      </c>
    </row>
    <row r="15654" spans="1:2" x14ac:dyDescent="0.25">
      <c r="A15654" s="2">
        <v>15649</v>
      </c>
      <c r="B15654" s="3" t="str">
        <f>"00757488"</f>
        <v>00757488</v>
      </c>
    </row>
    <row r="15655" spans="1:2" x14ac:dyDescent="0.25">
      <c r="A15655" s="2">
        <v>15650</v>
      </c>
      <c r="B15655" s="3" t="str">
        <f>"00757493"</f>
        <v>00757493</v>
      </c>
    </row>
    <row r="15656" spans="1:2" x14ac:dyDescent="0.25">
      <c r="A15656" s="2">
        <v>15651</v>
      </c>
      <c r="B15656" s="3" t="str">
        <f>"00757508"</f>
        <v>00757508</v>
      </c>
    </row>
    <row r="15657" spans="1:2" x14ac:dyDescent="0.25">
      <c r="A15657" s="2">
        <v>15652</v>
      </c>
      <c r="B15657" s="3" t="str">
        <f>"00757565"</f>
        <v>00757565</v>
      </c>
    </row>
    <row r="15658" spans="1:2" x14ac:dyDescent="0.25">
      <c r="A15658" s="2">
        <v>15653</v>
      </c>
      <c r="B15658" s="3" t="str">
        <f>"00757584"</f>
        <v>00757584</v>
      </c>
    </row>
    <row r="15659" spans="1:2" x14ac:dyDescent="0.25">
      <c r="A15659" s="2">
        <v>15654</v>
      </c>
      <c r="B15659" s="3" t="str">
        <f>"00757605"</f>
        <v>00757605</v>
      </c>
    </row>
    <row r="15660" spans="1:2" x14ac:dyDescent="0.25">
      <c r="A15660" s="2">
        <v>15655</v>
      </c>
      <c r="B15660" s="3" t="str">
        <f>"00757615"</f>
        <v>00757615</v>
      </c>
    </row>
    <row r="15661" spans="1:2" x14ac:dyDescent="0.25">
      <c r="A15661" s="2">
        <v>15656</v>
      </c>
      <c r="B15661" s="3" t="str">
        <f>"00757663"</f>
        <v>00757663</v>
      </c>
    </row>
    <row r="15662" spans="1:2" x14ac:dyDescent="0.25">
      <c r="A15662" s="2">
        <v>15657</v>
      </c>
      <c r="B15662" s="3" t="str">
        <f>"00757695"</f>
        <v>00757695</v>
      </c>
    </row>
    <row r="15663" spans="1:2" x14ac:dyDescent="0.25">
      <c r="A15663" s="2">
        <v>15658</v>
      </c>
      <c r="B15663" s="3" t="str">
        <f>"00757729"</f>
        <v>00757729</v>
      </c>
    </row>
    <row r="15664" spans="1:2" x14ac:dyDescent="0.25">
      <c r="A15664" s="2">
        <v>15659</v>
      </c>
      <c r="B15664" s="3" t="str">
        <f>"00757894"</f>
        <v>00757894</v>
      </c>
    </row>
    <row r="15665" spans="1:2" x14ac:dyDescent="0.25">
      <c r="A15665" s="2">
        <v>15660</v>
      </c>
      <c r="B15665" s="3" t="str">
        <f>"00757895"</f>
        <v>00757895</v>
      </c>
    </row>
    <row r="15666" spans="1:2" x14ac:dyDescent="0.25">
      <c r="A15666" s="2">
        <v>15661</v>
      </c>
      <c r="B15666" s="3" t="str">
        <f>"00757960"</f>
        <v>00757960</v>
      </c>
    </row>
    <row r="15667" spans="1:2" x14ac:dyDescent="0.25">
      <c r="A15667" s="2">
        <v>15662</v>
      </c>
      <c r="B15667" s="3" t="str">
        <f>"00757993"</f>
        <v>00757993</v>
      </c>
    </row>
    <row r="15668" spans="1:2" x14ac:dyDescent="0.25">
      <c r="A15668" s="2">
        <v>15663</v>
      </c>
      <c r="B15668" s="3" t="str">
        <f>"00758020"</f>
        <v>00758020</v>
      </c>
    </row>
    <row r="15669" spans="1:2" x14ac:dyDescent="0.25">
      <c r="A15669" s="2">
        <v>15664</v>
      </c>
      <c r="B15669" s="3" t="str">
        <f>"00758077"</f>
        <v>00758077</v>
      </c>
    </row>
    <row r="15670" spans="1:2" x14ac:dyDescent="0.25">
      <c r="A15670" s="2">
        <v>15665</v>
      </c>
      <c r="B15670" s="3" t="str">
        <f>"00758087"</f>
        <v>00758087</v>
      </c>
    </row>
    <row r="15671" spans="1:2" x14ac:dyDescent="0.25">
      <c r="A15671" s="2">
        <v>15666</v>
      </c>
      <c r="B15671" s="3" t="str">
        <f>"00758139"</f>
        <v>00758139</v>
      </c>
    </row>
    <row r="15672" spans="1:2" x14ac:dyDescent="0.25">
      <c r="A15672" s="2">
        <v>15667</v>
      </c>
      <c r="B15672" s="3" t="str">
        <f>"00758170"</f>
        <v>00758170</v>
      </c>
    </row>
    <row r="15673" spans="1:2" x14ac:dyDescent="0.25">
      <c r="A15673" s="2">
        <v>15668</v>
      </c>
      <c r="B15673" s="3" t="str">
        <f>"00758205"</f>
        <v>00758205</v>
      </c>
    </row>
    <row r="15674" spans="1:2" x14ac:dyDescent="0.25">
      <c r="A15674" s="2">
        <v>15669</v>
      </c>
      <c r="B15674" s="3" t="str">
        <f>"00758250"</f>
        <v>00758250</v>
      </c>
    </row>
    <row r="15675" spans="1:2" x14ac:dyDescent="0.25">
      <c r="A15675" s="2">
        <v>15670</v>
      </c>
      <c r="B15675" s="3" t="str">
        <f>"00758287"</f>
        <v>00758287</v>
      </c>
    </row>
    <row r="15676" spans="1:2" x14ac:dyDescent="0.25">
      <c r="A15676" s="2">
        <v>15671</v>
      </c>
      <c r="B15676" s="3" t="str">
        <f>"00758345"</f>
        <v>00758345</v>
      </c>
    </row>
    <row r="15677" spans="1:2" x14ac:dyDescent="0.25">
      <c r="A15677" s="2">
        <v>15672</v>
      </c>
      <c r="B15677" s="3" t="str">
        <f>"00758390"</f>
        <v>00758390</v>
      </c>
    </row>
    <row r="15678" spans="1:2" x14ac:dyDescent="0.25">
      <c r="A15678" s="2">
        <v>15673</v>
      </c>
      <c r="B15678" s="3" t="str">
        <f>"00758408"</f>
        <v>00758408</v>
      </c>
    </row>
    <row r="15679" spans="1:2" x14ac:dyDescent="0.25">
      <c r="A15679" s="2">
        <v>15674</v>
      </c>
      <c r="B15679" s="3" t="str">
        <f>"00758419"</f>
        <v>00758419</v>
      </c>
    </row>
    <row r="15680" spans="1:2" x14ac:dyDescent="0.25">
      <c r="A15680" s="2">
        <v>15675</v>
      </c>
      <c r="B15680" s="3" t="str">
        <f>"00758447"</f>
        <v>00758447</v>
      </c>
    </row>
    <row r="15681" spans="1:2" x14ac:dyDescent="0.25">
      <c r="A15681" s="2">
        <v>15676</v>
      </c>
      <c r="B15681" s="3" t="str">
        <f>"00758466"</f>
        <v>00758466</v>
      </c>
    </row>
    <row r="15682" spans="1:2" x14ac:dyDescent="0.25">
      <c r="A15682" s="2">
        <v>15677</v>
      </c>
      <c r="B15682" s="3" t="str">
        <f>"00758467"</f>
        <v>00758467</v>
      </c>
    </row>
    <row r="15683" spans="1:2" x14ac:dyDescent="0.25">
      <c r="A15683" s="2">
        <v>15678</v>
      </c>
      <c r="B15683" s="3" t="str">
        <f>"00758522"</f>
        <v>00758522</v>
      </c>
    </row>
    <row r="15684" spans="1:2" x14ac:dyDescent="0.25">
      <c r="A15684" s="2">
        <v>15679</v>
      </c>
      <c r="B15684" s="3" t="str">
        <f>"00758557"</f>
        <v>00758557</v>
      </c>
    </row>
    <row r="15685" spans="1:2" x14ac:dyDescent="0.25">
      <c r="A15685" s="2">
        <v>15680</v>
      </c>
      <c r="B15685" s="3" t="str">
        <f>"00758722"</f>
        <v>00758722</v>
      </c>
    </row>
    <row r="15686" spans="1:2" x14ac:dyDescent="0.25">
      <c r="A15686" s="2">
        <v>15681</v>
      </c>
      <c r="B15686" s="3" t="str">
        <f>"00758745"</f>
        <v>00758745</v>
      </c>
    </row>
    <row r="15687" spans="1:2" x14ac:dyDescent="0.25">
      <c r="A15687" s="2">
        <v>15682</v>
      </c>
      <c r="B15687" s="3" t="str">
        <f>"00758819"</f>
        <v>00758819</v>
      </c>
    </row>
    <row r="15688" spans="1:2" x14ac:dyDescent="0.25">
      <c r="A15688" s="2">
        <v>15683</v>
      </c>
      <c r="B15688" s="3" t="str">
        <f>"00758824"</f>
        <v>00758824</v>
      </c>
    </row>
    <row r="15689" spans="1:2" x14ac:dyDescent="0.25">
      <c r="A15689" s="2">
        <v>15684</v>
      </c>
      <c r="B15689" s="3" t="str">
        <f>"00758974"</f>
        <v>00758974</v>
      </c>
    </row>
    <row r="15690" spans="1:2" x14ac:dyDescent="0.25">
      <c r="A15690" s="2">
        <v>15685</v>
      </c>
      <c r="B15690" s="3" t="str">
        <f>"00759099"</f>
        <v>00759099</v>
      </c>
    </row>
    <row r="15691" spans="1:2" x14ac:dyDescent="0.25">
      <c r="A15691" s="2">
        <v>15686</v>
      </c>
      <c r="B15691" s="3" t="str">
        <f>"00759152"</f>
        <v>00759152</v>
      </c>
    </row>
    <row r="15692" spans="1:2" x14ac:dyDescent="0.25">
      <c r="A15692" s="2">
        <v>15687</v>
      </c>
      <c r="B15692" s="3" t="str">
        <f>"00759177"</f>
        <v>00759177</v>
      </c>
    </row>
    <row r="15693" spans="1:2" x14ac:dyDescent="0.25">
      <c r="A15693" s="2">
        <v>15688</v>
      </c>
      <c r="B15693" s="3" t="str">
        <f>"00759350"</f>
        <v>00759350</v>
      </c>
    </row>
    <row r="15694" spans="1:2" x14ac:dyDescent="0.25">
      <c r="A15694" s="2">
        <v>15689</v>
      </c>
      <c r="B15694" s="3" t="str">
        <f>"00759369"</f>
        <v>00759369</v>
      </c>
    </row>
    <row r="15695" spans="1:2" x14ac:dyDescent="0.25">
      <c r="A15695" s="2">
        <v>15690</v>
      </c>
      <c r="B15695" s="3" t="str">
        <f>"00759389"</f>
        <v>00759389</v>
      </c>
    </row>
    <row r="15696" spans="1:2" x14ac:dyDescent="0.25">
      <c r="A15696" s="2">
        <v>15691</v>
      </c>
      <c r="B15696" s="3" t="str">
        <f>"00759455"</f>
        <v>00759455</v>
      </c>
    </row>
    <row r="15697" spans="1:2" x14ac:dyDescent="0.25">
      <c r="A15697" s="2">
        <v>15692</v>
      </c>
      <c r="B15697" s="3" t="str">
        <f>"00759552"</f>
        <v>00759552</v>
      </c>
    </row>
    <row r="15698" spans="1:2" x14ac:dyDescent="0.25">
      <c r="A15698" s="2">
        <v>15693</v>
      </c>
      <c r="B15698" s="3" t="str">
        <f>"00759556"</f>
        <v>00759556</v>
      </c>
    </row>
    <row r="15699" spans="1:2" x14ac:dyDescent="0.25">
      <c r="A15699" s="2">
        <v>15694</v>
      </c>
      <c r="B15699" s="3" t="str">
        <f>"00759597"</f>
        <v>00759597</v>
      </c>
    </row>
    <row r="15700" spans="1:2" x14ac:dyDescent="0.25">
      <c r="A15700" s="2">
        <v>15695</v>
      </c>
      <c r="B15700" s="3" t="str">
        <f>"00759687"</f>
        <v>00759687</v>
      </c>
    </row>
    <row r="15701" spans="1:2" x14ac:dyDescent="0.25">
      <c r="A15701" s="2">
        <v>15696</v>
      </c>
      <c r="B15701" s="3" t="str">
        <f>"00759703"</f>
        <v>00759703</v>
      </c>
    </row>
    <row r="15702" spans="1:2" x14ac:dyDescent="0.25">
      <c r="A15702" s="2">
        <v>15697</v>
      </c>
      <c r="B15702" s="3" t="str">
        <f>"00759828"</f>
        <v>00759828</v>
      </c>
    </row>
    <row r="15703" spans="1:2" x14ac:dyDescent="0.25">
      <c r="A15703" s="2">
        <v>15698</v>
      </c>
      <c r="B15703" s="3" t="str">
        <f>"00759879"</f>
        <v>00759879</v>
      </c>
    </row>
    <row r="15704" spans="1:2" x14ac:dyDescent="0.25">
      <c r="A15704" s="2">
        <v>15699</v>
      </c>
      <c r="B15704" s="3" t="str">
        <f>"00759918"</f>
        <v>00759918</v>
      </c>
    </row>
    <row r="15705" spans="1:2" x14ac:dyDescent="0.25">
      <c r="A15705" s="2">
        <v>15700</v>
      </c>
      <c r="B15705" s="3" t="str">
        <f>"00759928"</f>
        <v>00759928</v>
      </c>
    </row>
    <row r="15706" spans="1:2" x14ac:dyDescent="0.25">
      <c r="A15706" s="2">
        <v>15701</v>
      </c>
      <c r="B15706" s="3" t="str">
        <f>"00760018"</f>
        <v>00760018</v>
      </c>
    </row>
    <row r="15707" spans="1:2" x14ac:dyDescent="0.25">
      <c r="A15707" s="2">
        <v>15702</v>
      </c>
      <c r="B15707" s="3" t="str">
        <f>"00760138"</f>
        <v>00760138</v>
      </c>
    </row>
    <row r="15708" spans="1:2" x14ac:dyDescent="0.25">
      <c r="A15708" s="2">
        <v>15703</v>
      </c>
      <c r="B15708" s="3" t="str">
        <f>"00760264"</f>
        <v>00760264</v>
      </c>
    </row>
    <row r="15709" spans="1:2" x14ac:dyDescent="0.25">
      <c r="A15709" s="2">
        <v>15704</v>
      </c>
      <c r="B15709" s="3" t="str">
        <f>"00760339"</f>
        <v>00760339</v>
      </c>
    </row>
    <row r="15710" spans="1:2" x14ac:dyDescent="0.25">
      <c r="A15710" s="2">
        <v>15705</v>
      </c>
      <c r="B15710" s="3" t="str">
        <f>"00760361"</f>
        <v>00760361</v>
      </c>
    </row>
    <row r="15711" spans="1:2" x14ac:dyDescent="0.25">
      <c r="A15711" s="2">
        <v>15706</v>
      </c>
      <c r="B15711" s="3" t="str">
        <f>"00760406"</f>
        <v>00760406</v>
      </c>
    </row>
    <row r="15712" spans="1:2" x14ac:dyDescent="0.25">
      <c r="A15712" s="2">
        <v>15707</v>
      </c>
      <c r="B15712" s="3" t="str">
        <f>"00760450"</f>
        <v>00760450</v>
      </c>
    </row>
    <row r="15713" spans="1:2" x14ac:dyDescent="0.25">
      <c r="A15713" s="2">
        <v>15708</v>
      </c>
      <c r="B15713" s="3" t="str">
        <f>"00760555"</f>
        <v>00760555</v>
      </c>
    </row>
    <row r="15714" spans="1:2" x14ac:dyDescent="0.25">
      <c r="A15714" s="2">
        <v>15709</v>
      </c>
      <c r="B15714" s="3" t="str">
        <f>"00760579"</f>
        <v>00760579</v>
      </c>
    </row>
    <row r="15715" spans="1:2" x14ac:dyDescent="0.25">
      <c r="A15715" s="2">
        <v>15710</v>
      </c>
      <c r="B15715" s="3" t="str">
        <f>"00760666"</f>
        <v>00760666</v>
      </c>
    </row>
    <row r="15716" spans="1:2" x14ac:dyDescent="0.25">
      <c r="A15716" s="2">
        <v>15711</v>
      </c>
      <c r="B15716" s="3" t="str">
        <f>"00760730"</f>
        <v>00760730</v>
      </c>
    </row>
    <row r="15717" spans="1:2" x14ac:dyDescent="0.25">
      <c r="A15717" s="2">
        <v>15712</v>
      </c>
      <c r="B15717" s="3" t="str">
        <f>"00760737"</f>
        <v>00760737</v>
      </c>
    </row>
    <row r="15718" spans="1:2" x14ac:dyDescent="0.25">
      <c r="A15718" s="2">
        <v>15713</v>
      </c>
      <c r="B15718" s="3" t="str">
        <f>"00760816"</f>
        <v>00760816</v>
      </c>
    </row>
    <row r="15719" spans="1:2" x14ac:dyDescent="0.25">
      <c r="A15719" s="2">
        <v>15714</v>
      </c>
      <c r="B15719" s="3" t="str">
        <f>"00760844"</f>
        <v>00760844</v>
      </c>
    </row>
    <row r="15720" spans="1:2" x14ac:dyDescent="0.25">
      <c r="A15720" s="2">
        <v>15715</v>
      </c>
      <c r="B15720" s="3" t="str">
        <f>"00760858"</f>
        <v>00760858</v>
      </c>
    </row>
    <row r="15721" spans="1:2" x14ac:dyDescent="0.25">
      <c r="A15721" s="2">
        <v>15716</v>
      </c>
      <c r="B15721" s="3" t="str">
        <f>"00760880"</f>
        <v>00760880</v>
      </c>
    </row>
    <row r="15722" spans="1:2" x14ac:dyDescent="0.25">
      <c r="A15722" s="2">
        <v>15717</v>
      </c>
      <c r="B15722" s="3" t="str">
        <f>"00761118"</f>
        <v>00761118</v>
      </c>
    </row>
    <row r="15723" spans="1:2" x14ac:dyDescent="0.25">
      <c r="A15723" s="2">
        <v>15718</v>
      </c>
      <c r="B15723" s="3" t="str">
        <f>"00761156"</f>
        <v>00761156</v>
      </c>
    </row>
    <row r="15724" spans="1:2" x14ac:dyDescent="0.25">
      <c r="A15724" s="2">
        <v>15719</v>
      </c>
      <c r="B15724" s="3" t="str">
        <f>"00761179"</f>
        <v>00761179</v>
      </c>
    </row>
    <row r="15725" spans="1:2" x14ac:dyDescent="0.25">
      <c r="A15725" s="2">
        <v>15720</v>
      </c>
      <c r="B15725" s="3" t="str">
        <f>"00761189"</f>
        <v>00761189</v>
      </c>
    </row>
    <row r="15726" spans="1:2" x14ac:dyDescent="0.25">
      <c r="A15726" s="2">
        <v>15721</v>
      </c>
      <c r="B15726" s="3" t="str">
        <f>"00761190"</f>
        <v>00761190</v>
      </c>
    </row>
    <row r="15727" spans="1:2" x14ac:dyDescent="0.25">
      <c r="A15727" s="2">
        <v>15722</v>
      </c>
      <c r="B15727" s="3" t="str">
        <f>"00761253"</f>
        <v>00761253</v>
      </c>
    </row>
    <row r="15728" spans="1:2" x14ac:dyDescent="0.25">
      <c r="A15728" s="2">
        <v>15723</v>
      </c>
      <c r="B15728" s="3" t="str">
        <f>"00761313"</f>
        <v>00761313</v>
      </c>
    </row>
    <row r="15729" spans="1:2" x14ac:dyDescent="0.25">
      <c r="A15729" s="2">
        <v>15724</v>
      </c>
      <c r="B15729" s="3" t="str">
        <f>"00761378"</f>
        <v>00761378</v>
      </c>
    </row>
    <row r="15730" spans="1:2" x14ac:dyDescent="0.25">
      <c r="A15730" s="2">
        <v>15725</v>
      </c>
      <c r="B15730" s="3" t="str">
        <f>"00761505"</f>
        <v>00761505</v>
      </c>
    </row>
    <row r="15731" spans="1:2" x14ac:dyDescent="0.25">
      <c r="A15731" s="2">
        <v>15726</v>
      </c>
      <c r="B15731" s="3" t="str">
        <f>"00761555"</f>
        <v>00761555</v>
      </c>
    </row>
    <row r="15732" spans="1:2" x14ac:dyDescent="0.25">
      <c r="A15732" s="2">
        <v>15727</v>
      </c>
      <c r="B15732" s="3" t="str">
        <f>"00761616"</f>
        <v>00761616</v>
      </c>
    </row>
    <row r="15733" spans="1:2" x14ac:dyDescent="0.25">
      <c r="A15733" s="2">
        <v>15728</v>
      </c>
      <c r="B15733" s="3" t="str">
        <f>"00761802"</f>
        <v>00761802</v>
      </c>
    </row>
    <row r="15734" spans="1:2" x14ac:dyDescent="0.25">
      <c r="A15734" s="2">
        <v>15729</v>
      </c>
      <c r="B15734" s="3" t="str">
        <f>"00761835"</f>
        <v>00761835</v>
      </c>
    </row>
    <row r="15735" spans="1:2" x14ac:dyDescent="0.25">
      <c r="A15735" s="2">
        <v>15730</v>
      </c>
      <c r="B15735" s="3" t="str">
        <f>"00761868"</f>
        <v>00761868</v>
      </c>
    </row>
    <row r="15736" spans="1:2" x14ac:dyDescent="0.25">
      <c r="A15736" s="2">
        <v>15731</v>
      </c>
      <c r="B15736" s="3" t="str">
        <f>"00761896"</f>
        <v>00761896</v>
      </c>
    </row>
    <row r="15737" spans="1:2" x14ac:dyDescent="0.25">
      <c r="A15737" s="2">
        <v>15732</v>
      </c>
      <c r="B15737" s="3" t="str">
        <f>"00762027"</f>
        <v>00762027</v>
      </c>
    </row>
    <row r="15738" spans="1:2" x14ac:dyDescent="0.25">
      <c r="A15738" s="2">
        <v>15733</v>
      </c>
      <c r="B15738" s="3" t="str">
        <f>"00762057"</f>
        <v>00762057</v>
      </c>
    </row>
    <row r="15739" spans="1:2" x14ac:dyDescent="0.25">
      <c r="A15739" s="2">
        <v>15734</v>
      </c>
      <c r="B15739" s="3" t="str">
        <f>"00762092"</f>
        <v>00762092</v>
      </c>
    </row>
    <row r="15740" spans="1:2" x14ac:dyDescent="0.25">
      <c r="A15740" s="2">
        <v>15735</v>
      </c>
      <c r="B15740" s="3" t="str">
        <f>"00762106"</f>
        <v>00762106</v>
      </c>
    </row>
    <row r="15741" spans="1:2" x14ac:dyDescent="0.25">
      <c r="A15741" s="2">
        <v>15736</v>
      </c>
      <c r="B15741" s="3" t="str">
        <f>"00762340"</f>
        <v>00762340</v>
      </c>
    </row>
    <row r="15742" spans="1:2" x14ac:dyDescent="0.25">
      <c r="A15742" s="2">
        <v>15737</v>
      </c>
      <c r="B15742" s="3" t="str">
        <f>"00762349"</f>
        <v>00762349</v>
      </c>
    </row>
    <row r="15743" spans="1:2" x14ac:dyDescent="0.25">
      <c r="A15743" s="2">
        <v>15738</v>
      </c>
      <c r="B15743" s="3" t="str">
        <f>"00762479"</f>
        <v>00762479</v>
      </c>
    </row>
    <row r="15744" spans="1:2" x14ac:dyDescent="0.25">
      <c r="A15744" s="2">
        <v>15739</v>
      </c>
      <c r="B15744" s="3" t="str">
        <f>"00762516"</f>
        <v>00762516</v>
      </c>
    </row>
    <row r="15745" spans="1:2" x14ac:dyDescent="0.25">
      <c r="A15745" s="2">
        <v>15740</v>
      </c>
      <c r="B15745" s="3" t="str">
        <f>"00762525"</f>
        <v>00762525</v>
      </c>
    </row>
    <row r="15746" spans="1:2" x14ac:dyDescent="0.25">
      <c r="A15746" s="2">
        <v>15741</v>
      </c>
      <c r="B15746" s="3" t="str">
        <f>"00762677"</f>
        <v>00762677</v>
      </c>
    </row>
    <row r="15747" spans="1:2" x14ac:dyDescent="0.25">
      <c r="A15747" s="2">
        <v>15742</v>
      </c>
      <c r="B15747" s="3" t="str">
        <f>"00762712"</f>
        <v>00762712</v>
      </c>
    </row>
    <row r="15748" spans="1:2" x14ac:dyDescent="0.25">
      <c r="A15748" s="2">
        <v>15743</v>
      </c>
      <c r="B15748" s="3" t="str">
        <f>"00762757"</f>
        <v>00762757</v>
      </c>
    </row>
    <row r="15749" spans="1:2" x14ac:dyDescent="0.25">
      <c r="A15749" s="2">
        <v>15744</v>
      </c>
      <c r="B15749" s="3" t="str">
        <f>"00762766"</f>
        <v>00762766</v>
      </c>
    </row>
    <row r="15750" spans="1:2" x14ac:dyDescent="0.25">
      <c r="A15750" s="2">
        <v>15745</v>
      </c>
      <c r="B15750" s="3" t="str">
        <f>"00762792"</f>
        <v>00762792</v>
      </c>
    </row>
    <row r="15751" spans="1:2" x14ac:dyDescent="0.25">
      <c r="A15751" s="2">
        <v>15746</v>
      </c>
      <c r="B15751" s="3" t="str">
        <f>"00762827"</f>
        <v>00762827</v>
      </c>
    </row>
    <row r="15752" spans="1:2" x14ac:dyDescent="0.25">
      <c r="A15752" s="2">
        <v>15747</v>
      </c>
      <c r="B15752" s="3" t="str">
        <f>"00762860"</f>
        <v>00762860</v>
      </c>
    </row>
    <row r="15753" spans="1:2" x14ac:dyDescent="0.25">
      <c r="A15753" s="2">
        <v>15748</v>
      </c>
      <c r="B15753" s="3" t="str">
        <f>"00762913"</f>
        <v>00762913</v>
      </c>
    </row>
    <row r="15754" spans="1:2" x14ac:dyDescent="0.25">
      <c r="A15754" s="2">
        <v>15749</v>
      </c>
      <c r="B15754" s="3" t="str">
        <f>"00762976"</f>
        <v>00762976</v>
      </c>
    </row>
    <row r="15755" spans="1:2" x14ac:dyDescent="0.25">
      <c r="A15755" s="2">
        <v>15750</v>
      </c>
      <c r="B15755" s="3" t="str">
        <f>"00763037"</f>
        <v>00763037</v>
      </c>
    </row>
    <row r="15756" spans="1:2" x14ac:dyDescent="0.25">
      <c r="A15756" s="2">
        <v>15751</v>
      </c>
      <c r="B15756" s="3" t="str">
        <f>"00763096"</f>
        <v>00763096</v>
      </c>
    </row>
    <row r="15757" spans="1:2" x14ac:dyDescent="0.25">
      <c r="A15757" s="2">
        <v>15752</v>
      </c>
      <c r="B15757" s="3" t="str">
        <f>"00763177"</f>
        <v>00763177</v>
      </c>
    </row>
    <row r="15758" spans="1:2" x14ac:dyDescent="0.25">
      <c r="A15758" s="2">
        <v>15753</v>
      </c>
      <c r="B15758" s="3" t="str">
        <f>"00763202"</f>
        <v>00763202</v>
      </c>
    </row>
    <row r="15759" spans="1:2" x14ac:dyDescent="0.25">
      <c r="A15759" s="2">
        <v>15754</v>
      </c>
      <c r="B15759" s="3" t="str">
        <f>"00763353"</f>
        <v>00763353</v>
      </c>
    </row>
    <row r="15760" spans="1:2" x14ac:dyDescent="0.25">
      <c r="A15760" s="2">
        <v>15755</v>
      </c>
      <c r="B15760" s="3" t="str">
        <f>"00763403"</f>
        <v>00763403</v>
      </c>
    </row>
    <row r="15761" spans="1:2" x14ac:dyDescent="0.25">
      <c r="A15761" s="2">
        <v>15756</v>
      </c>
      <c r="B15761" s="3" t="str">
        <f>"00763524"</f>
        <v>00763524</v>
      </c>
    </row>
    <row r="15762" spans="1:2" x14ac:dyDescent="0.25">
      <c r="A15762" s="2">
        <v>15757</v>
      </c>
      <c r="B15762" s="3" t="str">
        <f>"00763553"</f>
        <v>00763553</v>
      </c>
    </row>
    <row r="15763" spans="1:2" x14ac:dyDescent="0.25">
      <c r="A15763" s="2">
        <v>15758</v>
      </c>
      <c r="B15763" s="3" t="str">
        <f>"00763571"</f>
        <v>00763571</v>
      </c>
    </row>
    <row r="15764" spans="1:2" x14ac:dyDescent="0.25">
      <c r="A15764" s="2">
        <v>15759</v>
      </c>
      <c r="B15764" s="3" t="str">
        <f>"00763875"</f>
        <v>00763875</v>
      </c>
    </row>
    <row r="15765" spans="1:2" x14ac:dyDescent="0.25">
      <c r="A15765" s="2">
        <v>15760</v>
      </c>
      <c r="B15765" s="3" t="str">
        <f>"00763886"</f>
        <v>00763886</v>
      </c>
    </row>
    <row r="15766" spans="1:2" x14ac:dyDescent="0.25">
      <c r="A15766" s="2">
        <v>15761</v>
      </c>
      <c r="B15766" s="3" t="str">
        <f>"00763961"</f>
        <v>00763961</v>
      </c>
    </row>
    <row r="15767" spans="1:2" x14ac:dyDescent="0.25">
      <c r="A15767" s="2">
        <v>15762</v>
      </c>
      <c r="B15767" s="3" t="str">
        <f>"00764034"</f>
        <v>00764034</v>
      </c>
    </row>
    <row r="15768" spans="1:2" x14ac:dyDescent="0.25">
      <c r="A15768" s="2">
        <v>15763</v>
      </c>
      <c r="B15768" s="3" t="str">
        <f>"00764068"</f>
        <v>00764068</v>
      </c>
    </row>
    <row r="15769" spans="1:2" x14ac:dyDescent="0.25">
      <c r="A15769" s="2">
        <v>15764</v>
      </c>
      <c r="B15769" s="3" t="str">
        <f>"00764105"</f>
        <v>00764105</v>
      </c>
    </row>
    <row r="15770" spans="1:2" x14ac:dyDescent="0.25">
      <c r="A15770" s="2">
        <v>15765</v>
      </c>
      <c r="B15770" s="3" t="str">
        <f>"00764122"</f>
        <v>00764122</v>
      </c>
    </row>
    <row r="15771" spans="1:2" x14ac:dyDescent="0.25">
      <c r="A15771" s="2">
        <v>15766</v>
      </c>
      <c r="B15771" s="3" t="str">
        <f>"00764192"</f>
        <v>00764192</v>
      </c>
    </row>
    <row r="15772" spans="1:2" x14ac:dyDescent="0.25">
      <c r="A15772" s="2">
        <v>15767</v>
      </c>
      <c r="B15772" s="3" t="str">
        <f>"00764219"</f>
        <v>00764219</v>
      </c>
    </row>
    <row r="15773" spans="1:2" x14ac:dyDescent="0.25">
      <c r="A15773" s="2">
        <v>15768</v>
      </c>
      <c r="B15773" s="3" t="str">
        <f>"00764236"</f>
        <v>00764236</v>
      </c>
    </row>
    <row r="15774" spans="1:2" x14ac:dyDescent="0.25">
      <c r="A15774" s="2">
        <v>15769</v>
      </c>
      <c r="B15774" s="3" t="str">
        <f>"00764252"</f>
        <v>00764252</v>
      </c>
    </row>
    <row r="15775" spans="1:2" x14ac:dyDescent="0.25">
      <c r="A15775" s="2">
        <v>15770</v>
      </c>
      <c r="B15775" s="3" t="str">
        <f>"00764269"</f>
        <v>00764269</v>
      </c>
    </row>
    <row r="15776" spans="1:2" x14ac:dyDescent="0.25">
      <c r="A15776" s="2">
        <v>15771</v>
      </c>
      <c r="B15776" s="3" t="str">
        <f>"00764274"</f>
        <v>00764274</v>
      </c>
    </row>
    <row r="15777" spans="1:2" x14ac:dyDescent="0.25">
      <c r="A15777" s="2">
        <v>15772</v>
      </c>
      <c r="B15777" s="3" t="str">
        <f>"00764291"</f>
        <v>00764291</v>
      </c>
    </row>
    <row r="15778" spans="1:2" x14ac:dyDescent="0.25">
      <c r="A15778" s="2">
        <v>15773</v>
      </c>
      <c r="B15778" s="3" t="str">
        <f>"00764379"</f>
        <v>00764379</v>
      </c>
    </row>
    <row r="15779" spans="1:2" x14ac:dyDescent="0.25">
      <c r="A15779" s="2">
        <v>15774</v>
      </c>
      <c r="B15779" s="3" t="str">
        <f>"00764422"</f>
        <v>00764422</v>
      </c>
    </row>
    <row r="15780" spans="1:2" x14ac:dyDescent="0.25">
      <c r="A15780" s="2">
        <v>15775</v>
      </c>
      <c r="B15780" s="3" t="str">
        <f>"00764454"</f>
        <v>00764454</v>
      </c>
    </row>
    <row r="15781" spans="1:2" x14ac:dyDescent="0.25">
      <c r="A15781" s="2">
        <v>15776</v>
      </c>
      <c r="B15781" s="3" t="str">
        <f>"00764488"</f>
        <v>00764488</v>
      </c>
    </row>
    <row r="15782" spans="1:2" x14ac:dyDescent="0.25">
      <c r="A15782" s="2">
        <v>15777</v>
      </c>
      <c r="B15782" s="3" t="str">
        <f>"00764490"</f>
        <v>00764490</v>
      </c>
    </row>
    <row r="15783" spans="1:2" x14ac:dyDescent="0.25">
      <c r="A15783" s="2">
        <v>15778</v>
      </c>
      <c r="B15783" s="3" t="str">
        <f>"00764494"</f>
        <v>00764494</v>
      </c>
    </row>
    <row r="15784" spans="1:2" x14ac:dyDescent="0.25">
      <c r="A15784" s="2">
        <v>15779</v>
      </c>
      <c r="B15784" s="3" t="str">
        <f>"00764511"</f>
        <v>00764511</v>
      </c>
    </row>
    <row r="15785" spans="1:2" x14ac:dyDescent="0.25">
      <c r="A15785" s="2">
        <v>15780</v>
      </c>
      <c r="B15785" s="3" t="str">
        <f>"00764561"</f>
        <v>00764561</v>
      </c>
    </row>
    <row r="15786" spans="1:2" x14ac:dyDescent="0.25">
      <c r="A15786" s="2">
        <v>15781</v>
      </c>
      <c r="B15786" s="3" t="str">
        <f>"00764576"</f>
        <v>00764576</v>
      </c>
    </row>
    <row r="15787" spans="1:2" x14ac:dyDescent="0.25">
      <c r="A15787" s="2">
        <v>15782</v>
      </c>
      <c r="B15787" s="3" t="str">
        <f>"00764697"</f>
        <v>00764697</v>
      </c>
    </row>
    <row r="15788" spans="1:2" x14ac:dyDescent="0.25">
      <c r="A15788" s="2">
        <v>15783</v>
      </c>
      <c r="B15788" s="3" t="str">
        <f>"00764704"</f>
        <v>00764704</v>
      </c>
    </row>
    <row r="15789" spans="1:2" x14ac:dyDescent="0.25">
      <c r="A15789" s="2">
        <v>15784</v>
      </c>
      <c r="B15789" s="3" t="str">
        <f>"00764791"</f>
        <v>00764791</v>
      </c>
    </row>
    <row r="15790" spans="1:2" x14ac:dyDescent="0.25">
      <c r="A15790" s="2">
        <v>15785</v>
      </c>
      <c r="B15790" s="3" t="str">
        <f>"00764862"</f>
        <v>00764862</v>
      </c>
    </row>
    <row r="15791" spans="1:2" x14ac:dyDescent="0.25">
      <c r="A15791" s="2">
        <v>15786</v>
      </c>
      <c r="B15791" s="3" t="str">
        <f>"00764865"</f>
        <v>00764865</v>
      </c>
    </row>
    <row r="15792" spans="1:2" x14ac:dyDescent="0.25">
      <c r="A15792" s="2">
        <v>15787</v>
      </c>
      <c r="B15792" s="3" t="str">
        <f>"00764950"</f>
        <v>00764950</v>
      </c>
    </row>
    <row r="15793" spans="1:2" x14ac:dyDescent="0.25">
      <c r="A15793" s="2">
        <v>15788</v>
      </c>
      <c r="B15793" s="3" t="str">
        <f>"00765020"</f>
        <v>00765020</v>
      </c>
    </row>
    <row r="15794" spans="1:2" x14ac:dyDescent="0.25">
      <c r="A15794" s="2">
        <v>15789</v>
      </c>
      <c r="B15794" s="3" t="str">
        <f>"00765094"</f>
        <v>00765094</v>
      </c>
    </row>
    <row r="15795" spans="1:2" x14ac:dyDescent="0.25">
      <c r="A15795" s="2">
        <v>15790</v>
      </c>
      <c r="B15795" s="3" t="str">
        <f>"00765109"</f>
        <v>00765109</v>
      </c>
    </row>
    <row r="15796" spans="1:2" x14ac:dyDescent="0.25">
      <c r="A15796" s="2">
        <v>15791</v>
      </c>
      <c r="B15796" s="3" t="str">
        <f>"00765183"</f>
        <v>00765183</v>
      </c>
    </row>
    <row r="15797" spans="1:2" x14ac:dyDescent="0.25">
      <c r="A15797" s="2">
        <v>15792</v>
      </c>
      <c r="B15797" s="3" t="str">
        <f>"00765207"</f>
        <v>00765207</v>
      </c>
    </row>
    <row r="15798" spans="1:2" x14ac:dyDescent="0.25">
      <c r="A15798" s="2">
        <v>15793</v>
      </c>
      <c r="B15798" s="3" t="str">
        <f>"00765229"</f>
        <v>00765229</v>
      </c>
    </row>
    <row r="15799" spans="1:2" x14ac:dyDescent="0.25">
      <c r="A15799" s="2">
        <v>15794</v>
      </c>
      <c r="B15799" s="3" t="str">
        <f>"00765250"</f>
        <v>00765250</v>
      </c>
    </row>
    <row r="15800" spans="1:2" x14ac:dyDescent="0.25">
      <c r="A15800" s="2">
        <v>15795</v>
      </c>
      <c r="B15800" s="3" t="str">
        <f>"00765322"</f>
        <v>00765322</v>
      </c>
    </row>
    <row r="15801" spans="1:2" x14ac:dyDescent="0.25">
      <c r="A15801" s="2">
        <v>15796</v>
      </c>
      <c r="B15801" s="3" t="str">
        <f>"00765342"</f>
        <v>00765342</v>
      </c>
    </row>
    <row r="15802" spans="1:2" x14ac:dyDescent="0.25">
      <c r="A15802" s="2">
        <v>15797</v>
      </c>
      <c r="B15802" s="3" t="str">
        <f>"00765395"</f>
        <v>00765395</v>
      </c>
    </row>
    <row r="15803" spans="1:2" x14ac:dyDescent="0.25">
      <c r="A15803" s="2">
        <v>15798</v>
      </c>
      <c r="B15803" s="3" t="str">
        <f>"00765458"</f>
        <v>00765458</v>
      </c>
    </row>
    <row r="15804" spans="1:2" x14ac:dyDescent="0.25">
      <c r="A15804" s="2">
        <v>15799</v>
      </c>
      <c r="B15804" s="3" t="str">
        <f>"00765468"</f>
        <v>00765468</v>
      </c>
    </row>
    <row r="15805" spans="1:2" x14ac:dyDescent="0.25">
      <c r="A15805" s="2">
        <v>15800</v>
      </c>
      <c r="B15805" s="3" t="str">
        <f>"00765472"</f>
        <v>00765472</v>
      </c>
    </row>
    <row r="15806" spans="1:2" x14ac:dyDescent="0.25">
      <c r="A15806" s="2">
        <v>15801</v>
      </c>
      <c r="B15806" s="3" t="str">
        <f>"00765510"</f>
        <v>00765510</v>
      </c>
    </row>
    <row r="15807" spans="1:2" x14ac:dyDescent="0.25">
      <c r="A15807" s="2">
        <v>15802</v>
      </c>
      <c r="B15807" s="3" t="str">
        <f>"00765559"</f>
        <v>00765559</v>
      </c>
    </row>
    <row r="15808" spans="1:2" x14ac:dyDescent="0.25">
      <c r="A15808" s="2">
        <v>15803</v>
      </c>
      <c r="B15808" s="3" t="str">
        <f>"00765634"</f>
        <v>00765634</v>
      </c>
    </row>
    <row r="15809" spans="1:2" x14ac:dyDescent="0.25">
      <c r="A15809" s="2">
        <v>15804</v>
      </c>
      <c r="B15809" s="3" t="str">
        <f>"00765697"</f>
        <v>00765697</v>
      </c>
    </row>
    <row r="15810" spans="1:2" x14ac:dyDescent="0.25">
      <c r="A15810" s="2">
        <v>15805</v>
      </c>
      <c r="B15810" s="3" t="str">
        <f>"00765757"</f>
        <v>00765757</v>
      </c>
    </row>
    <row r="15811" spans="1:2" x14ac:dyDescent="0.25">
      <c r="A15811" s="2">
        <v>15806</v>
      </c>
      <c r="B15811" s="3" t="str">
        <f>"00765762"</f>
        <v>00765762</v>
      </c>
    </row>
    <row r="15812" spans="1:2" x14ac:dyDescent="0.25">
      <c r="A15812" s="2">
        <v>15807</v>
      </c>
      <c r="B15812" s="3" t="str">
        <f>"00765773"</f>
        <v>00765773</v>
      </c>
    </row>
    <row r="15813" spans="1:2" x14ac:dyDescent="0.25">
      <c r="A15813" s="2">
        <v>15808</v>
      </c>
      <c r="B15813" s="3" t="str">
        <f>"00765774"</f>
        <v>00765774</v>
      </c>
    </row>
    <row r="15814" spans="1:2" x14ac:dyDescent="0.25">
      <c r="A15814" s="2">
        <v>15809</v>
      </c>
      <c r="B15814" s="3" t="str">
        <f>"00765791"</f>
        <v>00765791</v>
      </c>
    </row>
    <row r="15815" spans="1:2" x14ac:dyDescent="0.25">
      <c r="A15815" s="2">
        <v>15810</v>
      </c>
      <c r="B15815" s="3" t="str">
        <f>"00765799"</f>
        <v>00765799</v>
      </c>
    </row>
    <row r="15816" spans="1:2" x14ac:dyDescent="0.25">
      <c r="A15816" s="2">
        <v>15811</v>
      </c>
      <c r="B15816" s="3" t="str">
        <f>"00765825"</f>
        <v>00765825</v>
      </c>
    </row>
    <row r="15817" spans="1:2" x14ac:dyDescent="0.25">
      <c r="A15817" s="2">
        <v>15812</v>
      </c>
      <c r="B15817" s="3" t="str">
        <f>"00765886"</f>
        <v>00765886</v>
      </c>
    </row>
    <row r="15818" spans="1:2" x14ac:dyDescent="0.25">
      <c r="A15818" s="2">
        <v>15813</v>
      </c>
      <c r="B15818" s="3" t="str">
        <f>"00765957"</f>
        <v>00765957</v>
      </c>
    </row>
    <row r="15819" spans="1:2" x14ac:dyDescent="0.25">
      <c r="A15819" s="2">
        <v>15814</v>
      </c>
      <c r="B15819" s="3" t="str">
        <f>"00765963"</f>
        <v>00765963</v>
      </c>
    </row>
    <row r="15820" spans="1:2" x14ac:dyDescent="0.25">
      <c r="A15820" s="2">
        <v>15815</v>
      </c>
      <c r="B15820" s="3" t="str">
        <f>"00765995"</f>
        <v>00765995</v>
      </c>
    </row>
    <row r="15821" spans="1:2" x14ac:dyDescent="0.25">
      <c r="A15821" s="2">
        <v>15816</v>
      </c>
      <c r="B15821" s="3" t="str">
        <f>"00766009"</f>
        <v>00766009</v>
      </c>
    </row>
    <row r="15822" spans="1:2" x14ac:dyDescent="0.25">
      <c r="A15822" s="2">
        <v>15817</v>
      </c>
      <c r="B15822" s="3" t="str">
        <f>"00766047"</f>
        <v>00766047</v>
      </c>
    </row>
    <row r="15823" spans="1:2" x14ac:dyDescent="0.25">
      <c r="A15823" s="2">
        <v>15818</v>
      </c>
      <c r="B15823" s="3" t="str">
        <f>"00766121"</f>
        <v>00766121</v>
      </c>
    </row>
    <row r="15824" spans="1:2" x14ac:dyDescent="0.25">
      <c r="A15824" s="2">
        <v>15819</v>
      </c>
      <c r="B15824" s="3" t="str">
        <f>"00766186"</f>
        <v>00766186</v>
      </c>
    </row>
    <row r="15825" spans="1:2" x14ac:dyDescent="0.25">
      <c r="A15825" s="2">
        <v>15820</v>
      </c>
      <c r="B15825" s="3" t="str">
        <f>"00766215"</f>
        <v>00766215</v>
      </c>
    </row>
    <row r="15826" spans="1:2" x14ac:dyDescent="0.25">
      <c r="A15826" s="2">
        <v>15821</v>
      </c>
      <c r="B15826" s="3" t="str">
        <f>"00766240"</f>
        <v>00766240</v>
      </c>
    </row>
    <row r="15827" spans="1:2" x14ac:dyDescent="0.25">
      <c r="A15827" s="2">
        <v>15822</v>
      </c>
      <c r="B15827" s="3" t="str">
        <f>"00766244"</f>
        <v>00766244</v>
      </c>
    </row>
    <row r="15828" spans="1:2" x14ac:dyDescent="0.25">
      <c r="A15828" s="2">
        <v>15823</v>
      </c>
      <c r="B15828" s="3" t="str">
        <f>"00766297"</f>
        <v>00766297</v>
      </c>
    </row>
    <row r="15829" spans="1:2" x14ac:dyDescent="0.25">
      <c r="A15829" s="2">
        <v>15824</v>
      </c>
      <c r="B15829" s="3" t="str">
        <f>"00766301"</f>
        <v>00766301</v>
      </c>
    </row>
    <row r="15830" spans="1:2" x14ac:dyDescent="0.25">
      <c r="A15830" s="2">
        <v>15825</v>
      </c>
      <c r="B15830" s="3" t="str">
        <f>"00766368"</f>
        <v>00766368</v>
      </c>
    </row>
    <row r="15831" spans="1:2" x14ac:dyDescent="0.25">
      <c r="A15831" s="2">
        <v>15826</v>
      </c>
      <c r="B15831" s="3" t="str">
        <f>"00766382"</f>
        <v>00766382</v>
      </c>
    </row>
    <row r="15832" spans="1:2" x14ac:dyDescent="0.25">
      <c r="A15832" s="2">
        <v>15827</v>
      </c>
      <c r="B15832" s="3" t="str">
        <f>"00766391"</f>
        <v>00766391</v>
      </c>
    </row>
    <row r="15833" spans="1:2" x14ac:dyDescent="0.25">
      <c r="A15833" s="2">
        <v>15828</v>
      </c>
      <c r="B15833" s="3" t="str">
        <f>"00766438"</f>
        <v>00766438</v>
      </c>
    </row>
    <row r="15834" spans="1:2" x14ac:dyDescent="0.25">
      <c r="A15834" s="2">
        <v>15829</v>
      </c>
      <c r="B15834" s="3" t="str">
        <f>"00766464"</f>
        <v>00766464</v>
      </c>
    </row>
    <row r="15835" spans="1:2" x14ac:dyDescent="0.25">
      <c r="A15835" s="2">
        <v>15830</v>
      </c>
      <c r="B15835" s="3" t="str">
        <f>"00766469"</f>
        <v>00766469</v>
      </c>
    </row>
    <row r="15836" spans="1:2" x14ac:dyDescent="0.25">
      <c r="A15836" s="2">
        <v>15831</v>
      </c>
      <c r="B15836" s="3" t="str">
        <f>"00766494"</f>
        <v>00766494</v>
      </c>
    </row>
    <row r="15837" spans="1:2" x14ac:dyDescent="0.25">
      <c r="A15837" s="2">
        <v>15832</v>
      </c>
      <c r="B15837" s="3" t="str">
        <f>"00766533"</f>
        <v>00766533</v>
      </c>
    </row>
    <row r="15838" spans="1:2" x14ac:dyDescent="0.25">
      <c r="A15838" s="2">
        <v>15833</v>
      </c>
      <c r="B15838" s="3" t="str">
        <f>"00766562"</f>
        <v>00766562</v>
      </c>
    </row>
    <row r="15839" spans="1:2" x14ac:dyDescent="0.25">
      <c r="A15839" s="2">
        <v>15834</v>
      </c>
      <c r="B15839" s="3" t="str">
        <f>"00766572"</f>
        <v>00766572</v>
      </c>
    </row>
    <row r="15840" spans="1:2" x14ac:dyDescent="0.25">
      <c r="A15840" s="2">
        <v>15835</v>
      </c>
      <c r="B15840" s="3" t="str">
        <f>"00766611"</f>
        <v>00766611</v>
      </c>
    </row>
    <row r="15841" spans="1:2" x14ac:dyDescent="0.25">
      <c r="A15841" s="2">
        <v>15836</v>
      </c>
      <c r="B15841" s="3" t="str">
        <f>"00766641"</f>
        <v>00766641</v>
      </c>
    </row>
    <row r="15842" spans="1:2" x14ac:dyDescent="0.25">
      <c r="A15842" s="2">
        <v>15837</v>
      </c>
      <c r="B15842" s="3" t="str">
        <f>"00766653"</f>
        <v>00766653</v>
      </c>
    </row>
    <row r="15843" spans="1:2" x14ac:dyDescent="0.25">
      <c r="A15843" s="2">
        <v>15838</v>
      </c>
      <c r="B15843" s="3" t="str">
        <f>"00766718"</f>
        <v>00766718</v>
      </c>
    </row>
    <row r="15844" spans="1:2" x14ac:dyDescent="0.25">
      <c r="A15844" s="2">
        <v>15839</v>
      </c>
      <c r="B15844" s="3" t="str">
        <f>"00766741"</f>
        <v>00766741</v>
      </c>
    </row>
    <row r="15845" spans="1:2" x14ac:dyDescent="0.25">
      <c r="A15845" s="2">
        <v>15840</v>
      </c>
      <c r="B15845" s="3" t="str">
        <f>"00766754"</f>
        <v>00766754</v>
      </c>
    </row>
    <row r="15846" spans="1:2" x14ac:dyDescent="0.25">
      <c r="A15846" s="2">
        <v>15841</v>
      </c>
      <c r="B15846" s="3" t="str">
        <f>"00766796"</f>
        <v>00766796</v>
      </c>
    </row>
    <row r="15847" spans="1:2" x14ac:dyDescent="0.25">
      <c r="A15847" s="2">
        <v>15842</v>
      </c>
      <c r="B15847" s="3" t="str">
        <f>"00766833"</f>
        <v>00766833</v>
      </c>
    </row>
    <row r="15848" spans="1:2" x14ac:dyDescent="0.25">
      <c r="A15848" s="2">
        <v>15843</v>
      </c>
      <c r="B15848" s="3" t="str">
        <f>"00766837"</f>
        <v>00766837</v>
      </c>
    </row>
    <row r="15849" spans="1:2" x14ac:dyDescent="0.25">
      <c r="A15849" s="2">
        <v>15844</v>
      </c>
      <c r="B15849" s="3" t="str">
        <f>"00766856"</f>
        <v>00766856</v>
      </c>
    </row>
    <row r="15850" spans="1:2" x14ac:dyDescent="0.25">
      <c r="A15850" s="2">
        <v>15845</v>
      </c>
      <c r="B15850" s="3" t="str">
        <f>"00766902"</f>
        <v>00766902</v>
      </c>
    </row>
    <row r="15851" spans="1:2" x14ac:dyDescent="0.25">
      <c r="A15851" s="2">
        <v>15846</v>
      </c>
      <c r="B15851" s="3" t="str">
        <f>"00766943"</f>
        <v>00766943</v>
      </c>
    </row>
    <row r="15852" spans="1:2" x14ac:dyDescent="0.25">
      <c r="A15852" s="2">
        <v>15847</v>
      </c>
      <c r="B15852" s="3" t="str">
        <f>"00766945"</f>
        <v>00766945</v>
      </c>
    </row>
    <row r="15853" spans="1:2" x14ac:dyDescent="0.25">
      <c r="A15853" s="2">
        <v>15848</v>
      </c>
      <c r="B15853" s="3" t="str">
        <f>"00767022"</f>
        <v>00767022</v>
      </c>
    </row>
    <row r="15854" spans="1:2" x14ac:dyDescent="0.25">
      <c r="A15854" s="2">
        <v>15849</v>
      </c>
      <c r="B15854" s="3" t="str">
        <f>"00767050"</f>
        <v>00767050</v>
      </c>
    </row>
    <row r="15855" spans="1:2" x14ac:dyDescent="0.25">
      <c r="A15855" s="2">
        <v>15850</v>
      </c>
      <c r="B15855" s="3" t="str">
        <f>"00767125"</f>
        <v>00767125</v>
      </c>
    </row>
    <row r="15856" spans="1:2" x14ac:dyDescent="0.25">
      <c r="A15856" s="2">
        <v>15851</v>
      </c>
      <c r="B15856" s="3" t="str">
        <f>"00767146"</f>
        <v>00767146</v>
      </c>
    </row>
    <row r="15857" spans="1:2" x14ac:dyDescent="0.25">
      <c r="A15857" s="2">
        <v>15852</v>
      </c>
      <c r="B15857" s="3" t="str">
        <f>"00767173"</f>
        <v>00767173</v>
      </c>
    </row>
    <row r="15858" spans="1:2" x14ac:dyDescent="0.25">
      <c r="A15858" s="2">
        <v>15853</v>
      </c>
      <c r="B15858" s="3" t="str">
        <f>"00767177"</f>
        <v>00767177</v>
      </c>
    </row>
    <row r="15859" spans="1:2" x14ac:dyDescent="0.25">
      <c r="A15859" s="2">
        <v>15854</v>
      </c>
      <c r="B15859" s="3" t="str">
        <f>"00767184"</f>
        <v>00767184</v>
      </c>
    </row>
    <row r="15860" spans="1:2" x14ac:dyDescent="0.25">
      <c r="A15860" s="2">
        <v>15855</v>
      </c>
      <c r="B15860" s="3" t="str">
        <f>"00767270"</f>
        <v>00767270</v>
      </c>
    </row>
    <row r="15861" spans="1:2" x14ac:dyDescent="0.25">
      <c r="A15861" s="2">
        <v>15856</v>
      </c>
      <c r="B15861" s="3" t="str">
        <f>"00767284"</f>
        <v>00767284</v>
      </c>
    </row>
    <row r="15862" spans="1:2" x14ac:dyDescent="0.25">
      <c r="A15862" s="2">
        <v>15857</v>
      </c>
      <c r="B15862" s="3" t="str">
        <f>"00767314"</f>
        <v>00767314</v>
      </c>
    </row>
    <row r="15863" spans="1:2" x14ac:dyDescent="0.25">
      <c r="A15863" s="2">
        <v>15858</v>
      </c>
      <c r="B15863" s="3" t="str">
        <f>"00767359"</f>
        <v>00767359</v>
      </c>
    </row>
    <row r="15864" spans="1:2" x14ac:dyDescent="0.25">
      <c r="A15864" s="2">
        <v>15859</v>
      </c>
      <c r="B15864" s="3" t="str">
        <f>"00767395"</f>
        <v>00767395</v>
      </c>
    </row>
    <row r="15865" spans="1:2" x14ac:dyDescent="0.25">
      <c r="A15865" s="2">
        <v>15860</v>
      </c>
      <c r="B15865" s="3" t="str">
        <f>"00767397"</f>
        <v>00767397</v>
      </c>
    </row>
    <row r="15866" spans="1:2" x14ac:dyDescent="0.25">
      <c r="A15866" s="2">
        <v>15861</v>
      </c>
      <c r="B15866" s="3" t="str">
        <f>"00767404"</f>
        <v>00767404</v>
      </c>
    </row>
    <row r="15867" spans="1:2" x14ac:dyDescent="0.25">
      <c r="A15867" s="2">
        <v>15862</v>
      </c>
      <c r="B15867" s="3" t="str">
        <f>"00767406"</f>
        <v>00767406</v>
      </c>
    </row>
    <row r="15868" spans="1:2" x14ac:dyDescent="0.25">
      <c r="A15868" s="2">
        <v>15863</v>
      </c>
      <c r="B15868" s="3" t="str">
        <f>"00767415"</f>
        <v>00767415</v>
      </c>
    </row>
    <row r="15869" spans="1:2" x14ac:dyDescent="0.25">
      <c r="A15869" s="2">
        <v>15864</v>
      </c>
      <c r="B15869" s="3" t="str">
        <f>"00767432"</f>
        <v>00767432</v>
      </c>
    </row>
    <row r="15870" spans="1:2" x14ac:dyDescent="0.25">
      <c r="A15870" s="2">
        <v>15865</v>
      </c>
      <c r="B15870" s="3" t="str">
        <f>"00767436"</f>
        <v>00767436</v>
      </c>
    </row>
    <row r="15871" spans="1:2" x14ac:dyDescent="0.25">
      <c r="A15871" s="2">
        <v>15866</v>
      </c>
      <c r="B15871" s="3" t="str">
        <f>"00767437"</f>
        <v>00767437</v>
      </c>
    </row>
    <row r="15872" spans="1:2" x14ac:dyDescent="0.25">
      <c r="A15872" s="2">
        <v>15867</v>
      </c>
      <c r="B15872" s="3" t="str">
        <f>"00767447"</f>
        <v>00767447</v>
      </c>
    </row>
    <row r="15873" spans="1:2" x14ac:dyDescent="0.25">
      <c r="A15873" s="2">
        <v>15868</v>
      </c>
      <c r="B15873" s="3" t="str">
        <f>"00767449"</f>
        <v>00767449</v>
      </c>
    </row>
    <row r="15874" spans="1:2" x14ac:dyDescent="0.25">
      <c r="A15874" s="2">
        <v>15869</v>
      </c>
      <c r="B15874" s="3" t="str">
        <f>"00767466"</f>
        <v>00767466</v>
      </c>
    </row>
    <row r="15875" spans="1:2" x14ac:dyDescent="0.25">
      <c r="A15875" s="2">
        <v>15870</v>
      </c>
      <c r="B15875" s="3" t="str">
        <f>"00767535"</f>
        <v>00767535</v>
      </c>
    </row>
    <row r="15876" spans="1:2" x14ac:dyDescent="0.25">
      <c r="A15876" s="2">
        <v>15871</v>
      </c>
      <c r="B15876" s="3" t="str">
        <f>"00767543"</f>
        <v>00767543</v>
      </c>
    </row>
    <row r="15877" spans="1:2" x14ac:dyDescent="0.25">
      <c r="A15877" s="2">
        <v>15872</v>
      </c>
      <c r="B15877" s="3" t="str">
        <f>"00767594"</f>
        <v>00767594</v>
      </c>
    </row>
    <row r="15878" spans="1:2" x14ac:dyDescent="0.25">
      <c r="A15878" s="2">
        <v>15873</v>
      </c>
      <c r="B15878" s="3" t="str">
        <f>"00767614"</f>
        <v>00767614</v>
      </c>
    </row>
    <row r="15879" spans="1:2" x14ac:dyDescent="0.25">
      <c r="A15879" s="2">
        <v>15874</v>
      </c>
      <c r="B15879" s="3" t="str">
        <f>"00767631"</f>
        <v>00767631</v>
      </c>
    </row>
    <row r="15880" spans="1:2" x14ac:dyDescent="0.25">
      <c r="A15880" s="2">
        <v>15875</v>
      </c>
      <c r="B15880" s="3" t="str">
        <f>"00767649"</f>
        <v>00767649</v>
      </c>
    </row>
    <row r="15881" spans="1:2" x14ac:dyDescent="0.25">
      <c r="A15881" s="2">
        <v>15876</v>
      </c>
      <c r="B15881" s="3" t="str">
        <f>"00767651"</f>
        <v>00767651</v>
      </c>
    </row>
    <row r="15882" spans="1:2" x14ac:dyDescent="0.25">
      <c r="A15882" s="2">
        <v>15877</v>
      </c>
      <c r="B15882" s="3" t="str">
        <f>"00767694"</f>
        <v>00767694</v>
      </c>
    </row>
    <row r="15883" spans="1:2" x14ac:dyDescent="0.25">
      <c r="A15883" s="2">
        <v>15878</v>
      </c>
      <c r="B15883" s="3" t="str">
        <f>"00767724"</f>
        <v>00767724</v>
      </c>
    </row>
    <row r="15884" spans="1:2" x14ac:dyDescent="0.25">
      <c r="A15884" s="2">
        <v>15879</v>
      </c>
      <c r="B15884" s="3" t="str">
        <f>"00767756"</f>
        <v>00767756</v>
      </c>
    </row>
    <row r="15885" spans="1:2" x14ac:dyDescent="0.25">
      <c r="A15885" s="2">
        <v>15880</v>
      </c>
      <c r="B15885" s="3" t="str">
        <f>"00767765"</f>
        <v>00767765</v>
      </c>
    </row>
    <row r="15886" spans="1:2" x14ac:dyDescent="0.25">
      <c r="A15886" s="2">
        <v>15881</v>
      </c>
      <c r="B15886" s="3" t="str">
        <f>"00767772"</f>
        <v>00767772</v>
      </c>
    </row>
    <row r="15887" spans="1:2" x14ac:dyDescent="0.25">
      <c r="A15887" s="2">
        <v>15882</v>
      </c>
      <c r="B15887" s="3" t="str">
        <f>"00767777"</f>
        <v>00767777</v>
      </c>
    </row>
    <row r="15888" spans="1:2" x14ac:dyDescent="0.25">
      <c r="A15888" s="2">
        <v>15883</v>
      </c>
      <c r="B15888" s="3" t="str">
        <f>"00767923"</f>
        <v>00767923</v>
      </c>
    </row>
    <row r="15889" spans="1:2" x14ac:dyDescent="0.25">
      <c r="A15889" s="2">
        <v>15884</v>
      </c>
      <c r="B15889" s="3" t="str">
        <f>"00767943"</f>
        <v>00767943</v>
      </c>
    </row>
    <row r="15890" spans="1:2" x14ac:dyDescent="0.25">
      <c r="A15890" s="2">
        <v>15885</v>
      </c>
      <c r="B15890" s="3" t="str">
        <f>"00767946"</f>
        <v>00767946</v>
      </c>
    </row>
    <row r="15891" spans="1:2" x14ac:dyDescent="0.25">
      <c r="A15891" s="2">
        <v>15886</v>
      </c>
      <c r="B15891" s="3" t="str">
        <f>"00767961"</f>
        <v>00767961</v>
      </c>
    </row>
    <row r="15892" spans="1:2" x14ac:dyDescent="0.25">
      <c r="A15892" s="2">
        <v>15887</v>
      </c>
      <c r="B15892" s="3" t="str">
        <f>"00767966"</f>
        <v>00767966</v>
      </c>
    </row>
    <row r="15893" spans="1:2" x14ac:dyDescent="0.25">
      <c r="A15893" s="2">
        <v>15888</v>
      </c>
      <c r="B15893" s="3" t="str">
        <f>"00767981"</f>
        <v>00767981</v>
      </c>
    </row>
    <row r="15894" spans="1:2" x14ac:dyDescent="0.25">
      <c r="A15894" s="2">
        <v>15889</v>
      </c>
      <c r="B15894" s="3" t="str">
        <f>"00767989"</f>
        <v>00767989</v>
      </c>
    </row>
    <row r="15895" spans="1:2" x14ac:dyDescent="0.25">
      <c r="A15895" s="2">
        <v>15890</v>
      </c>
      <c r="B15895" s="3" t="str">
        <f>"00768001"</f>
        <v>00768001</v>
      </c>
    </row>
    <row r="15896" spans="1:2" x14ac:dyDescent="0.25">
      <c r="A15896" s="2">
        <v>15891</v>
      </c>
      <c r="B15896" s="3" t="str">
        <f>"00768053"</f>
        <v>00768053</v>
      </c>
    </row>
    <row r="15897" spans="1:2" x14ac:dyDescent="0.25">
      <c r="A15897" s="2">
        <v>15892</v>
      </c>
      <c r="B15897" s="3" t="str">
        <f>"00768066"</f>
        <v>00768066</v>
      </c>
    </row>
    <row r="15898" spans="1:2" x14ac:dyDescent="0.25">
      <c r="A15898" s="2">
        <v>15893</v>
      </c>
      <c r="B15898" s="3" t="str">
        <f>"00768078"</f>
        <v>00768078</v>
      </c>
    </row>
    <row r="15899" spans="1:2" x14ac:dyDescent="0.25">
      <c r="A15899" s="2">
        <v>15894</v>
      </c>
      <c r="B15899" s="3" t="str">
        <f>"00768110"</f>
        <v>00768110</v>
      </c>
    </row>
    <row r="15900" spans="1:2" x14ac:dyDescent="0.25">
      <c r="A15900" s="2">
        <v>15895</v>
      </c>
      <c r="B15900" s="3" t="str">
        <f>"00768203"</f>
        <v>00768203</v>
      </c>
    </row>
    <row r="15901" spans="1:2" x14ac:dyDescent="0.25">
      <c r="A15901" s="2">
        <v>15896</v>
      </c>
      <c r="B15901" s="3" t="str">
        <f>"00768231"</f>
        <v>00768231</v>
      </c>
    </row>
    <row r="15902" spans="1:2" x14ac:dyDescent="0.25">
      <c r="A15902" s="2">
        <v>15897</v>
      </c>
      <c r="B15902" s="3" t="str">
        <f>"00768279"</f>
        <v>00768279</v>
      </c>
    </row>
    <row r="15903" spans="1:2" x14ac:dyDescent="0.25">
      <c r="A15903" s="2">
        <v>15898</v>
      </c>
      <c r="B15903" s="3" t="str">
        <f>"00768297"</f>
        <v>00768297</v>
      </c>
    </row>
    <row r="15904" spans="1:2" x14ac:dyDescent="0.25">
      <c r="A15904" s="2">
        <v>15899</v>
      </c>
      <c r="B15904" s="3" t="str">
        <f>"00768299"</f>
        <v>00768299</v>
      </c>
    </row>
    <row r="15905" spans="1:2" x14ac:dyDescent="0.25">
      <c r="A15905" s="2">
        <v>15900</v>
      </c>
      <c r="B15905" s="3" t="str">
        <f>"00768310"</f>
        <v>00768310</v>
      </c>
    </row>
    <row r="15906" spans="1:2" x14ac:dyDescent="0.25">
      <c r="A15906" s="2">
        <v>15901</v>
      </c>
      <c r="B15906" s="3" t="str">
        <f>"00768338"</f>
        <v>00768338</v>
      </c>
    </row>
    <row r="15907" spans="1:2" x14ac:dyDescent="0.25">
      <c r="A15907" s="2">
        <v>15902</v>
      </c>
      <c r="B15907" s="3" t="str">
        <f>"00768352"</f>
        <v>00768352</v>
      </c>
    </row>
    <row r="15908" spans="1:2" x14ac:dyDescent="0.25">
      <c r="A15908" s="2">
        <v>15903</v>
      </c>
      <c r="B15908" s="3" t="str">
        <f>"00768372"</f>
        <v>00768372</v>
      </c>
    </row>
    <row r="15909" spans="1:2" x14ac:dyDescent="0.25">
      <c r="A15909" s="2">
        <v>15904</v>
      </c>
      <c r="B15909" s="3" t="str">
        <f>"00768398"</f>
        <v>00768398</v>
      </c>
    </row>
    <row r="15910" spans="1:2" x14ac:dyDescent="0.25">
      <c r="A15910" s="2">
        <v>15905</v>
      </c>
      <c r="B15910" s="3" t="str">
        <f>"00768423"</f>
        <v>00768423</v>
      </c>
    </row>
    <row r="15911" spans="1:2" x14ac:dyDescent="0.25">
      <c r="A15911" s="2">
        <v>15906</v>
      </c>
      <c r="B15911" s="3" t="str">
        <f>"00768431"</f>
        <v>00768431</v>
      </c>
    </row>
    <row r="15912" spans="1:2" x14ac:dyDescent="0.25">
      <c r="A15912" s="2">
        <v>15907</v>
      </c>
      <c r="B15912" s="3" t="str">
        <f>"00768445"</f>
        <v>00768445</v>
      </c>
    </row>
    <row r="15913" spans="1:2" x14ac:dyDescent="0.25">
      <c r="A15913" s="2">
        <v>15908</v>
      </c>
      <c r="B15913" s="3" t="str">
        <f>"00768456"</f>
        <v>00768456</v>
      </c>
    </row>
    <row r="15914" spans="1:2" x14ac:dyDescent="0.25">
      <c r="A15914" s="2">
        <v>15909</v>
      </c>
      <c r="B15914" s="3" t="str">
        <f>"00768543"</f>
        <v>00768543</v>
      </c>
    </row>
    <row r="15915" spans="1:2" x14ac:dyDescent="0.25">
      <c r="A15915" s="2">
        <v>15910</v>
      </c>
      <c r="B15915" s="3" t="str">
        <f>"00768560"</f>
        <v>00768560</v>
      </c>
    </row>
    <row r="15916" spans="1:2" x14ac:dyDescent="0.25">
      <c r="A15916" s="2">
        <v>15911</v>
      </c>
      <c r="B15916" s="3" t="str">
        <f>"00768576"</f>
        <v>00768576</v>
      </c>
    </row>
    <row r="15917" spans="1:2" x14ac:dyDescent="0.25">
      <c r="A15917" s="2">
        <v>15912</v>
      </c>
      <c r="B15917" s="3" t="str">
        <f>"00768595"</f>
        <v>00768595</v>
      </c>
    </row>
    <row r="15918" spans="1:2" x14ac:dyDescent="0.25">
      <c r="A15918" s="2">
        <v>15913</v>
      </c>
      <c r="B15918" s="3" t="str">
        <f>"00768598"</f>
        <v>00768598</v>
      </c>
    </row>
    <row r="15919" spans="1:2" x14ac:dyDescent="0.25">
      <c r="A15919" s="2">
        <v>15914</v>
      </c>
      <c r="B15919" s="3" t="str">
        <f>"00768679"</f>
        <v>00768679</v>
      </c>
    </row>
    <row r="15920" spans="1:2" x14ac:dyDescent="0.25">
      <c r="A15920" s="2">
        <v>15915</v>
      </c>
      <c r="B15920" s="3" t="str">
        <f>"00768786"</f>
        <v>00768786</v>
      </c>
    </row>
    <row r="15921" spans="1:2" x14ac:dyDescent="0.25">
      <c r="A15921" s="2">
        <v>15916</v>
      </c>
      <c r="B15921" s="3" t="str">
        <f>"00768811"</f>
        <v>00768811</v>
      </c>
    </row>
    <row r="15922" spans="1:2" x14ac:dyDescent="0.25">
      <c r="A15922" s="2">
        <v>15917</v>
      </c>
      <c r="B15922" s="3" t="str">
        <f>"00768831"</f>
        <v>00768831</v>
      </c>
    </row>
    <row r="15923" spans="1:2" x14ac:dyDescent="0.25">
      <c r="A15923" s="2">
        <v>15918</v>
      </c>
      <c r="B15923" s="3" t="str">
        <f>"00768875"</f>
        <v>00768875</v>
      </c>
    </row>
    <row r="15924" spans="1:2" x14ac:dyDescent="0.25">
      <c r="A15924" s="2">
        <v>15919</v>
      </c>
      <c r="B15924" s="3" t="str">
        <f>"00768879"</f>
        <v>00768879</v>
      </c>
    </row>
    <row r="15925" spans="1:2" x14ac:dyDescent="0.25">
      <c r="A15925" s="2">
        <v>15920</v>
      </c>
      <c r="B15925" s="3" t="str">
        <f>"00768917"</f>
        <v>00768917</v>
      </c>
    </row>
    <row r="15926" spans="1:2" x14ac:dyDescent="0.25">
      <c r="A15926" s="2">
        <v>15921</v>
      </c>
      <c r="B15926" s="3" t="str">
        <f>"00768919"</f>
        <v>00768919</v>
      </c>
    </row>
    <row r="15927" spans="1:2" x14ac:dyDescent="0.25">
      <c r="A15927" s="2">
        <v>15922</v>
      </c>
      <c r="B15927" s="3" t="str">
        <f>"00768941"</f>
        <v>00768941</v>
      </c>
    </row>
    <row r="15928" spans="1:2" x14ac:dyDescent="0.25">
      <c r="A15928" s="2">
        <v>15923</v>
      </c>
      <c r="B15928" s="3" t="str">
        <f>"00768976"</f>
        <v>00768976</v>
      </c>
    </row>
    <row r="15929" spans="1:2" x14ac:dyDescent="0.25">
      <c r="A15929" s="2">
        <v>15924</v>
      </c>
      <c r="B15929" s="3" t="str">
        <f>"00769080"</f>
        <v>00769080</v>
      </c>
    </row>
    <row r="15930" spans="1:2" x14ac:dyDescent="0.25">
      <c r="A15930" s="2">
        <v>15925</v>
      </c>
      <c r="B15930" s="3" t="str">
        <f>"00769218"</f>
        <v>00769218</v>
      </c>
    </row>
    <row r="15931" spans="1:2" x14ac:dyDescent="0.25">
      <c r="A15931" s="2">
        <v>15926</v>
      </c>
      <c r="B15931" s="3" t="str">
        <f>"00769231"</f>
        <v>00769231</v>
      </c>
    </row>
    <row r="15932" spans="1:2" x14ac:dyDescent="0.25">
      <c r="A15932" s="2">
        <v>15927</v>
      </c>
      <c r="B15932" s="3" t="str">
        <f>"00769240"</f>
        <v>00769240</v>
      </c>
    </row>
    <row r="15933" spans="1:2" x14ac:dyDescent="0.25">
      <c r="A15933" s="2">
        <v>15928</v>
      </c>
      <c r="B15933" s="3" t="str">
        <f>"00769316"</f>
        <v>00769316</v>
      </c>
    </row>
    <row r="15934" spans="1:2" x14ac:dyDescent="0.25">
      <c r="A15934" s="2">
        <v>15929</v>
      </c>
      <c r="B15934" s="3" t="str">
        <f>"00769455"</f>
        <v>00769455</v>
      </c>
    </row>
    <row r="15935" spans="1:2" x14ac:dyDescent="0.25">
      <c r="A15935" s="2">
        <v>15930</v>
      </c>
      <c r="B15935" s="3" t="str">
        <f>"00769483"</f>
        <v>00769483</v>
      </c>
    </row>
    <row r="15936" spans="1:2" x14ac:dyDescent="0.25">
      <c r="A15936" s="2">
        <v>15931</v>
      </c>
      <c r="B15936" s="3" t="str">
        <f>"00769521"</f>
        <v>00769521</v>
      </c>
    </row>
    <row r="15937" spans="1:2" x14ac:dyDescent="0.25">
      <c r="A15937" s="2">
        <v>15932</v>
      </c>
      <c r="B15937" s="3" t="str">
        <f>"00769559"</f>
        <v>00769559</v>
      </c>
    </row>
    <row r="15938" spans="1:2" x14ac:dyDescent="0.25">
      <c r="A15938" s="2">
        <v>15933</v>
      </c>
      <c r="B15938" s="3" t="str">
        <f>"00769677"</f>
        <v>00769677</v>
      </c>
    </row>
    <row r="15939" spans="1:2" x14ac:dyDescent="0.25">
      <c r="A15939" s="2">
        <v>15934</v>
      </c>
      <c r="B15939" s="3" t="str">
        <f>"00769679"</f>
        <v>00769679</v>
      </c>
    </row>
    <row r="15940" spans="1:2" x14ac:dyDescent="0.25">
      <c r="A15940" s="2">
        <v>15935</v>
      </c>
      <c r="B15940" s="3" t="str">
        <f>"00769717"</f>
        <v>00769717</v>
      </c>
    </row>
    <row r="15941" spans="1:2" x14ac:dyDescent="0.25">
      <c r="A15941" s="2">
        <v>15936</v>
      </c>
      <c r="B15941" s="3" t="str">
        <f>"00769719"</f>
        <v>00769719</v>
      </c>
    </row>
    <row r="15942" spans="1:2" x14ac:dyDescent="0.25">
      <c r="A15942" s="2">
        <v>15937</v>
      </c>
      <c r="B15942" s="3" t="str">
        <f>"00769734"</f>
        <v>00769734</v>
      </c>
    </row>
    <row r="15943" spans="1:2" x14ac:dyDescent="0.25">
      <c r="A15943" s="2">
        <v>15938</v>
      </c>
      <c r="B15943" s="3" t="str">
        <f>"00769736"</f>
        <v>00769736</v>
      </c>
    </row>
    <row r="15944" spans="1:2" x14ac:dyDescent="0.25">
      <c r="A15944" s="2">
        <v>15939</v>
      </c>
      <c r="B15944" s="3" t="str">
        <f>"00769743"</f>
        <v>00769743</v>
      </c>
    </row>
    <row r="15945" spans="1:2" x14ac:dyDescent="0.25">
      <c r="A15945" s="2">
        <v>15940</v>
      </c>
      <c r="B15945" s="3" t="str">
        <f>"00769769"</f>
        <v>00769769</v>
      </c>
    </row>
    <row r="15946" spans="1:2" x14ac:dyDescent="0.25">
      <c r="A15946" s="2">
        <v>15941</v>
      </c>
      <c r="B15946" s="3" t="str">
        <f>"00769817"</f>
        <v>00769817</v>
      </c>
    </row>
    <row r="15947" spans="1:2" x14ac:dyDescent="0.25">
      <c r="A15947" s="2">
        <v>15942</v>
      </c>
      <c r="B15947" s="3" t="str">
        <f>"00769843"</f>
        <v>00769843</v>
      </c>
    </row>
    <row r="15948" spans="1:2" x14ac:dyDescent="0.25">
      <c r="A15948" s="2">
        <v>15943</v>
      </c>
      <c r="B15948" s="3" t="str">
        <f>"00769926"</f>
        <v>00769926</v>
      </c>
    </row>
    <row r="15949" spans="1:2" x14ac:dyDescent="0.25">
      <c r="A15949" s="2">
        <v>15944</v>
      </c>
      <c r="B15949" s="3" t="str">
        <f>"00769982"</f>
        <v>00769982</v>
      </c>
    </row>
    <row r="15950" spans="1:2" x14ac:dyDescent="0.25">
      <c r="A15950" s="2">
        <v>15945</v>
      </c>
      <c r="B15950" s="3" t="str">
        <f>"00770033"</f>
        <v>00770033</v>
      </c>
    </row>
    <row r="15951" spans="1:2" x14ac:dyDescent="0.25">
      <c r="A15951" s="2">
        <v>15946</v>
      </c>
      <c r="B15951" s="3" t="str">
        <f>"00770039"</f>
        <v>00770039</v>
      </c>
    </row>
    <row r="15952" spans="1:2" x14ac:dyDescent="0.25">
      <c r="A15952" s="2">
        <v>15947</v>
      </c>
      <c r="B15952" s="3" t="str">
        <f>"00770040"</f>
        <v>00770040</v>
      </c>
    </row>
    <row r="15953" spans="1:2" x14ac:dyDescent="0.25">
      <c r="A15953" s="2">
        <v>15948</v>
      </c>
      <c r="B15953" s="3" t="str">
        <f>"00770055"</f>
        <v>00770055</v>
      </c>
    </row>
    <row r="15954" spans="1:2" x14ac:dyDescent="0.25">
      <c r="A15954" s="2">
        <v>15949</v>
      </c>
      <c r="B15954" s="3" t="str">
        <f>"00770071"</f>
        <v>00770071</v>
      </c>
    </row>
    <row r="15955" spans="1:2" x14ac:dyDescent="0.25">
      <c r="A15955" s="2">
        <v>15950</v>
      </c>
      <c r="B15955" s="3" t="str">
        <f>"00770136"</f>
        <v>00770136</v>
      </c>
    </row>
    <row r="15956" spans="1:2" x14ac:dyDescent="0.25">
      <c r="A15956" s="2">
        <v>15951</v>
      </c>
      <c r="B15956" s="3" t="str">
        <f>"00770175"</f>
        <v>00770175</v>
      </c>
    </row>
    <row r="15957" spans="1:2" x14ac:dyDescent="0.25">
      <c r="A15957" s="2">
        <v>15952</v>
      </c>
      <c r="B15957" s="3" t="str">
        <f>"00770187"</f>
        <v>00770187</v>
      </c>
    </row>
    <row r="15958" spans="1:2" x14ac:dyDescent="0.25">
      <c r="A15958" s="2">
        <v>15953</v>
      </c>
      <c r="B15958" s="3" t="str">
        <f>"00770202"</f>
        <v>00770202</v>
      </c>
    </row>
    <row r="15959" spans="1:2" x14ac:dyDescent="0.25">
      <c r="A15959" s="2">
        <v>15954</v>
      </c>
      <c r="B15959" s="3" t="str">
        <f>"00770226"</f>
        <v>00770226</v>
      </c>
    </row>
    <row r="15960" spans="1:2" x14ac:dyDescent="0.25">
      <c r="A15960" s="2">
        <v>15955</v>
      </c>
      <c r="B15960" s="3" t="str">
        <f>"00770245"</f>
        <v>00770245</v>
      </c>
    </row>
    <row r="15961" spans="1:2" x14ac:dyDescent="0.25">
      <c r="A15961" s="2">
        <v>15956</v>
      </c>
      <c r="B15961" s="3" t="str">
        <f>"00770262"</f>
        <v>00770262</v>
      </c>
    </row>
    <row r="15962" spans="1:2" x14ac:dyDescent="0.25">
      <c r="A15962" s="2">
        <v>15957</v>
      </c>
      <c r="B15962" s="3" t="str">
        <f>"00770284"</f>
        <v>00770284</v>
      </c>
    </row>
    <row r="15963" spans="1:2" x14ac:dyDescent="0.25">
      <c r="A15963" s="2">
        <v>15958</v>
      </c>
      <c r="B15963" s="3" t="str">
        <f>"00770289"</f>
        <v>00770289</v>
      </c>
    </row>
    <row r="15964" spans="1:2" x14ac:dyDescent="0.25">
      <c r="A15964" s="2">
        <v>15959</v>
      </c>
      <c r="B15964" s="3" t="str">
        <f>"00770391"</f>
        <v>00770391</v>
      </c>
    </row>
    <row r="15965" spans="1:2" x14ac:dyDescent="0.25">
      <c r="A15965" s="2">
        <v>15960</v>
      </c>
      <c r="B15965" s="3" t="str">
        <f>"00770455"</f>
        <v>00770455</v>
      </c>
    </row>
    <row r="15966" spans="1:2" x14ac:dyDescent="0.25">
      <c r="A15966" s="2">
        <v>15961</v>
      </c>
      <c r="B15966" s="3" t="str">
        <f>"00770537"</f>
        <v>00770537</v>
      </c>
    </row>
    <row r="15967" spans="1:2" x14ac:dyDescent="0.25">
      <c r="A15967" s="2">
        <v>15962</v>
      </c>
      <c r="B15967" s="3" t="str">
        <f>"00770647"</f>
        <v>00770647</v>
      </c>
    </row>
    <row r="15968" spans="1:2" x14ac:dyDescent="0.25">
      <c r="A15968" s="2">
        <v>15963</v>
      </c>
      <c r="B15968" s="3" t="str">
        <f>"00770672"</f>
        <v>00770672</v>
      </c>
    </row>
    <row r="15969" spans="1:2" x14ac:dyDescent="0.25">
      <c r="A15969" s="2">
        <v>15964</v>
      </c>
      <c r="B15969" s="3" t="str">
        <f>"00770686"</f>
        <v>00770686</v>
      </c>
    </row>
    <row r="15970" spans="1:2" x14ac:dyDescent="0.25">
      <c r="A15970" s="2">
        <v>15965</v>
      </c>
      <c r="B15970" s="3" t="str">
        <f>"00770704"</f>
        <v>00770704</v>
      </c>
    </row>
    <row r="15971" spans="1:2" x14ac:dyDescent="0.25">
      <c r="A15971" s="2">
        <v>15966</v>
      </c>
      <c r="B15971" s="3" t="str">
        <f>"00770773"</f>
        <v>00770773</v>
      </c>
    </row>
    <row r="15972" spans="1:2" x14ac:dyDescent="0.25">
      <c r="A15972" s="2">
        <v>15967</v>
      </c>
      <c r="B15972" s="3" t="str">
        <f>"00770774"</f>
        <v>00770774</v>
      </c>
    </row>
    <row r="15973" spans="1:2" x14ac:dyDescent="0.25">
      <c r="A15973" s="2">
        <v>15968</v>
      </c>
      <c r="B15973" s="3" t="str">
        <f>"00770830"</f>
        <v>00770830</v>
      </c>
    </row>
    <row r="15974" spans="1:2" x14ac:dyDescent="0.25">
      <c r="A15974" s="2">
        <v>15969</v>
      </c>
      <c r="B15974" s="3" t="str">
        <f>"00770836"</f>
        <v>00770836</v>
      </c>
    </row>
    <row r="15975" spans="1:2" x14ac:dyDescent="0.25">
      <c r="A15975" s="2">
        <v>15970</v>
      </c>
      <c r="B15975" s="3" t="str">
        <f>"00770903"</f>
        <v>00770903</v>
      </c>
    </row>
    <row r="15976" spans="1:2" x14ac:dyDescent="0.25">
      <c r="A15976" s="2">
        <v>15971</v>
      </c>
      <c r="B15976" s="3" t="str">
        <f>"00771234"</f>
        <v>00771234</v>
      </c>
    </row>
    <row r="15977" spans="1:2" x14ac:dyDescent="0.25">
      <c r="A15977" s="2">
        <v>15972</v>
      </c>
      <c r="B15977" s="3" t="str">
        <f>"00771283"</f>
        <v>00771283</v>
      </c>
    </row>
    <row r="15978" spans="1:2" x14ac:dyDescent="0.25">
      <c r="A15978" s="2">
        <v>15973</v>
      </c>
      <c r="B15978" s="3" t="str">
        <f>"00771374"</f>
        <v>00771374</v>
      </c>
    </row>
    <row r="15979" spans="1:2" x14ac:dyDescent="0.25">
      <c r="A15979" s="2">
        <v>15974</v>
      </c>
      <c r="B15979" s="3" t="str">
        <f>"00771420"</f>
        <v>00771420</v>
      </c>
    </row>
    <row r="15980" spans="1:2" x14ac:dyDescent="0.25">
      <c r="A15980" s="2">
        <v>15975</v>
      </c>
      <c r="B15980" s="3" t="str">
        <f>"00771422"</f>
        <v>00771422</v>
      </c>
    </row>
    <row r="15981" spans="1:2" x14ac:dyDescent="0.25">
      <c r="A15981" s="2">
        <v>15976</v>
      </c>
      <c r="B15981" s="3" t="str">
        <f>"00771426"</f>
        <v>00771426</v>
      </c>
    </row>
    <row r="15982" spans="1:2" x14ac:dyDescent="0.25">
      <c r="A15982" s="2">
        <v>15977</v>
      </c>
      <c r="B15982" s="3" t="str">
        <f>"00771440"</f>
        <v>00771440</v>
      </c>
    </row>
    <row r="15983" spans="1:2" x14ac:dyDescent="0.25">
      <c r="A15983" s="2">
        <v>15978</v>
      </c>
      <c r="B15983" s="3" t="str">
        <f>"00771508"</f>
        <v>00771508</v>
      </c>
    </row>
    <row r="15984" spans="1:2" x14ac:dyDescent="0.25">
      <c r="A15984" s="2">
        <v>15979</v>
      </c>
      <c r="B15984" s="3" t="str">
        <f>"00771621"</f>
        <v>00771621</v>
      </c>
    </row>
    <row r="15985" spans="1:2" x14ac:dyDescent="0.25">
      <c r="A15985" s="2">
        <v>15980</v>
      </c>
      <c r="B15985" s="3" t="str">
        <f>"00771694"</f>
        <v>00771694</v>
      </c>
    </row>
    <row r="15986" spans="1:2" x14ac:dyDescent="0.25">
      <c r="A15986" s="2">
        <v>15981</v>
      </c>
      <c r="B15986" s="3" t="str">
        <f>"00771756"</f>
        <v>00771756</v>
      </c>
    </row>
    <row r="15987" spans="1:2" x14ac:dyDescent="0.25">
      <c r="A15987" s="2">
        <v>15982</v>
      </c>
      <c r="B15987" s="3" t="str">
        <f>"00771802"</f>
        <v>00771802</v>
      </c>
    </row>
    <row r="15988" spans="1:2" x14ac:dyDescent="0.25">
      <c r="A15988" s="2">
        <v>15983</v>
      </c>
      <c r="B15988" s="3" t="str">
        <f>"00771835"</f>
        <v>00771835</v>
      </c>
    </row>
    <row r="15989" spans="1:2" x14ac:dyDescent="0.25">
      <c r="A15989" s="2">
        <v>15984</v>
      </c>
      <c r="B15989" s="3" t="str">
        <f>"00771876"</f>
        <v>00771876</v>
      </c>
    </row>
    <row r="15990" spans="1:2" x14ac:dyDescent="0.25">
      <c r="A15990" s="2">
        <v>15985</v>
      </c>
      <c r="B15990" s="3" t="str">
        <f>"00771911"</f>
        <v>00771911</v>
      </c>
    </row>
    <row r="15991" spans="1:2" x14ac:dyDescent="0.25">
      <c r="A15991" s="2">
        <v>15986</v>
      </c>
      <c r="B15991" s="3" t="str">
        <f>"00772048"</f>
        <v>00772048</v>
      </c>
    </row>
    <row r="15992" spans="1:2" x14ac:dyDescent="0.25">
      <c r="A15992" s="2">
        <v>15987</v>
      </c>
      <c r="B15992" s="3" t="str">
        <f>"00772051"</f>
        <v>00772051</v>
      </c>
    </row>
    <row r="15993" spans="1:2" x14ac:dyDescent="0.25">
      <c r="A15993" s="2">
        <v>15988</v>
      </c>
      <c r="B15993" s="3" t="str">
        <f>"00772165"</f>
        <v>00772165</v>
      </c>
    </row>
    <row r="15994" spans="1:2" x14ac:dyDescent="0.25">
      <c r="A15994" s="2">
        <v>15989</v>
      </c>
      <c r="B15994" s="3" t="str">
        <f>"00772391"</f>
        <v>00772391</v>
      </c>
    </row>
    <row r="15995" spans="1:2" x14ac:dyDescent="0.25">
      <c r="A15995" s="2">
        <v>15990</v>
      </c>
      <c r="B15995" s="3" t="str">
        <f>"00772503"</f>
        <v>00772503</v>
      </c>
    </row>
    <row r="15996" spans="1:2" x14ac:dyDescent="0.25">
      <c r="A15996" s="2">
        <v>15991</v>
      </c>
      <c r="B15996" s="3" t="str">
        <f>"00772538"</f>
        <v>00772538</v>
      </c>
    </row>
    <row r="15997" spans="1:2" x14ac:dyDescent="0.25">
      <c r="A15997" s="2">
        <v>15992</v>
      </c>
      <c r="B15997" s="3" t="str">
        <f>"00772686"</f>
        <v>00772686</v>
      </c>
    </row>
    <row r="15998" spans="1:2" x14ac:dyDescent="0.25">
      <c r="A15998" s="2">
        <v>15993</v>
      </c>
      <c r="B15998" s="3" t="str">
        <f>"00772748"</f>
        <v>00772748</v>
      </c>
    </row>
    <row r="15999" spans="1:2" x14ac:dyDescent="0.25">
      <c r="A15999" s="2">
        <v>15994</v>
      </c>
      <c r="B15999" s="3" t="str">
        <f>"00772842"</f>
        <v>00772842</v>
      </c>
    </row>
    <row r="16000" spans="1:2" x14ac:dyDescent="0.25">
      <c r="A16000" s="2">
        <v>15995</v>
      </c>
      <c r="B16000" s="3" t="str">
        <f>"00772845"</f>
        <v>00772845</v>
      </c>
    </row>
    <row r="16001" spans="1:2" x14ac:dyDescent="0.25">
      <c r="A16001" s="2">
        <v>15996</v>
      </c>
      <c r="B16001" s="3" t="str">
        <f>"00772868"</f>
        <v>00772868</v>
      </c>
    </row>
    <row r="16002" spans="1:2" x14ac:dyDescent="0.25">
      <c r="A16002" s="2">
        <v>15997</v>
      </c>
      <c r="B16002" s="3" t="str">
        <f>"00772915"</f>
        <v>00772915</v>
      </c>
    </row>
    <row r="16003" spans="1:2" x14ac:dyDescent="0.25">
      <c r="A16003" s="2">
        <v>15998</v>
      </c>
      <c r="B16003" s="3" t="str">
        <f>"00773069"</f>
        <v>00773069</v>
      </c>
    </row>
    <row r="16004" spans="1:2" x14ac:dyDescent="0.25">
      <c r="A16004" s="2">
        <v>15999</v>
      </c>
      <c r="B16004" s="3" t="str">
        <f>"00773095"</f>
        <v>00773095</v>
      </c>
    </row>
    <row r="16005" spans="1:2" x14ac:dyDescent="0.25">
      <c r="A16005" s="2">
        <v>16000</v>
      </c>
      <c r="B16005" s="3" t="str">
        <f>"00773171"</f>
        <v>00773171</v>
      </c>
    </row>
    <row r="16006" spans="1:2" x14ac:dyDescent="0.25">
      <c r="A16006" s="2">
        <v>16001</v>
      </c>
      <c r="B16006" s="3" t="str">
        <f>"00773193"</f>
        <v>00773193</v>
      </c>
    </row>
    <row r="16007" spans="1:2" x14ac:dyDescent="0.25">
      <c r="A16007" s="2">
        <v>16002</v>
      </c>
      <c r="B16007" s="3" t="str">
        <f>"00773232"</f>
        <v>00773232</v>
      </c>
    </row>
    <row r="16008" spans="1:2" x14ac:dyDescent="0.25">
      <c r="A16008" s="2">
        <v>16003</v>
      </c>
      <c r="B16008" s="3" t="str">
        <f>"00773236"</f>
        <v>00773236</v>
      </c>
    </row>
    <row r="16009" spans="1:2" x14ac:dyDescent="0.25">
      <c r="A16009" s="2">
        <v>16004</v>
      </c>
      <c r="B16009" s="3" t="str">
        <f>"00773249"</f>
        <v>00773249</v>
      </c>
    </row>
    <row r="16010" spans="1:2" x14ac:dyDescent="0.25">
      <c r="A16010" s="2">
        <v>16005</v>
      </c>
      <c r="B16010" s="3" t="str">
        <f>"00773274"</f>
        <v>00773274</v>
      </c>
    </row>
    <row r="16011" spans="1:2" x14ac:dyDescent="0.25">
      <c r="A16011" s="2">
        <v>16006</v>
      </c>
      <c r="B16011" s="3" t="str">
        <f>"00773301"</f>
        <v>00773301</v>
      </c>
    </row>
    <row r="16012" spans="1:2" x14ac:dyDescent="0.25">
      <c r="A16012" s="2">
        <v>16007</v>
      </c>
      <c r="B16012" s="3" t="str">
        <f>"00773381"</f>
        <v>00773381</v>
      </c>
    </row>
    <row r="16013" spans="1:2" x14ac:dyDescent="0.25">
      <c r="A16013" s="2">
        <v>16008</v>
      </c>
      <c r="B16013" s="3" t="str">
        <f>"00773416"</f>
        <v>00773416</v>
      </c>
    </row>
    <row r="16014" spans="1:2" x14ac:dyDescent="0.25">
      <c r="A16014" s="2">
        <v>16009</v>
      </c>
      <c r="B16014" s="3" t="str">
        <f>"00773446"</f>
        <v>00773446</v>
      </c>
    </row>
    <row r="16015" spans="1:2" x14ac:dyDescent="0.25">
      <c r="A16015" s="2">
        <v>16010</v>
      </c>
      <c r="B16015" s="3" t="str">
        <f>"00773502"</f>
        <v>00773502</v>
      </c>
    </row>
    <row r="16016" spans="1:2" x14ac:dyDescent="0.25">
      <c r="A16016" s="2">
        <v>16011</v>
      </c>
      <c r="B16016" s="3" t="str">
        <f>"00773552"</f>
        <v>00773552</v>
      </c>
    </row>
    <row r="16017" spans="1:2" x14ac:dyDescent="0.25">
      <c r="A16017" s="2">
        <v>16012</v>
      </c>
      <c r="B16017" s="3" t="str">
        <f>"00773652"</f>
        <v>00773652</v>
      </c>
    </row>
    <row r="16018" spans="1:2" x14ac:dyDescent="0.25">
      <c r="A16018" s="2">
        <v>16013</v>
      </c>
      <c r="B16018" s="3" t="str">
        <f>"00773653"</f>
        <v>00773653</v>
      </c>
    </row>
    <row r="16019" spans="1:2" x14ac:dyDescent="0.25">
      <c r="A16019" s="2">
        <v>16014</v>
      </c>
      <c r="B16019" s="3" t="str">
        <f>"00773676"</f>
        <v>00773676</v>
      </c>
    </row>
    <row r="16020" spans="1:2" x14ac:dyDescent="0.25">
      <c r="A16020" s="2">
        <v>16015</v>
      </c>
      <c r="B16020" s="3" t="str">
        <f>"00773682"</f>
        <v>00773682</v>
      </c>
    </row>
    <row r="16021" spans="1:2" x14ac:dyDescent="0.25">
      <c r="A16021" s="2">
        <v>16016</v>
      </c>
      <c r="B16021" s="3" t="str">
        <f>"00773780"</f>
        <v>00773780</v>
      </c>
    </row>
    <row r="16022" spans="1:2" x14ac:dyDescent="0.25">
      <c r="A16022" s="2">
        <v>16017</v>
      </c>
      <c r="B16022" s="3" t="str">
        <f>"00773804"</f>
        <v>00773804</v>
      </c>
    </row>
    <row r="16023" spans="1:2" x14ac:dyDescent="0.25">
      <c r="A16023" s="2">
        <v>16018</v>
      </c>
      <c r="B16023" s="3" t="str">
        <f>"00773828"</f>
        <v>00773828</v>
      </c>
    </row>
    <row r="16024" spans="1:2" x14ac:dyDescent="0.25">
      <c r="A16024" s="2">
        <v>16019</v>
      </c>
      <c r="B16024" s="3" t="str">
        <f>"00773865"</f>
        <v>00773865</v>
      </c>
    </row>
    <row r="16025" spans="1:2" x14ac:dyDescent="0.25">
      <c r="A16025" s="2">
        <v>16020</v>
      </c>
      <c r="B16025" s="3" t="str">
        <f>"00774008"</f>
        <v>00774008</v>
      </c>
    </row>
    <row r="16026" spans="1:2" x14ac:dyDescent="0.25">
      <c r="A16026" s="2">
        <v>16021</v>
      </c>
      <c r="B16026" s="3" t="str">
        <f>"00774010"</f>
        <v>00774010</v>
      </c>
    </row>
    <row r="16027" spans="1:2" x14ac:dyDescent="0.25">
      <c r="A16027" s="2">
        <v>16022</v>
      </c>
      <c r="B16027" s="3" t="str">
        <f>"00774029"</f>
        <v>00774029</v>
      </c>
    </row>
    <row r="16028" spans="1:2" x14ac:dyDescent="0.25">
      <c r="A16028" s="2">
        <v>16023</v>
      </c>
      <c r="B16028" s="3" t="str">
        <f>"00774040"</f>
        <v>00774040</v>
      </c>
    </row>
    <row r="16029" spans="1:2" x14ac:dyDescent="0.25">
      <c r="A16029" s="2">
        <v>16024</v>
      </c>
      <c r="B16029" s="3" t="str">
        <f>"00774053"</f>
        <v>00774053</v>
      </c>
    </row>
    <row r="16030" spans="1:2" x14ac:dyDescent="0.25">
      <c r="A16030" s="2">
        <v>16025</v>
      </c>
      <c r="B16030" s="3" t="str">
        <f>"00774121"</f>
        <v>00774121</v>
      </c>
    </row>
    <row r="16031" spans="1:2" x14ac:dyDescent="0.25">
      <c r="A16031" s="2">
        <v>16026</v>
      </c>
      <c r="B16031" s="3" t="str">
        <f>"00774173"</f>
        <v>00774173</v>
      </c>
    </row>
    <row r="16032" spans="1:2" x14ac:dyDescent="0.25">
      <c r="A16032" s="2">
        <v>16027</v>
      </c>
      <c r="B16032" s="3" t="str">
        <f>"00774196"</f>
        <v>00774196</v>
      </c>
    </row>
    <row r="16033" spans="1:2" x14ac:dyDescent="0.25">
      <c r="A16033" s="2">
        <v>16028</v>
      </c>
      <c r="B16033" s="3" t="str">
        <f>"00774239"</f>
        <v>00774239</v>
      </c>
    </row>
    <row r="16034" spans="1:2" x14ac:dyDescent="0.25">
      <c r="A16034" s="2">
        <v>16029</v>
      </c>
      <c r="B16034" s="3" t="str">
        <f>"00774253"</f>
        <v>00774253</v>
      </c>
    </row>
    <row r="16035" spans="1:2" x14ac:dyDescent="0.25">
      <c r="A16035" s="2">
        <v>16030</v>
      </c>
      <c r="B16035" s="3" t="str">
        <f>"00774280"</f>
        <v>00774280</v>
      </c>
    </row>
    <row r="16036" spans="1:2" x14ac:dyDescent="0.25">
      <c r="A16036" s="2">
        <v>16031</v>
      </c>
      <c r="B16036" s="3" t="str">
        <f>"00774341"</f>
        <v>00774341</v>
      </c>
    </row>
    <row r="16037" spans="1:2" x14ac:dyDescent="0.25">
      <c r="A16037" s="2">
        <v>16032</v>
      </c>
      <c r="B16037" s="3" t="str">
        <f>"00774483"</f>
        <v>00774483</v>
      </c>
    </row>
    <row r="16038" spans="1:2" x14ac:dyDescent="0.25">
      <c r="A16038" s="2">
        <v>16033</v>
      </c>
      <c r="B16038" s="3" t="str">
        <f>"00774513"</f>
        <v>00774513</v>
      </c>
    </row>
    <row r="16039" spans="1:2" x14ac:dyDescent="0.25">
      <c r="A16039" s="2">
        <v>16034</v>
      </c>
      <c r="B16039" s="3" t="str">
        <f>"00774564"</f>
        <v>00774564</v>
      </c>
    </row>
    <row r="16040" spans="1:2" x14ac:dyDescent="0.25">
      <c r="A16040" s="2">
        <v>16035</v>
      </c>
      <c r="B16040" s="3" t="str">
        <f>"00774625"</f>
        <v>00774625</v>
      </c>
    </row>
    <row r="16041" spans="1:2" x14ac:dyDescent="0.25">
      <c r="A16041" s="2">
        <v>16036</v>
      </c>
      <c r="B16041" s="3" t="str">
        <f>"00774780"</f>
        <v>00774780</v>
      </c>
    </row>
    <row r="16042" spans="1:2" x14ac:dyDescent="0.25">
      <c r="A16042" s="2">
        <v>16037</v>
      </c>
      <c r="B16042" s="3" t="str">
        <f>"00774791"</f>
        <v>00774791</v>
      </c>
    </row>
    <row r="16043" spans="1:2" x14ac:dyDescent="0.25">
      <c r="A16043" s="2">
        <v>16038</v>
      </c>
      <c r="B16043" s="3" t="str">
        <f>"00774857"</f>
        <v>00774857</v>
      </c>
    </row>
    <row r="16044" spans="1:2" x14ac:dyDescent="0.25">
      <c r="A16044" s="2">
        <v>16039</v>
      </c>
      <c r="B16044" s="3" t="str">
        <f>"00774905"</f>
        <v>00774905</v>
      </c>
    </row>
    <row r="16045" spans="1:2" x14ac:dyDescent="0.25">
      <c r="A16045" s="2">
        <v>16040</v>
      </c>
      <c r="B16045" s="3" t="str">
        <f>"00774906"</f>
        <v>00774906</v>
      </c>
    </row>
    <row r="16046" spans="1:2" x14ac:dyDescent="0.25">
      <c r="A16046" s="2">
        <v>16041</v>
      </c>
      <c r="B16046" s="3" t="str">
        <f>"00774915"</f>
        <v>00774915</v>
      </c>
    </row>
    <row r="16047" spans="1:2" x14ac:dyDescent="0.25">
      <c r="A16047" s="2">
        <v>16042</v>
      </c>
      <c r="B16047" s="3" t="str">
        <f>"00775048"</f>
        <v>00775048</v>
      </c>
    </row>
    <row r="16048" spans="1:2" x14ac:dyDescent="0.25">
      <c r="A16048" s="2">
        <v>16043</v>
      </c>
      <c r="B16048" s="3" t="str">
        <f>"00775079"</f>
        <v>00775079</v>
      </c>
    </row>
    <row r="16049" spans="1:2" x14ac:dyDescent="0.25">
      <c r="A16049" s="2">
        <v>16044</v>
      </c>
      <c r="B16049" s="3" t="str">
        <f>"00775119"</f>
        <v>00775119</v>
      </c>
    </row>
    <row r="16050" spans="1:2" x14ac:dyDescent="0.25">
      <c r="A16050" s="2">
        <v>16045</v>
      </c>
      <c r="B16050" s="3" t="str">
        <f>"00775147"</f>
        <v>00775147</v>
      </c>
    </row>
    <row r="16051" spans="1:2" x14ac:dyDescent="0.25">
      <c r="A16051" s="2">
        <v>16046</v>
      </c>
      <c r="B16051" s="3" t="str">
        <f>"00775317"</f>
        <v>00775317</v>
      </c>
    </row>
    <row r="16052" spans="1:2" x14ac:dyDescent="0.25">
      <c r="A16052" s="2">
        <v>16047</v>
      </c>
      <c r="B16052" s="3" t="str">
        <f>"00775360"</f>
        <v>00775360</v>
      </c>
    </row>
    <row r="16053" spans="1:2" x14ac:dyDescent="0.25">
      <c r="A16053" s="2">
        <v>16048</v>
      </c>
      <c r="B16053" s="3" t="str">
        <f>"00775371"</f>
        <v>00775371</v>
      </c>
    </row>
    <row r="16054" spans="1:2" x14ac:dyDescent="0.25">
      <c r="A16054" s="2">
        <v>16049</v>
      </c>
      <c r="B16054" s="3" t="str">
        <f>"00775393"</f>
        <v>00775393</v>
      </c>
    </row>
    <row r="16055" spans="1:2" x14ac:dyDescent="0.25">
      <c r="A16055" s="2">
        <v>16050</v>
      </c>
      <c r="B16055" s="3" t="str">
        <f>"00775451"</f>
        <v>00775451</v>
      </c>
    </row>
    <row r="16056" spans="1:2" x14ac:dyDescent="0.25">
      <c r="A16056" s="2">
        <v>16051</v>
      </c>
      <c r="B16056" s="3" t="str">
        <f>"00775497"</f>
        <v>00775497</v>
      </c>
    </row>
    <row r="16057" spans="1:2" x14ac:dyDescent="0.25">
      <c r="A16057" s="2">
        <v>16052</v>
      </c>
      <c r="B16057" s="3" t="str">
        <f>"00775526"</f>
        <v>00775526</v>
      </c>
    </row>
    <row r="16058" spans="1:2" x14ac:dyDescent="0.25">
      <c r="A16058" s="2">
        <v>16053</v>
      </c>
      <c r="B16058" s="3" t="str">
        <f>"00775530"</f>
        <v>00775530</v>
      </c>
    </row>
    <row r="16059" spans="1:2" x14ac:dyDescent="0.25">
      <c r="A16059" s="2">
        <v>16054</v>
      </c>
      <c r="B16059" s="3" t="str">
        <f>"00775563"</f>
        <v>00775563</v>
      </c>
    </row>
    <row r="16060" spans="1:2" x14ac:dyDescent="0.25">
      <c r="A16060" s="2">
        <v>16055</v>
      </c>
      <c r="B16060" s="3" t="str">
        <f>"00775714"</f>
        <v>00775714</v>
      </c>
    </row>
    <row r="16061" spans="1:2" x14ac:dyDescent="0.25">
      <c r="A16061" s="2">
        <v>16056</v>
      </c>
      <c r="B16061" s="3" t="str">
        <f>"00775717"</f>
        <v>00775717</v>
      </c>
    </row>
    <row r="16062" spans="1:2" x14ac:dyDescent="0.25">
      <c r="A16062" s="2">
        <v>16057</v>
      </c>
      <c r="B16062" s="3" t="str">
        <f>"00775753"</f>
        <v>00775753</v>
      </c>
    </row>
    <row r="16063" spans="1:2" x14ac:dyDescent="0.25">
      <c r="A16063" s="2">
        <v>16058</v>
      </c>
      <c r="B16063" s="3" t="str">
        <f>"00775755"</f>
        <v>00775755</v>
      </c>
    </row>
    <row r="16064" spans="1:2" x14ac:dyDescent="0.25">
      <c r="A16064" s="2">
        <v>16059</v>
      </c>
      <c r="B16064" s="3" t="str">
        <f>"00775793"</f>
        <v>00775793</v>
      </c>
    </row>
    <row r="16065" spans="1:2" x14ac:dyDescent="0.25">
      <c r="A16065" s="2">
        <v>16060</v>
      </c>
      <c r="B16065" s="3" t="str">
        <f>"00775805"</f>
        <v>00775805</v>
      </c>
    </row>
    <row r="16066" spans="1:2" x14ac:dyDescent="0.25">
      <c r="A16066" s="2">
        <v>16061</v>
      </c>
      <c r="B16066" s="3" t="str">
        <f>"00775868"</f>
        <v>00775868</v>
      </c>
    </row>
    <row r="16067" spans="1:2" x14ac:dyDescent="0.25">
      <c r="A16067" s="2">
        <v>16062</v>
      </c>
      <c r="B16067" s="3" t="str">
        <f>"00775882"</f>
        <v>00775882</v>
      </c>
    </row>
    <row r="16068" spans="1:2" x14ac:dyDescent="0.25">
      <c r="A16068" s="2">
        <v>16063</v>
      </c>
      <c r="B16068" s="3" t="str">
        <f>"00775907"</f>
        <v>00775907</v>
      </c>
    </row>
    <row r="16069" spans="1:2" x14ac:dyDescent="0.25">
      <c r="A16069" s="2">
        <v>16064</v>
      </c>
      <c r="B16069" s="3" t="str">
        <f>"00775953"</f>
        <v>00775953</v>
      </c>
    </row>
    <row r="16070" spans="1:2" x14ac:dyDescent="0.25">
      <c r="A16070" s="2">
        <v>16065</v>
      </c>
      <c r="B16070" s="3" t="str">
        <f>"00776016"</f>
        <v>00776016</v>
      </c>
    </row>
    <row r="16071" spans="1:2" x14ac:dyDescent="0.25">
      <c r="A16071" s="2">
        <v>16066</v>
      </c>
      <c r="B16071" s="3" t="str">
        <f>"00776029"</f>
        <v>00776029</v>
      </c>
    </row>
    <row r="16072" spans="1:2" x14ac:dyDescent="0.25">
      <c r="A16072" s="2">
        <v>16067</v>
      </c>
      <c r="B16072" s="3" t="str">
        <f>"00776049"</f>
        <v>00776049</v>
      </c>
    </row>
    <row r="16073" spans="1:2" x14ac:dyDescent="0.25">
      <c r="A16073" s="2">
        <v>16068</v>
      </c>
      <c r="B16073" s="3" t="str">
        <f>"00776108"</f>
        <v>00776108</v>
      </c>
    </row>
    <row r="16074" spans="1:2" x14ac:dyDescent="0.25">
      <c r="A16074" s="2">
        <v>16069</v>
      </c>
      <c r="B16074" s="3" t="str">
        <f>"00776162"</f>
        <v>00776162</v>
      </c>
    </row>
    <row r="16075" spans="1:2" x14ac:dyDescent="0.25">
      <c r="A16075" s="2">
        <v>16070</v>
      </c>
      <c r="B16075" s="3" t="str">
        <f>"00776164"</f>
        <v>00776164</v>
      </c>
    </row>
    <row r="16076" spans="1:2" x14ac:dyDescent="0.25">
      <c r="A16076" s="2">
        <v>16071</v>
      </c>
      <c r="B16076" s="3" t="str">
        <f>"00776172"</f>
        <v>00776172</v>
      </c>
    </row>
    <row r="16077" spans="1:2" x14ac:dyDescent="0.25">
      <c r="A16077" s="2">
        <v>16072</v>
      </c>
      <c r="B16077" s="3" t="str">
        <f>"00776232"</f>
        <v>00776232</v>
      </c>
    </row>
    <row r="16078" spans="1:2" x14ac:dyDescent="0.25">
      <c r="A16078" s="2">
        <v>16073</v>
      </c>
      <c r="B16078" s="3" t="str">
        <f>"00776249"</f>
        <v>00776249</v>
      </c>
    </row>
    <row r="16079" spans="1:2" x14ac:dyDescent="0.25">
      <c r="A16079" s="2">
        <v>16074</v>
      </c>
      <c r="B16079" s="3" t="str">
        <f>"00776275"</f>
        <v>00776275</v>
      </c>
    </row>
    <row r="16080" spans="1:2" x14ac:dyDescent="0.25">
      <c r="A16080" s="2">
        <v>16075</v>
      </c>
      <c r="B16080" s="3" t="str">
        <f>"00776284"</f>
        <v>00776284</v>
      </c>
    </row>
    <row r="16081" spans="1:2" x14ac:dyDescent="0.25">
      <c r="A16081" s="2">
        <v>16076</v>
      </c>
      <c r="B16081" s="3" t="str">
        <f>"00776312"</f>
        <v>00776312</v>
      </c>
    </row>
    <row r="16082" spans="1:2" x14ac:dyDescent="0.25">
      <c r="A16082" s="2">
        <v>16077</v>
      </c>
      <c r="B16082" s="3" t="str">
        <f>"00776348"</f>
        <v>00776348</v>
      </c>
    </row>
    <row r="16083" spans="1:2" x14ac:dyDescent="0.25">
      <c r="A16083" s="2">
        <v>16078</v>
      </c>
      <c r="B16083" s="3" t="str">
        <f>"00776354"</f>
        <v>00776354</v>
      </c>
    </row>
    <row r="16084" spans="1:2" x14ac:dyDescent="0.25">
      <c r="A16084" s="2">
        <v>16079</v>
      </c>
      <c r="B16084" s="3" t="str">
        <f>"00776378"</f>
        <v>00776378</v>
      </c>
    </row>
    <row r="16085" spans="1:2" x14ac:dyDescent="0.25">
      <c r="A16085" s="2">
        <v>16080</v>
      </c>
      <c r="B16085" s="3" t="str">
        <f>"00776389"</f>
        <v>00776389</v>
      </c>
    </row>
    <row r="16086" spans="1:2" x14ac:dyDescent="0.25">
      <c r="A16086" s="2">
        <v>16081</v>
      </c>
      <c r="B16086" s="3" t="str">
        <f>"00776455"</f>
        <v>00776455</v>
      </c>
    </row>
    <row r="16087" spans="1:2" x14ac:dyDescent="0.25">
      <c r="A16087" s="2">
        <v>16082</v>
      </c>
      <c r="B16087" s="3" t="str">
        <f>"00776483"</f>
        <v>00776483</v>
      </c>
    </row>
    <row r="16088" spans="1:2" x14ac:dyDescent="0.25">
      <c r="A16088" s="2">
        <v>16083</v>
      </c>
      <c r="B16088" s="3" t="str">
        <f>"00776485"</f>
        <v>00776485</v>
      </c>
    </row>
    <row r="16089" spans="1:2" x14ac:dyDescent="0.25">
      <c r="A16089" s="2">
        <v>16084</v>
      </c>
      <c r="B16089" s="3" t="str">
        <f>"00776487"</f>
        <v>00776487</v>
      </c>
    </row>
    <row r="16090" spans="1:2" x14ac:dyDescent="0.25">
      <c r="A16090" s="2">
        <v>16085</v>
      </c>
      <c r="B16090" s="3" t="str">
        <f>"00776534"</f>
        <v>00776534</v>
      </c>
    </row>
    <row r="16091" spans="1:2" x14ac:dyDescent="0.25">
      <c r="A16091" s="2">
        <v>16086</v>
      </c>
      <c r="B16091" s="3" t="str">
        <f>"00776661"</f>
        <v>00776661</v>
      </c>
    </row>
    <row r="16092" spans="1:2" x14ac:dyDescent="0.25">
      <c r="A16092" s="2">
        <v>16087</v>
      </c>
      <c r="B16092" s="3" t="str">
        <f>"00776688"</f>
        <v>00776688</v>
      </c>
    </row>
    <row r="16093" spans="1:2" x14ac:dyDescent="0.25">
      <c r="A16093" s="2">
        <v>16088</v>
      </c>
      <c r="B16093" s="3" t="str">
        <f>"00776714"</f>
        <v>00776714</v>
      </c>
    </row>
    <row r="16094" spans="1:2" x14ac:dyDescent="0.25">
      <c r="A16094" s="2">
        <v>16089</v>
      </c>
      <c r="B16094" s="3" t="str">
        <f>"00776716"</f>
        <v>00776716</v>
      </c>
    </row>
    <row r="16095" spans="1:2" x14ac:dyDescent="0.25">
      <c r="A16095" s="2">
        <v>16090</v>
      </c>
      <c r="B16095" s="3" t="str">
        <f>"00776753"</f>
        <v>00776753</v>
      </c>
    </row>
    <row r="16096" spans="1:2" x14ac:dyDescent="0.25">
      <c r="A16096" s="2">
        <v>16091</v>
      </c>
      <c r="B16096" s="3" t="str">
        <f>"00776826"</f>
        <v>00776826</v>
      </c>
    </row>
    <row r="16097" spans="1:2" x14ac:dyDescent="0.25">
      <c r="A16097" s="2">
        <v>16092</v>
      </c>
      <c r="B16097" s="3" t="str">
        <f>"00776828"</f>
        <v>00776828</v>
      </c>
    </row>
    <row r="16098" spans="1:2" x14ac:dyDescent="0.25">
      <c r="A16098" s="2">
        <v>16093</v>
      </c>
      <c r="B16098" s="3" t="str">
        <f>"00776878"</f>
        <v>00776878</v>
      </c>
    </row>
    <row r="16099" spans="1:2" x14ac:dyDescent="0.25">
      <c r="A16099" s="2">
        <v>16094</v>
      </c>
      <c r="B16099" s="3" t="str">
        <f>"00776975"</f>
        <v>00776975</v>
      </c>
    </row>
    <row r="16100" spans="1:2" x14ac:dyDescent="0.25">
      <c r="A16100" s="2">
        <v>16095</v>
      </c>
      <c r="B16100" s="3" t="str">
        <f>"00776987"</f>
        <v>00776987</v>
      </c>
    </row>
    <row r="16101" spans="1:2" x14ac:dyDescent="0.25">
      <c r="A16101" s="2">
        <v>16096</v>
      </c>
      <c r="B16101" s="3" t="str">
        <f>"00777011"</f>
        <v>00777011</v>
      </c>
    </row>
    <row r="16102" spans="1:2" x14ac:dyDescent="0.25">
      <c r="A16102" s="2">
        <v>16097</v>
      </c>
      <c r="B16102" s="3" t="str">
        <f>"00777023"</f>
        <v>00777023</v>
      </c>
    </row>
    <row r="16103" spans="1:2" x14ac:dyDescent="0.25">
      <c r="A16103" s="2">
        <v>16098</v>
      </c>
      <c r="B16103" s="3" t="str">
        <f>"00777035"</f>
        <v>00777035</v>
      </c>
    </row>
    <row r="16104" spans="1:2" x14ac:dyDescent="0.25">
      <c r="A16104" s="2">
        <v>16099</v>
      </c>
      <c r="B16104" s="3" t="str">
        <f>"00777061"</f>
        <v>00777061</v>
      </c>
    </row>
    <row r="16105" spans="1:2" x14ac:dyDescent="0.25">
      <c r="A16105" s="2">
        <v>16100</v>
      </c>
      <c r="B16105" s="3" t="str">
        <f>"00777142"</f>
        <v>00777142</v>
      </c>
    </row>
    <row r="16106" spans="1:2" x14ac:dyDescent="0.25">
      <c r="A16106" s="2">
        <v>16101</v>
      </c>
      <c r="B16106" s="3" t="str">
        <f>"00777153"</f>
        <v>00777153</v>
      </c>
    </row>
    <row r="16107" spans="1:2" x14ac:dyDescent="0.25">
      <c r="A16107" s="2">
        <v>16102</v>
      </c>
      <c r="B16107" s="3" t="str">
        <f>"00777194"</f>
        <v>00777194</v>
      </c>
    </row>
    <row r="16108" spans="1:2" x14ac:dyDescent="0.25">
      <c r="A16108" s="2">
        <v>16103</v>
      </c>
      <c r="B16108" s="3" t="str">
        <f>"00777210"</f>
        <v>00777210</v>
      </c>
    </row>
    <row r="16109" spans="1:2" x14ac:dyDescent="0.25">
      <c r="A16109" s="2">
        <v>16104</v>
      </c>
      <c r="B16109" s="3" t="str">
        <f>"00777225"</f>
        <v>00777225</v>
      </c>
    </row>
    <row r="16110" spans="1:2" x14ac:dyDescent="0.25">
      <c r="A16110" s="2">
        <v>16105</v>
      </c>
      <c r="B16110" s="3" t="str">
        <f>"00777235"</f>
        <v>00777235</v>
      </c>
    </row>
    <row r="16111" spans="1:2" x14ac:dyDescent="0.25">
      <c r="A16111" s="2">
        <v>16106</v>
      </c>
      <c r="B16111" s="3" t="str">
        <f>"00777297"</f>
        <v>00777297</v>
      </c>
    </row>
    <row r="16112" spans="1:2" x14ac:dyDescent="0.25">
      <c r="A16112" s="2">
        <v>16107</v>
      </c>
      <c r="B16112" s="3" t="str">
        <f>"00777353"</f>
        <v>00777353</v>
      </c>
    </row>
    <row r="16113" spans="1:2" x14ac:dyDescent="0.25">
      <c r="A16113" s="2">
        <v>16108</v>
      </c>
      <c r="B16113" s="3" t="str">
        <f>"00777377"</f>
        <v>00777377</v>
      </c>
    </row>
    <row r="16114" spans="1:2" x14ac:dyDescent="0.25">
      <c r="A16114" s="2">
        <v>16109</v>
      </c>
      <c r="B16114" s="3" t="str">
        <f>"00777392"</f>
        <v>00777392</v>
      </c>
    </row>
    <row r="16115" spans="1:2" x14ac:dyDescent="0.25">
      <c r="A16115" s="2">
        <v>16110</v>
      </c>
      <c r="B16115" s="3" t="str">
        <f>"00777428"</f>
        <v>00777428</v>
      </c>
    </row>
    <row r="16116" spans="1:2" x14ac:dyDescent="0.25">
      <c r="A16116" s="2">
        <v>16111</v>
      </c>
      <c r="B16116" s="3" t="str">
        <f>"00777449"</f>
        <v>00777449</v>
      </c>
    </row>
    <row r="16117" spans="1:2" x14ac:dyDescent="0.25">
      <c r="A16117" s="2">
        <v>16112</v>
      </c>
      <c r="B16117" s="3" t="str">
        <f>"00777495"</f>
        <v>00777495</v>
      </c>
    </row>
    <row r="16118" spans="1:2" x14ac:dyDescent="0.25">
      <c r="A16118" s="2">
        <v>16113</v>
      </c>
      <c r="B16118" s="3" t="str">
        <f>"00777498"</f>
        <v>00777498</v>
      </c>
    </row>
    <row r="16119" spans="1:2" x14ac:dyDescent="0.25">
      <c r="A16119" s="2">
        <v>16114</v>
      </c>
      <c r="B16119" s="3" t="str">
        <f>"00777596"</f>
        <v>00777596</v>
      </c>
    </row>
    <row r="16120" spans="1:2" x14ac:dyDescent="0.25">
      <c r="A16120" s="2">
        <v>16115</v>
      </c>
      <c r="B16120" s="3" t="str">
        <f>"00777615"</f>
        <v>00777615</v>
      </c>
    </row>
    <row r="16121" spans="1:2" x14ac:dyDescent="0.25">
      <c r="A16121" s="2">
        <v>16116</v>
      </c>
      <c r="B16121" s="3" t="str">
        <f>"00777650"</f>
        <v>00777650</v>
      </c>
    </row>
    <row r="16122" spans="1:2" x14ac:dyDescent="0.25">
      <c r="A16122" s="2">
        <v>16117</v>
      </c>
      <c r="B16122" s="3" t="str">
        <f>"00777720"</f>
        <v>00777720</v>
      </c>
    </row>
    <row r="16123" spans="1:2" x14ac:dyDescent="0.25">
      <c r="A16123" s="2">
        <v>16118</v>
      </c>
      <c r="B16123" s="3" t="str">
        <f>"00777734"</f>
        <v>00777734</v>
      </c>
    </row>
    <row r="16124" spans="1:2" x14ac:dyDescent="0.25">
      <c r="A16124" s="2">
        <v>16119</v>
      </c>
      <c r="B16124" s="3" t="str">
        <f>"00777788"</f>
        <v>00777788</v>
      </c>
    </row>
    <row r="16125" spans="1:2" x14ac:dyDescent="0.25">
      <c r="A16125" s="2">
        <v>16120</v>
      </c>
      <c r="B16125" s="3" t="str">
        <f>"00777818"</f>
        <v>00777818</v>
      </c>
    </row>
    <row r="16126" spans="1:2" x14ac:dyDescent="0.25">
      <c r="A16126" s="2">
        <v>16121</v>
      </c>
      <c r="B16126" s="3" t="str">
        <f>"00777820"</f>
        <v>00777820</v>
      </c>
    </row>
    <row r="16127" spans="1:2" x14ac:dyDescent="0.25">
      <c r="A16127" s="2">
        <v>16122</v>
      </c>
      <c r="B16127" s="3" t="str">
        <f>"00777891"</f>
        <v>00777891</v>
      </c>
    </row>
    <row r="16128" spans="1:2" x14ac:dyDescent="0.25">
      <c r="A16128" s="2">
        <v>16123</v>
      </c>
      <c r="B16128" s="3" t="str">
        <f>"00777892"</f>
        <v>00777892</v>
      </c>
    </row>
    <row r="16129" spans="1:2" x14ac:dyDescent="0.25">
      <c r="A16129" s="2">
        <v>16124</v>
      </c>
      <c r="B16129" s="3" t="str">
        <f>"00777913"</f>
        <v>00777913</v>
      </c>
    </row>
    <row r="16130" spans="1:2" x14ac:dyDescent="0.25">
      <c r="A16130" s="2">
        <v>16125</v>
      </c>
      <c r="B16130" s="3" t="str">
        <f>"00777949"</f>
        <v>00777949</v>
      </c>
    </row>
    <row r="16131" spans="1:2" x14ac:dyDescent="0.25">
      <c r="A16131" s="2">
        <v>16126</v>
      </c>
      <c r="B16131" s="3" t="str">
        <f>"00777993"</f>
        <v>00777993</v>
      </c>
    </row>
    <row r="16132" spans="1:2" x14ac:dyDescent="0.25">
      <c r="A16132" s="2">
        <v>16127</v>
      </c>
      <c r="B16132" s="3" t="str">
        <f>"00778075"</f>
        <v>00778075</v>
      </c>
    </row>
    <row r="16133" spans="1:2" x14ac:dyDescent="0.25">
      <c r="A16133" s="2">
        <v>16128</v>
      </c>
      <c r="B16133" s="3" t="str">
        <f>"00778101"</f>
        <v>00778101</v>
      </c>
    </row>
    <row r="16134" spans="1:2" x14ac:dyDescent="0.25">
      <c r="A16134" s="2">
        <v>16129</v>
      </c>
      <c r="B16134" s="3" t="str">
        <f>"00778153"</f>
        <v>00778153</v>
      </c>
    </row>
    <row r="16135" spans="1:2" x14ac:dyDescent="0.25">
      <c r="A16135" s="2">
        <v>16130</v>
      </c>
      <c r="B16135" s="3" t="str">
        <f>"00778167"</f>
        <v>00778167</v>
      </c>
    </row>
    <row r="16136" spans="1:2" x14ac:dyDescent="0.25">
      <c r="A16136" s="2">
        <v>16131</v>
      </c>
      <c r="B16136" s="3" t="str">
        <f>"00778225"</f>
        <v>00778225</v>
      </c>
    </row>
    <row r="16137" spans="1:2" x14ac:dyDescent="0.25">
      <c r="A16137" s="2">
        <v>16132</v>
      </c>
      <c r="B16137" s="3" t="str">
        <f>"00778259"</f>
        <v>00778259</v>
      </c>
    </row>
    <row r="16138" spans="1:2" x14ac:dyDescent="0.25">
      <c r="A16138" s="2">
        <v>16133</v>
      </c>
      <c r="B16138" s="3" t="str">
        <f>"00778287"</f>
        <v>00778287</v>
      </c>
    </row>
    <row r="16139" spans="1:2" x14ac:dyDescent="0.25">
      <c r="A16139" s="2">
        <v>16134</v>
      </c>
      <c r="B16139" s="3" t="str">
        <f>"00778292"</f>
        <v>00778292</v>
      </c>
    </row>
    <row r="16140" spans="1:2" x14ac:dyDescent="0.25">
      <c r="A16140" s="2">
        <v>16135</v>
      </c>
      <c r="B16140" s="3" t="str">
        <f>"00778316"</f>
        <v>00778316</v>
      </c>
    </row>
    <row r="16141" spans="1:2" x14ac:dyDescent="0.25">
      <c r="A16141" s="2">
        <v>16136</v>
      </c>
      <c r="B16141" s="3" t="str">
        <f>"00778364"</f>
        <v>00778364</v>
      </c>
    </row>
    <row r="16142" spans="1:2" x14ac:dyDescent="0.25">
      <c r="A16142" s="2">
        <v>16137</v>
      </c>
      <c r="B16142" s="3" t="str">
        <f>"00778391"</f>
        <v>00778391</v>
      </c>
    </row>
    <row r="16143" spans="1:2" x14ac:dyDescent="0.25">
      <c r="A16143" s="2">
        <v>16138</v>
      </c>
      <c r="B16143" s="3" t="str">
        <f>"00778427"</f>
        <v>00778427</v>
      </c>
    </row>
    <row r="16144" spans="1:2" x14ac:dyDescent="0.25">
      <c r="A16144" s="2">
        <v>16139</v>
      </c>
      <c r="B16144" s="3" t="str">
        <f>"00778438"</f>
        <v>00778438</v>
      </c>
    </row>
    <row r="16145" spans="1:2" x14ac:dyDescent="0.25">
      <c r="A16145" s="2">
        <v>16140</v>
      </c>
      <c r="B16145" s="3" t="str">
        <f>"00778465"</f>
        <v>00778465</v>
      </c>
    </row>
    <row r="16146" spans="1:2" x14ac:dyDescent="0.25">
      <c r="A16146" s="2">
        <v>16141</v>
      </c>
      <c r="B16146" s="3" t="str">
        <f>"00778483"</f>
        <v>00778483</v>
      </c>
    </row>
    <row r="16147" spans="1:2" x14ac:dyDescent="0.25">
      <c r="A16147" s="2">
        <v>16142</v>
      </c>
      <c r="B16147" s="3" t="str">
        <f>"00778504"</f>
        <v>00778504</v>
      </c>
    </row>
    <row r="16148" spans="1:2" x14ac:dyDescent="0.25">
      <c r="A16148" s="2">
        <v>16143</v>
      </c>
      <c r="B16148" s="3" t="str">
        <f>"00778559"</f>
        <v>00778559</v>
      </c>
    </row>
    <row r="16149" spans="1:2" x14ac:dyDescent="0.25">
      <c r="A16149" s="2">
        <v>16144</v>
      </c>
      <c r="B16149" s="3" t="str">
        <f>"00778560"</f>
        <v>00778560</v>
      </c>
    </row>
    <row r="16150" spans="1:2" x14ac:dyDescent="0.25">
      <c r="A16150" s="2">
        <v>16145</v>
      </c>
      <c r="B16150" s="3" t="str">
        <f>"00778565"</f>
        <v>00778565</v>
      </c>
    </row>
    <row r="16151" spans="1:2" x14ac:dyDescent="0.25">
      <c r="A16151" s="2">
        <v>16146</v>
      </c>
      <c r="B16151" s="3" t="str">
        <f>"00778642"</f>
        <v>00778642</v>
      </c>
    </row>
    <row r="16152" spans="1:2" x14ac:dyDescent="0.25">
      <c r="A16152" s="2">
        <v>16147</v>
      </c>
      <c r="B16152" s="3" t="str">
        <f>"00778723"</f>
        <v>00778723</v>
      </c>
    </row>
    <row r="16153" spans="1:2" x14ac:dyDescent="0.25">
      <c r="A16153" s="2">
        <v>16148</v>
      </c>
      <c r="B16153" s="3" t="str">
        <f>"00778725"</f>
        <v>00778725</v>
      </c>
    </row>
    <row r="16154" spans="1:2" x14ac:dyDescent="0.25">
      <c r="A16154" s="2">
        <v>16149</v>
      </c>
      <c r="B16154" s="3" t="str">
        <f>"00778753"</f>
        <v>00778753</v>
      </c>
    </row>
    <row r="16155" spans="1:2" x14ac:dyDescent="0.25">
      <c r="A16155" s="2">
        <v>16150</v>
      </c>
      <c r="B16155" s="3" t="str">
        <f>"00778785"</f>
        <v>00778785</v>
      </c>
    </row>
    <row r="16156" spans="1:2" x14ac:dyDescent="0.25">
      <c r="A16156" s="2">
        <v>16151</v>
      </c>
      <c r="B16156" s="3" t="str">
        <f>"00778797"</f>
        <v>00778797</v>
      </c>
    </row>
    <row r="16157" spans="1:2" x14ac:dyDescent="0.25">
      <c r="A16157" s="2">
        <v>16152</v>
      </c>
      <c r="B16157" s="3" t="str">
        <f>"00778861"</f>
        <v>00778861</v>
      </c>
    </row>
    <row r="16158" spans="1:2" x14ac:dyDescent="0.25">
      <c r="A16158" s="2">
        <v>16153</v>
      </c>
      <c r="B16158" s="3" t="str">
        <f>"00778868"</f>
        <v>00778868</v>
      </c>
    </row>
    <row r="16159" spans="1:2" x14ac:dyDescent="0.25">
      <c r="A16159" s="2">
        <v>16154</v>
      </c>
      <c r="B16159" s="3" t="str">
        <f>"00778881"</f>
        <v>00778881</v>
      </c>
    </row>
    <row r="16160" spans="1:2" x14ac:dyDescent="0.25">
      <c r="A16160" s="2">
        <v>16155</v>
      </c>
      <c r="B16160" s="3" t="str">
        <f>"00778896"</f>
        <v>00778896</v>
      </c>
    </row>
    <row r="16161" spans="1:2" x14ac:dyDescent="0.25">
      <c r="A16161" s="2">
        <v>16156</v>
      </c>
      <c r="B16161" s="3" t="str">
        <f>"00778902"</f>
        <v>00778902</v>
      </c>
    </row>
    <row r="16162" spans="1:2" x14ac:dyDescent="0.25">
      <c r="A16162" s="2">
        <v>16157</v>
      </c>
      <c r="B16162" s="3" t="str">
        <f>"00778913"</f>
        <v>00778913</v>
      </c>
    </row>
    <row r="16163" spans="1:2" x14ac:dyDescent="0.25">
      <c r="A16163" s="2">
        <v>16158</v>
      </c>
      <c r="B16163" s="3" t="str">
        <f>"00778946"</f>
        <v>00778946</v>
      </c>
    </row>
    <row r="16164" spans="1:2" x14ac:dyDescent="0.25">
      <c r="A16164" s="2">
        <v>16159</v>
      </c>
      <c r="B16164" s="3" t="str">
        <f>"00779005"</f>
        <v>00779005</v>
      </c>
    </row>
    <row r="16165" spans="1:2" x14ac:dyDescent="0.25">
      <c r="A16165" s="2">
        <v>16160</v>
      </c>
      <c r="B16165" s="3" t="str">
        <f>"00779047"</f>
        <v>00779047</v>
      </c>
    </row>
    <row r="16166" spans="1:2" x14ac:dyDescent="0.25">
      <c r="A16166" s="2">
        <v>16161</v>
      </c>
      <c r="B16166" s="3" t="str">
        <f>"00779066"</f>
        <v>00779066</v>
      </c>
    </row>
    <row r="16167" spans="1:2" x14ac:dyDescent="0.25">
      <c r="A16167" s="2">
        <v>16162</v>
      </c>
      <c r="B16167" s="3" t="str">
        <f>"00779076"</f>
        <v>00779076</v>
      </c>
    </row>
    <row r="16168" spans="1:2" x14ac:dyDescent="0.25">
      <c r="A16168" s="2">
        <v>16163</v>
      </c>
      <c r="B16168" s="3" t="str">
        <f>"00779102"</f>
        <v>00779102</v>
      </c>
    </row>
    <row r="16169" spans="1:2" x14ac:dyDescent="0.25">
      <c r="A16169" s="2">
        <v>16164</v>
      </c>
      <c r="B16169" s="3" t="str">
        <f>"00779123"</f>
        <v>00779123</v>
      </c>
    </row>
    <row r="16170" spans="1:2" x14ac:dyDescent="0.25">
      <c r="A16170" s="2">
        <v>16165</v>
      </c>
      <c r="B16170" s="3" t="str">
        <f>"00779135"</f>
        <v>00779135</v>
      </c>
    </row>
    <row r="16171" spans="1:2" x14ac:dyDescent="0.25">
      <c r="A16171" s="2">
        <v>16166</v>
      </c>
      <c r="B16171" s="3" t="str">
        <f>"00779164"</f>
        <v>00779164</v>
      </c>
    </row>
    <row r="16172" spans="1:2" x14ac:dyDescent="0.25">
      <c r="A16172" s="2">
        <v>16167</v>
      </c>
      <c r="B16172" s="3" t="str">
        <f>"00779167"</f>
        <v>00779167</v>
      </c>
    </row>
    <row r="16173" spans="1:2" x14ac:dyDescent="0.25">
      <c r="A16173" s="2">
        <v>16168</v>
      </c>
      <c r="B16173" s="3" t="str">
        <f>"00779247"</f>
        <v>00779247</v>
      </c>
    </row>
    <row r="16174" spans="1:2" x14ac:dyDescent="0.25">
      <c r="A16174" s="2">
        <v>16169</v>
      </c>
      <c r="B16174" s="3" t="str">
        <f>"00779251"</f>
        <v>00779251</v>
      </c>
    </row>
    <row r="16175" spans="1:2" x14ac:dyDescent="0.25">
      <c r="A16175" s="2">
        <v>16170</v>
      </c>
      <c r="B16175" s="3" t="str">
        <f>"00779355"</f>
        <v>00779355</v>
      </c>
    </row>
    <row r="16176" spans="1:2" x14ac:dyDescent="0.25">
      <c r="A16176" s="2">
        <v>16171</v>
      </c>
      <c r="B16176" s="3" t="str">
        <f>"00779370"</f>
        <v>00779370</v>
      </c>
    </row>
    <row r="16177" spans="1:2" x14ac:dyDescent="0.25">
      <c r="A16177" s="2">
        <v>16172</v>
      </c>
      <c r="B16177" s="3" t="str">
        <f>"00779374"</f>
        <v>00779374</v>
      </c>
    </row>
    <row r="16178" spans="1:2" x14ac:dyDescent="0.25">
      <c r="A16178" s="2">
        <v>16173</v>
      </c>
      <c r="B16178" s="3" t="str">
        <f>"00779379"</f>
        <v>00779379</v>
      </c>
    </row>
    <row r="16179" spans="1:2" x14ac:dyDescent="0.25">
      <c r="A16179" s="2">
        <v>16174</v>
      </c>
      <c r="B16179" s="3" t="str">
        <f>"00779424"</f>
        <v>00779424</v>
      </c>
    </row>
    <row r="16180" spans="1:2" x14ac:dyDescent="0.25">
      <c r="A16180" s="2">
        <v>16175</v>
      </c>
      <c r="B16180" s="3" t="str">
        <f>"00779428"</f>
        <v>00779428</v>
      </c>
    </row>
    <row r="16181" spans="1:2" x14ac:dyDescent="0.25">
      <c r="A16181" s="2">
        <v>16176</v>
      </c>
      <c r="B16181" s="3" t="str">
        <f>"00779456"</f>
        <v>00779456</v>
      </c>
    </row>
    <row r="16182" spans="1:2" x14ac:dyDescent="0.25">
      <c r="A16182" s="2">
        <v>16177</v>
      </c>
      <c r="B16182" s="3" t="str">
        <f>"00779521"</f>
        <v>00779521</v>
      </c>
    </row>
    <row r="16183" spans="1:2" x14ac:dyDescent="0.25">
      <c r="A16183" s="2">
        <v>16178</v>
      </c>
      <c r="B16183" s="3" t="str">
        <f>"00779528"</f>
        <v>00779528</v>
      </c>
    </row>
    <row r="16184" spans="1:2" x14ac:dyDescent="0.25">
      <c r="A16184" s="2">
        <v>16179</v>
      </c>
      <c r="B16184" s="3" t="str">
        <f>"00779546"</f>
        <v>00779546</v>
      </c>
    </row>
    <row r="16185" spans="1:2" x14ac:dyDescent="0.25">
      <c r="A16185" s="2">
        <v>16180</v>
      </c>
      <c r="B16185" s="3" t="str">
        <f>"00779580"</f>
        <v>00779580</v>
      </c>
    </row>
    <row r="16186" spans="1:2" x14ac:dyDescent="0.25">
      <c r="A16186" s="2">
        <v>16181</v>
      </c>
      <c r="B16186" s="3" t="str">
        <f>"00779586"</f>
        <v>00779586</v>
      </c>
    </row>
    <row r="16187" spans="1:2" x14ac:dyDescent="0.25">
      <c r="A16187" s="2">
        <v>16182</v>
      </c>
      <c r="B16187" s="3" t="str">
        <f>"00779601"</f>
        <v>00779601</v>
      </c>
    </row>
    <row r="16188" spans="1:2" x14ac:dyDescent="0.25">
      <c r="A16188" s="2">
        <v>16183</v>
      </c>
      <c r="B16188" s="3" t="str">
        <f>"00779621"</f>
        <v>00779621</v>
      </c>
    </row>
    <row r="16189" spans="1:2" x14ac:dyDescent="0.25">
      <c r="A16189" s="2">
        <v>16184</v>
      </c>
      <c r="B16189" s="3" t="str">
        <f>"00779637"</f>
        <v>00779637</v>
      </c>
    </row>
    <row r="16190" spans="1:2" x14ac:dyDescent="0.25">
      <c r="A16190" s="2">
        <v>16185</v>
      </c>
      <c r="B16190" s="3" t="str">
        <f>"00779746"</f>
        <v>00779746</v>
      </c>
    </row>
    <row r="16191" spans="1:2" x14ac:dyDescent="0.25">
      <c r="A16191" s="2">
        <v>16186</v>
      </c>
      <c r="B16191" s="3" t="str">
        <f>"00779764"</f>
        <v>00779764</v>
      </c>
    </row>
    <row r="16192" spans="1:2" x14ac:dyDescent="0.25">
      <c r="A16192" s="2">
        <v>16187</v>
      </c>
      <c r="B16192" s="3" t="str">
        <f>"00779794"</f>
        <v>00779794</v>
      </c>
    </row>
    <row r="16193" spans="1:2" x14ac:dyDescent="0.25">
      <c r="A16193" s="2">
        <v>16188</v>
      </c>
      <c r="B16193" s="3" t="str">
        <f>"00779834"</f>
        <v>00779834</v>
      </c>
    </row>
    <row r="16194" spans="1:2" x14ac:dyDescent="0.25">
      <c r="A16194" s="2">
        <v>16189</v>
      </c>
      <c r="B16194" s="3" t="str">
        <f>"00779836"</f>
        <v>00779836</v>
      </c>
    </row>
    <row r="16195" spans="1:2" x14ac:dyDescent="0.25">
      <c r="A16195" s="2">
        <v>16190</v>
      </c>
      <c r="B16195" s="3" t="str">
        <f>"00779853"</f>
        <v>00779853</v>
      </c>
    </row>
    <row r="16196" spans="1:2" x14ac:dyDescent="0.25">
      <c r="A16196" s="2">
        <v>16191</v>
      </c>
      <c r="B16196" s="3" t="str">
        <f>"00779878"</f>
        <v>00779878</v>
      </c>
    </row>
    <row r="16197" spans="1:2" x14ac:dyDescent="0.25">
      <c r="A16197" s="2">
        <v>16192</v>
      </c>
      <c r="B16197" s="3" t="str">
        <f>"00779897"</f>
        <v>00779897</v>
      </c>
    </row>
    <row r="16198" spans="1:2" x14ac:dyDescent="0.25">
      <c r="A16198" s="2">
        <v>16193</v>
      </c>
      <c r="B16198" s="3" t="str">
        <f>"00779948"</f>
        <v>00779948</v>
      </c>
    </row>
    <row r="16199" spans="1:2" x14ac:dyDescent="0.25">
      <c r="A16199" s="2">
        <v>16194</v>
      </c>
      <c r="B16199" s="3" t="str">
        <f>"00779956"</f>
        <v>00779956</v>
      </c>
    </row>
    <row r="16200" spans="1:2" x14ac:dyDescent="0.25">
      <c r="A16200" s="2">
        <v>16195</v>
      </c>
      <c r="B16200" s="3" t="str">
        <f>"00779970"</f>
        <v>00779970</v>
      </c>
    </row>
    <row r="16201" spans="1:2" x14ac:dyDescent="0.25">
      <c r="A16201" s="2">
        <v>16196</v>
      </c>
      <c r="B16201" s="3" t="str">
        <f>"00780029"</f>
        <v>00780029</v>
      </c>
    </row>
    <row r="16202" spans="1:2" x14ac:dyDescent="0.25">
      <c r="A16202" s="2">
        <v>16197</v>
      </c>
      <c r="B16202" s="3" t="str">
        <f>"00780061"</f>
        <v>00780061</v>
      </c>
    </row>
    <row r="16203" spans="1:2" x14ac:dyDescent="0.25">
      <c r="A16203" s="2">
        <v>16198</v>
      </c>
      <c r="B16203" s="3" t="str">
        <f>"00780063"</f>
        <v>00780063</v>
      </c>
    </row>
    <row r="16204" spans="1:2" x14ac:dyDescent="0.25">
      <c r="A16204" s="2">
        <v>16199</v>
      </c>
      <c r="B16204" s="3" t="str">
        <f>"00780119"</f>
        <v>00780119</v>
      </c>
    </row>
    <row r="16205" spans="1:2" x14ac:dyDescent="0.25">
      <c r="A16205" s="2">
        <v>16200</v>
      </c>
      <c r="B16205" s="3" t="str">
        <f>"00780173"</f>
        <v>00780173</v>
      </c>
    </row>
    <row r="16206" spans="1:2" x14ac:dyDescent="0.25">
      <c r="A16206" s="2">
        <v>16201</v>
      </c>
      <c r="B16206" s="3" t="str">
        <f>"00780175"</f>
        <v>00780175</v>
      </c>
    </row>
    <row r="16207" spans="1:2" x14ac:dyDescent="0.25">
      <c r="A16207" s="2">
        <v>16202</v>
      </c>
      <c r="B16207" s="3" t="str">
        <f>"00780201"</f>
        <v>00780201</v>
      </c>
    </row>
    <row r="16208" spans="1:2" x14ac:dyDescent="0.25">
      <c r="A16208" s="2">
        <v>16203</v>
      </c>
      <c r="B16208" s="3" t="str">
        <f>"00780301"</f>
        <v>00780301</v>
      </c>
    </row>
    <row r="16209" spans="1:2" x14ac:dyDescent="0.25">
      <c r="A16209" s="2">
        <v>16204</v>
      </c>
      <c r="B16209" s="3" t="str">
        <f>"00780330"</f>
        <v>00780330</v>
      </c>
    </row>
    <row r="16210" spans="1:2" x14ac:dyDescent="0.25">
      <c r="A16210" s="2">
        <v>16205</v>
      </c>
      <c r="B16210" s="3" t="str">
        <f>"00780339"</f>
        <v>00780339</v>
      </c>
    </row>
    <row r="16211" spans="1:2" x14ac:dyDescent="0.25">
      <c r="A16211" s="2">
        <v>16206</v>
      </c>
      <c r="B16211" s="3" t="str">
        <f>"00780368"</f>
        <v>00780368</v>
      </c>
    </row>
    <row r="16212" spans="1:2" x14ac:dyDescent="0.25">
      <c r="A16212" s="2">
        <v>16207</v>
      </c>
      <c r="B16212" s="3" t="str">
        <f>"00780371"</f>
        <v>00780371</v>
      </c>
    </row>
    <row r="16213" spans="1:2" x14ac:dyDescent="0.25">
      <c r="A16213" s="2">
        <v>16208</v>
      </c>
      <c r="B16213" s="3" t="str">
        <f>"00780391"</f>
        <v>00780391</v>
      </c>
    </row>
    <row r="16214" spans="1:2" x14ac:dyDescent="0.25">
      <c r="A16214" s="2">
        <v>16209</v>
      </c>
      <c r="B16214" s="3" t="str">
        <f>"00780424"</f>
        <v>00780424</v>
      </c>
    </row>
    <row r="16215" spans="1:2" x14ac:dyDescent="0.25">
      <c r="A16215" s="2">
        <v>16210</v>
      </c>
      <c r="B16215" s="3" t="str">
        <f>"00780436"</f>
        <v>00780436</v>
      </c>
    </row>
    <row r="16216" spans="1:2" x14ac:dyDescent="0.25">
      <c r="A16216" s="2">
        <v>16211</v>
      </c>
      <c r="B16216" s="3" t="str">
        <f>"00780613"</f>
        <v>00780613</v>
      </c>
    </row>
    <row r="16217" spans="1:2" x14ac:dyDescent="0.25">
      <c r="A16217" s="2">
        <v>16212</v>
      </c>
      <c r="B16217" s="3" t="str">
        <f>"00780653"</f>
        <v>00780653</v>
      </c>
    </row>
    <row r="16218" spans="1:2" x14ac:dyDescent="0.25">
      <c r="A16218" s="2">
        <v>16213</v>
      </c>
      <c r="B16218" s="3" t="str">
        <f>"00780804"</f>
        <v>00780804</v>
      </c>
    </row>
    <row r="16219" spans="1:2" x14ac:dyDescent="0.25">
      <c r="A16219" s="2">
        <v>16214</v>
      </c>
      <c r="B16219" s="3" t="str">
        <f>"00780840"</f>
        <v>00780840</v>
      </c>
    </row>
    <row r="16220" spans="1:2" x14ac:dyDescent="0.25">
      <c r="A16220" s="2">
        <v>16215</v>
      </c>
      <c r="B16220" s="3" t="str">
        <f>"00781015"</f>
        <v>00781015</v>
      </c>
    </row>
    <row r="16221" spans="1:2" x14ac:dyDescent="0.25">
      <c r="A16221" s="2">
        <v>16216</v>
      </c>
      <c r="B16221" s="3" t="str">
        <f>"00781036"</f>
        <v>00781036</v>
      </c>
    </row>
    <row r="16222" spans="1:2" x14ac:dyDescent="0.25">
      <c r="A16222" s="2">
        <v>16217</v>
      </c>
      <c r="B16222" s="3" t="str">
        <f>"00781133"</f>
        <v>00781133</v>
      </c>
    </row>
    <row r="16223" spans="1:2" x14ac:dyDescent="0.25">
      <c r="A16223" s="2">
        <v>16218</v>
      </c>
      <c r="B16223" s="3" t="str">
        <f>"00781213"</f>
        <v>00781213</v>
      </c>
    </row>
    <row r="16224" spans="1:2" x14ac:dyDescent="0.25">
      <c r="A16224" s="2">
        <v>16219</v>
      </c>
      <c r="B16224" s="3" t="str">
        <f>"00781214"</f>
        <v>00781214</v>
      </c>
    </row>
    <row r="16225" spans="1:2" x14ac:dyDescent="0.25">
      <c r="A16225" s="2">
        <v>16220</v>
      </c>
      <c r="B16225" s="3" t="str">
        <f>"00781228"</f>
        <v>00781228</v>
      </c>
    </row>
    <row r="16226" spans="1:2" x14ac:dyDescent="0.25">
      <c r="A16226" s="2">
        <v>16221</v>
      </c>
      <c r="B16226" s="3" t="str">
        <f>"00781231"</f>
        <v>00781231</v>
      </c>
    </row>
    <row r="16227" spans="1:2" x14ac:dyDescent="0.25">
      <c r="A16227" s="2">
        <v>16222</v>
      </c>
      <c r="B16227" s="3" t="str">
        <f>"00781262"</f>
        <v>00781262</v>
      </c>
    </row>
    <row r="16228" spans="1:2" x14ac:dyDescent="0.25">
      <c r="A16228" s="2">
        <v>16223</v>
      </c>
      <c r="B16228" s="3" t="str">
        <f>"00781270"</f>
        <v>00781270</v>
      </c>
    </row>
    <row r="16229" spans="1:2" x14ac:dyDescent="0.25">
      <c r="A16229" s="2">
        <v>16224</v>
      </c>
      <c r="B16229" s="3" t="str">
        <f>"00781274"</f>
        <v>00781274</v>
      </c>
    </row>
    <row r="16230" spans="1:2" x14ac:dyDescent="0.25">
      <c r="A16230" s="2">
        <v>16225</v>
      </c>
      <c r="B16230" s="3" t="str">
        <f>"00781284"</f>
        <v>00781284</v>
      </c>
    </row>
    <row r="16231" spans="1:2" x14ac:dyDescent="0.25">
      <c r="A16231" s="2">
        <v>16226</v>
      </c>
      <c r="B16231" s="3" t="str">
        <f>"00781337"</f>
        <v>00781337</v>
      </c>
    </row>
    <row r="16232" spans="1:2" x14ac:dyDescent="0.25">
      <c r="A16232" s="2">
        <v>16227</v>
      </c>
      <c r="B16232" s="3" t="str">
        <f>"00781452"</f>
        <v>00781452</v>
      </c>
    </row>
    <row r="16233" spans="1:2" x14ac:dyDescent="0.25">
      <c r="A16233" s="2">
        <v>16228</v>
      </c>
      <c r="B16233" s="3" t="str">
        <f>"00781460"</f>
        <v>00781460</v>
      </c>
    </row>
    <row r="16234" spans="1:2" x14ac:dyDescent="0.25">
      <c r="A16234" s="2">
        <v>16229</v>
      </c>
      <c r="B16234" s="3" t="str">
        <f>"00781488"</f>
        <v>00781488</v>
      </c>
    </row>
    <row r="16235" spans="1:2" x14ac:dyDescent="0.25">
      <c r="A16235" s="2">
        <v>16230</v>
      </c>
      <c r="B16235" s="3" t="str">
        <f>"00781514"</f>
        <v>00781514</v>
      </c>
    </row>
    <row r="16236" spans="1:2" x14ac:dyDescent="0.25">
      <c r="A16236" s="2">
        <v>16231</v>
      </c>
      <c r="B16236" s="3" t="str">
        <f>"00781534"</f>
        <v>00781534</v>
      </c>
    </row>
    <row r="16237" spans="1:2" x14ac:dyDescent="0.25">
      <c r="A16237" s="2">
        <v>16232</v>
      </c>
      <c r="B16237" s="3" t="str">
        <f>"00781545"</f>
        <v>00781545</v>
      </c>
    </row>
    <row r="16238" spans="1:2" x14ac:dyDescent="0.25">
      <c r="A16238" s="2">
        <v>16233</v>
      </c>
      <c r="B16238" s="3" t="str">
        <f>"00781636"</f>
        <v>00781636</v>
      </c>
    </row>
    <row r="16239" spans="1:2" x14ac:dyDescent="0.25">
      <c r="A16239" s="2">
        <v>16234</v>
      </c>
      <c r="B16239" s="3" t="str">
        <f>"00781705"</f>
        <v>00781705</v>
      </c>
    </row>
    <row r="16240" spans="1:2" x14ac:dyDescent="0.25">
      <c r="A16240" s="2">
        <v>16235</v>
      </c>
      <c r="B16240" s="3" t="str">
        <f>"00781770"</f>
        <v>00781770</v>
      </c>
    </row>
    <row r="16241" spans="1:2" x14ac:dyDescent="0.25">
      <c r="A16241" s="2">
        <v>16236</v>
      </c>
      <c r="B16241" s="3" t="str">
        <f>"00781810"</f>
        <v>00781810</v>
      </c>
    </row>
    <row r="16242" spans="1:2" x14ac:dyDescent="0.25">
      <c r="A16242" s="2">
        <v>16237</v>
      </c>
      <c r="B16242" s="3" t="str">
        <f>"00781853"</f>
        <v>00781853</v>
      </c>
    </row>
    <row r="16243" spans="1:2" x14ac:dyDescent="0.25">
      <c r="A16243" s="2">
        <v>16238</v>
      </c>
      <c r="B16243" s="3" t="str">
        <f>"00781876"</f>
        <v>00781876</v>
      </c>
    </row>
    <row r="16244" spans="1:2" x14ac:dyDescent="0.25">
      <c r="A16244" s="2">
        <v>16239</v>
      </c>
      <c r="B16244" s="3" t="str">
        <f>"00781927"</f>
        <v>00781927</v>
      </c>
    </row>
    <row r="16245" spans="1:2" x14ac:dyDescent="0.25">
      <c r="A16245" s="2">
        <v>16240</v>
      </c>
      <c r="B16245" s="3" t="str">
        <f>"00781978"</f>
        <v>00781978</v>
      </c>
    </row>
    <row r="16246" spans="1:2" x14ac:dyDescent="0.25">
      <c r="A16246" s="2">
        <v>16241</v>
      </c>
      <c r="B16246" s="3" t="str">
        <f>"00782120"</f>
        <v>00782120</v>
      </c>
    </row>
    <row r="16247" spans="1:2" x14ac:dyDescent="0.25">
      <c r="A16247" s="2">
        <v>16242</v>
      </c>
      <c r="B16247" s="3" t="str">
        <f>"00782134"</f>
        <v>00782134</v>
      </c>
    </row>
    <row r="16248" spans="1:2" x14ac:dyDescent="0.25">
      <c r="A16248" s="2">
        <v>16243</v>
      </c>
      <c r="B16248" s="3" t="str">
        <f>"00782175"</f>
        <v>00782175</v>
      </c>
    </row>
    <row r="16249" spans="1:2" x14ac:dyDescent="0.25">
      <c r="A16249" s="2">
        <v>16244</v>
      </c>
      <c r="B16249" s="3" t="str">
        <f>"00782204"</f>
        <v>00782204</v>
      </c>
    </row>
    <row r="16250" spans="1:2" x14ac:dyDescent="0.25">
      <c r="A16250" s="2">
        <v>16245</v>
      </c>
      <c r="B16250" s="3" t="str">
        <f>"00782239"</f>
        <v>00782239</v>
      </c>
    </row>
    <row r="16251" spans="1:2" x14ac:dyDescent="0.25">
      <c r="A16251" s="2">
        <v>16246</v>
      </c>
      <c r="B16251" s="3" t="str">
        <f>"00782309"</f>
        <v>00782309</v>
      </c>
    </row>
    <row r="16252" spans="1:2" x14ac:dyDescent="0.25">
      <c r="A16252" s="2">
        <v>16247</v>
      </c>
      <c r="B16252" s="3" t="str">
        <f>"00782314"</f>
        <v>00782314</v>
      </c>
    </row>
    <row r="16253" spans="1:2" x14ac:dyDescent="0.25">
      <c r="A16253" s="2">
        <v>16248</v>
      </c>
      <c r="B16253" s="3" t="str">
        <f>"00782361"</f>
        <v>00782361</v>
      </c>
    </row>
    <row r="16254" spans="1:2" x14ac:dyDescent="0.25">
      <c r="A16254" s="2">
        <v>16249</v>
      </c>
      <c r="B16254" s="3" t="str">
        <f>"00782454"</f>
        <v>00782454</v>
      </c>
    </row>
    <row r="16255" spans="1:2" x14ac:dyDescent="0.25">
      <c r="A16255" s="2">
        <v>16250</v>
      </c>
      <c r="B16255" s="3" t="str">
        <f>"00782485"</f>
        <v>00782485</v>
      </c>
    </row>
    <row r="16256" spans="1:2" x14ac:dyDescent="0.25">
      <c r="A16256" s="2">
        <v>16251</v>
      </c>
      <c r="B16256" s="3" t="str">
        <f>"00782501"</f>
        <v>00782501</v>
      </c>
    </row>
    <row r="16257" spans="1:2" x14ac:dyDescent="0.25">
      <c r="A16257" s="2">
        <v>16252</v>
      </c>
      <c r="B16257" s="3" t="str">
        <f>"00782542"</f>
        <v>00782542</v>
      </c>
    </row>
    <row r="16258" spans="1:2" x14ac:dyDescent="0.25">
      <c r="A16258" s="2">
        <v>16253</v>
      </c>
      <c r="B16258" s="3" t="str">
        <f>"00782580"</f>
        <v>00782580</v>
      </c>
    </row>
    <row r="16259" spans="1:2" x14ac:dyDescent="0.25">
      <c r="A16259" s="2">
        <v>16254</v>
      </c>
      <c r="B16259" s="3" t="str">
        <f>"00782608"</f>
        <v>00782608</v>
      </c>
    </row>
    <row r="16260" spans="1:2" x14ac:dyDescent="0.25">
      <c r="A16260" s="2">
        <v>16255</v>
      </c>
      <c r="B16260" s="3" t="str">
        <f>"00782675"</f>
        <v>00782675</v>
      </c>
    </row>
    <row r="16261" spans="1:2" x14ac:dyDescent="0.25">
      <c r="A16261" s="2">
        <v>16256</v>
      </c>
      <c r="B16261" s="3" t="str">
        <f>"00782678"</f>
        <v>00782678</v>
      </c>
    </row>
    <row r="16262" spans="1:2" x14ac:dyDescent="0.25">
      <c r="A16262" s="2">
        <v>16257</v>
      </c>
      <c r="B16262" s="3" t="str">
        <f>"00782704"</f>
        <v>00782704</v>
      </c>
    </row>
    <row r="16263" spans="1:2" x14ac:dyDescent="0.25">
      <c r="A16263" s="2">
        <v>16258</v>
      </c>
      <c r="B16263" s="3" t="str">
        <f>"00782741"</f>
        <v>00782741</v>
      </c>
    </row>
    <row r="16264" spans="1:2" x14ac:dyDescent="0.25">
      <c r="A16264" s="2">
        <v>16259</v>
      </c>
      <c r="B16264" s="3" t="str">
        <f>"00782742"</f>
        <v>00782742</v>
      </c>
    </row>
    <row r="16265" spans="1:2" x14ac:dyDescent="0.25">
      <c r="A16265" s="2">
        <v>16260</v>
      </c>
      <c r="B16265" s="3" t="str">
        <f>"00782814"</f>
        <v>00782814</v>
      </c>
    </row>
    <row r="16266" spans="1:2" x14ac:dyDescent="0.25">
      <c r="A16266" s="2">
        <v>16261</v>
      </c>
      <c r="B16266" s="3" t="str">
        <f>"00782895"</f>
        <v>00782895</v>
      </c>
    </row>
    <row r="16267" spans="1:2" x14ac:dyDescent="0.25">
      <c r="A16267" s="2">
        <v>16262</v>
      </c>
      <c r="B16267" s="3" t="str">
        <f>"00782931"</f>
        <v>00782931</v>
      </c>
    </row>
    <row r="16268" spans="1:2" x14ac:dyDescent="0.25">
      <c r="A16268" s="2">
        <v>16263</v>
      </c>
      <c r="B16268" s="3" t="str">
        <f>"00782932"</f>
        <v>00782932</v>
      </c>
    </row>
    <row r="16269" spans="1:2" x14ac:dyDescent="0.25">
      <c r="A16269" s="2">
        <v>16264</v>
      </c>
      <c r="B16269" s="3" t="str">
        <f>"00782948"</f>
        <v>00782948</v>
      </c>
    </row>
    <row r="16270" spans="1:2" x14ac:dyDescent="0.25">
      <c r="A16270" s="2">
        <v>16265</v>
      </c>
      <c r="B16270" s="3" t="str">
        <f>"00782966"</f>
        <v>00782966</v>
      </c>
    </row>
    <row r="16271" spans="1:2" x14ac:dyDescent="0.25">
      <c r="A16271" s="2">
        <v>16266</v>
      </c>
      <c r="B16271" s="3" t="str">
        <f>"00783013"</f>
        <v>00783013</v>
      </c>
    </row>
    <row r="16272" spans="1:2" x14ac:dyDescent="0.25">
      <c r="A16272" s="2">
        <v>16267</v>
      </c>
      <c r="B16272" s="3" t="str">
        <f>"00783063"</f>
        <v>00783063</v>
      </c>
    </row>
    <row r="16273" spans="1:2" x14ac:dyDescent="0.25">
      <c r="A16273" s="2">
        <v>16268</v>
      </c>
      <c r="B16273" s="3" t="str">
        <f>"00783114"</f>
        <v>00783114</v>
      </c>
    </row>
    <row r="16274" spans="1:2" x14ac:dyDescent="0.25">
      <c r="A16274" s="2">
        <v>16269</v>
      </c>
      <c r="B16274" s="3" t="str">
        <f>"00783121"</f>
        <v>00783121</v>
      </c>
    </row>
    <row r="16275" spans="1:2" x14ac:dyDescent="0.25">
      <c r="A16275" s="2">
        <v>16270</v>
      </c>
      <c r="B16275" s="3" t="str">
        <f>"00783138"</f>
        <v>00783138</v>
      </c>
    </row>
    <row r="16276" spans="1:2" x14ac:dyDescent="0.25">
      <c r="A16276" s="2">
        <v>16271</v>
      </c>
      <c r="B16276" s="3" t="str">
        <f>"00783236"</f>
        <v>00783236</v>
      </c>
    </row>
    <row r="16277" spans="1:2" x14ac:dyDescent="0.25">
      <c r="A16277" s="2">
        <v>16272</v>
      </c>
      <c r="B16277" s="3" t="str">
        <f>"00783254"</f>
        <v>00783254</v>
      </c>
    </row>
    <row r="16278" spans="1:2" x14ac:dyDescent="0.25">
      <c r="A16278" s="2">
        <v>16273</v>
      </c>
      <c r="B16278" s="3" t="str">
        <f>"00783257"</f>
        <v>00783257</v>
      </c>
    </row>
    <row r="16279" spans="1:2" x14ac:dyDescent="0.25">
      <c r="A16279" s="2">
        <v>16274</v>
      </c>
      <c r="B16279" s="3" t="str">
        <f>"00783284"</f>
        <v>00783284</v>
      </c>
    </row>
    <row r="16280" spans="1:2" x14ac:dyDescent="0.25">
      <c r="A16280" s="2">
        <v>16275</v>
      </c>
      <c r="B16280" s="3" t="str">
        <f>"00783298"</f>
        <v>00783298</v>
      </c>
    </row>
    <row r="16281" spans="1:2" x14ac:dyDescent="0.25">
      <c r="A16281" s="2">
        <v>16276</v>
      </c>
      <c r="B16281" s="3" t="str">
        <f>"00783326"</f>
        <v>00783326</v>
      </c>
    </row>
    <row r="16282" spans="1:2" x14ac:dyDescent="0.25">
      <c r="A16282" s="2">
        <v>16277</v>
      </c>
      <c r="B16282" s="3" t="str">
        <f>"00783327"</f>
        <v>00783327</v>
      </c>
    </row>
    <row r="16283" spans="1:2" x14ac:dyDescent="0.25">
      <c r="A16283" s="2">
        <v>16278</v>
      </c>
      <c r="B16283" s="3" t="str">
        <f>"00783335"</f>
        <v>00783335</v>
      </c>
    </row>
    <row r="16284" spans="1:2" x14ac:dyDescent="0.25">
      <c r="A16284" s="2">
        <v>16279</v>
      </c>
      <c r="B16284" s="3" t="str">
        <f>"00783449"</f>
        <v>00783449</v>
      </c>
    </row>
    <row r="16285" spans="1:2" x14ac:dyDescent="0.25">
      <c r="A16285" s="2">
        <v>16280</v>
      </c>
      <c r="B16285" s="3" t="str">
        <f>"00783464"</f>
        <v>00783464</v>
      </c>
    </row>
    <row r="16286" spans="1:2" x14ac:dyDescent="0.25">
      <c r="A16286" s="2">
        <v>16281</v>
      </c>
      <c r="B16286" s="3" t="str">
        <f>"00783527"</f>
        <v>00783527</v>
      </c>
    </row>
    <row r="16287" spans="1:2" x14ac:dyDescent="0.25">
      <c r="A16287" s="2">
        <v>16282</v>
      </c>
      <c r="B16287" s="3" t="str">
        <f>"00783658"</f>
        <v>00783658</v>
      </c>
    </row>
    <row r="16288" spans="1:2" x14ac:dyDescent="0.25">
      <c r="A16288" s="2">
        <v>16283</v>
      </c>
      <c r="B16288" s="3" t="str">
        <f>"00783674"</f>
        <v>00783674</v>
      </c>
    </row>
    <row r="16289" spans="1:2" x14ac:dyDescent="0.25">
      <c r="A16289" s="2">
        <v>16284</v>
      </c>
      <c r="B16289" s="3" t="str">
        <f>"00783787"</f>
        <v>00783787</v>
      </c>
    </row>
    <row r="16290" spans="1:2" x14ac:dyDescent="0.25">
      <c r="A16290" s="2">
        <v>16285</v>
      </c>
      <c r="B16290" s="3" t="str">
        <f>"00783841"</f>
        <v>00783841</v>
      </c>
    </row>
    <row r="16291" spans="1:2" x14ac:dyDescent="0.25">
      <c r="A16291" s="2">
        <v>16286</v>
      </c>
      <c r="B16291" s="3" t="str">
        <f>"00783887"</f>
        <v>00783887</v>
      </c>
    </row>
    <row r="16292" spans="1:2" x14ac:dyDescent="0.25">
      <c r="A16292" s="2">
        <v>16287</v>
      </c>
      <c r="B16292" s="3" t="str">
        <f>"00784020"</f>
        <v>00784020</v>
      </c>
    </row>
    <row r="16293" spans="1:2" x14ac:dyDescent="0.25">
      <c r="A16293" s="2">
        <v>16288</v>
      </c>
      <c r="B16293" s="3" t="str">
        <f>"00784027"</f>
        <v>00784027</v>
      </c>
    </row>
    <row r="16294" spans="1:2" x14ac:dyDescent="0.25">
      <c r="A16294" s="2">
        <v>16289</v>
      </c>
      <c r="B16294" s="3" t="str">
        <f>"00784088"</f>
        <v>00784088</v>
      </c>
    </row>
    <row r="16295" spans="1:2" x14ac:dyDescent="0.25">
      <c r="A16295" s="2">
        <v>16290</v>
      </c>
      <c r="B16295" s="3" t="str">
        <f>"00784135"</f>
        <v>00784135</v>
      </c>
    </row>
    <row r="16296" spans="1:2" x14ac:dyDescent="0.25">
      <c r="A16296" s="2">
        <v>16291</v>
      </c>
      <c r="B16296" s="3" t="str">
        <f>"00784166"</f>
        <v>00784166</v>
      </c>
    </row>
    <row r="16297" spans="1:2" x14ac:dyDescent="0.25">
      <c r="A16297" s="2">
        <v>16292</v>
      </c>
      <c r="B16297" s="3" t="str">
        <f>"00784173"</f>
        <v>00784173</v>
      </c>
    </row>
    <row r="16298" spans="1:2" x14ac:dyDescent="0.25">
      <c r="A16298" s="2">
        <v>16293</v>
      </c>
      <c r="B16298" s="3" t="str">
        <f>"00784265"</f>
        <v>00784265</v>
      </c>
    </row>
    <row r="16299" spans="1:2" x14ac:dyDescent="0.25">
      <c r="A16299" s="2">
        <v>16294</v>
      </c>
      <c r="B16299" s="3" t="str">
        <f>"00784392"</f>
        <v>00784392</v>
      </c>
    </row>
    <row r="16300" spans="1:2" x14ac:dyDescent="0.25">
      <c r="A16300" s="2">
        <v>16295</v>
      </c>
      <c r="B16300" s="3" t="str">
        <f>"00784427"</f>
        <v>00784427</v>
      </c>
    </row>
    <row r="16301" spans="1:2" x14ac:dyDescent="0.25">
      <c r="A16301" s="2">
        <v>16296</v>
      </c>
      <c r="B16301" s="3" t="str">
        <f>"00784468"</f>
        <v>00784468</v>
      </c>
    </row>
    <row r="16302" spans="1:2" x14ac:dyDescent="0.25">
      <c r="A16302" s="2">
        <v>16297</v>
      </c>
      <c r="B16302" s="3" t="str">
        <f>"00784482"</f>
        <v>00784482</v>
      </c>
    </row>
    <row r="16303" spans="1:2" x14ac:dyDescent="0.25">
      <c r="A16303" s="2">
        <v>16298</v>
      </c>
      <c r="B16303" s="3" t="str">
        <f>"00784513"</f>
        <v>00784513</v>
      </c>
    </row>
    <row r="16304" spans="1:2" x14ac:dyDescent="0.25">
      <c r="A16304" s="2">
        <v>16299</v>
      </c>
      <c r="B16304" s="3" t="str">
        <f>"00784528"</f>
        <v>00784528</v>
      </c>
    </row>
    <row r="16305" spans="1:2" x14ac:dyDescent="0.25">
      <c r="A16305" s="2">
        <v>16300</v>
      </c>
      <c r="B16305" s="3" t="str">
        <f>"00784532"</f>
        <v>00784532</v>
      </c>
    </row>
    <row r="16306" spans="1:2" x14ac:dyDescent="0.25">
      <c r="A16306" s="2">
        <v>16301</v>
      </c>
      <c r="B16306" s="3" t="str">
        <f>"00784560"</f>
        <v>00784560</v>
      </c>
    </row>
    <row r="16307" spans="1:2" x14ac:dyDescent="0.25">
      <c r="A16307" s="2">
        <v>16302</v>
      </c>
      <c r="B16307" s="3" t="str">
        <f>"00784628"</f>
        <v>00784628</v>
      </c>
    </row>
    <row r="16308" spans="1:2" x14ac:dyDescent="0.25">
      <c r="A16308" s="2">
        <v>16303</v>
      </c>
      <c r="B16308" s="3" t="str">
        <f>"00784655"</f>
        <v>00784655</v>
      </c>
    </row>
    <row r="16309" spans="1:2" x14ac:dyDescent="0.25">
      <c r="A16309" s="2">
        <v>16304</v>
      </c>
      <c r="B16309" s="3" t="str">
        <f>"00784704"</f>
        <v>00784704</v>
      </c>
    </row>
    <row r="16310" spans="1:2" x14ac:dyDescent="0.25">
      <c r="A16310" s="2">
        <v>16305</v>
      </c>
      <c r="B16310" s="3" t="str">
        <f>"00784762"</f>
        <v>00784762</v>
      </c>
    </row>
    <row r="16311" spans="1:2" x14ac:dyDescent="0.25">
      <c r="A16311" s="2">
        <v>16306</v>
      </c>
      <c r="B16311" s="3" t="str">
        <f>"00784764"</f>
        <v>00784764</v>
      </c>
    </row>
    <row r="16312" spans="1:2" x14ac:dyDescent="0.25">
      <c r="A16312" s="2">
        <v>16307</v>
      </c>
      <c r="B16312" s="3" t="str">
        <f>"00784852"</f>
        <v>00784852</v>
      </c>
    </row>
    <row r="16313" spans="1:2" x14ac:dyDescent="0.25">
      <c r="A16313" s="2">
        <v>16308</v>
      </c>
      <c r="B16313" s="3" t="str">
        <f>"00784891"</f>
        <v>00784891</v>
      </c>
    </row>
    <row r="16314" spans="1:2" x14ac:dyDescent="0.25">
      <c r="A16314" s="2">
        <v>16309</v>
      </c>
      <c r="B16314" s="3" t="str">
        <f>"00784982"</f>
        <v>00784982</v>
      </c>
    </row>
    <row r="16315" spans="1:2" x14ac:dyDescent="0.25">
      <c r="A16315" s="2">
        <v>16310</v>
      </c>
      <c r="B16315" s="3" t="str">
        <f>"00785019"</f>
        <v>00785019</v>
      </c>
    </row>
    <row r="16316" spans="1:2" x14ac:dyDescent="0.25">
      <c r="A16316" s="2">
        <v>16311</v>
      </c>
      <c r="B16316" s="3" t="str">
        <f>"00785031"</f>
        <v>00785031</v>
      </c>
    </row>
    <row r="16317" spans="1:2" x14ac:dyDescent="0.25">
      <c r="A16317" s="2">
        <v>16312</v>
      </c>
      <c r="B16317" s="3" t="str">
        <f>"00785089"</f>
        <v>00785089</v>
      </c>
    </row>
    <row r="16318" spans="1:2" x14ac:dyDescent="0.25">
      <c r="A16318" s="2">
        <v>16313</v>
      </c>
      <c r="B16318" s="3" t="str">
        <f>"00785121"</f>
        <v>00785121</v>
      </c>
    </row>
    <row r="16319" spans="1:2" x14ac:dyDescent="0.25">
      <c r="A16319" s="2">
        <v>16314</v>
      </c>
      <c r="B16319" s="3" t="str">
        <f>"00785122"</f>
        <v>00785122</v>
      </c>
    </row>
    <row r="16320" spans="1:2" x14ac:dyDescent="0.25">
      <c r="A16320" s="2">
        <v>16315</v>
      </c>
      <c r="B16320" s="3" t="str">
        <f>"00785126"</f>
        <v>00785126</v>
      </c>
    </row>
    <row r="16321" spans="1:2" x14ac:dyDescent="0.25">
      <c r="A16321" s="2">
        <v>16316</v>
      </c>
      <c r="B16321" s="3" t="str">
        <f>"00785139"</f>
        <v>00785139</v>
      </c>
    </row>
    <row r="16322" spans="1:2" x14ac:dyDescent="0.25">
      <c r="A16322" s="2">
        <v>16317</v>
      </c>
      <c r="B16322" s="3" t="str">
        <f>"00785161"</f>
        <v>00785161</v>
      </c>
    </row>
    <row r="16323" spans="1:2" x14ac:dyDescent="0.25">
      <c r="A16323" s="2">
        <v>16318</v>
      </c>
      <c r="B16323" s="3" t="str">
        <f>"00785184"</f>
        <v>00785184</v>
      </c>
    </row>
    <row r="16324" spans="1:2" x14ac:dyDescent="0.25">
      <c r="A16324" s="2">
        <v>16319</v>
      </c>
      <c r="B16324" s="3" t="str">
        <f>"00785187"</f>
        <v>00785187</v>
      </c>
    </row>
    <row r="16325" spans="1:2" x14ac:dyDescent="0.25">
      <c r="A16325" s="2">
        <v>16320</v>
      </c>
      <c r="B16325" s="3" t="str">
        <f>"00785357"</f>
        <v>00785357</v>
      </c>
    </row>
    <row r="16326" spans="1:2" x14ac:dyDescent="0.25">
      <c r="A16326" s="2">
        <v>16321</v>
      </c>
      <c r="B16326" s="3" t="str">
        <f>"00785453"</f>
        <v>00785453</v>
      </c>
    </row>
    <row r="16327" spans="1:2" x14ac:dyDescent="0.25">
      <c r="A16327" s="2">
        <v>16322</v>
      </c>
      <c r="B16327" s="3" t="str">
        <f>"00785528"</f>
        <v>00785528</v>
      </c>
    </row>
    <row r="16328" spans="1:2" x14ac:dyDescent="0.25">
      <c r="A16328" s="2">
        <v>16323</v>
      </c>
      <c r="B16328" s="3" t="str">
        <f>"00785544"</f>
        <v>00785544</v>
      </c>
    </row>
    <row r="16329" spans="1:2" x14ac:dyDescent="0.25">
      <c r="A16329" s="2">
        <v>16324</v>
      </c>
      <c r="B16329" s="3" t="str">
        <f>"00785606"</f>
        <v>00785606</v>
      </c>
    </row>
    <row r="16330" spans="1:2" x14ac:dyDescent="0.25">
      <c r="A16330" s="2">
        <v>16325</v>
      </c>
      <c r="B16330" s="3" t="str">
        <f>"00785637"</f>
        <v>00785637</v>
      </c>
    </row>
    <row r="16331" spans="1:2" x14ac:dyDescent="0.25">
      <c r="A16331" s="2">
        <v>16326</v>
      </c>
      <c r="B16331" s="3" t="str">
        <f>"00785673"</f>
        <v>00785673</v>
      </c>
    </row>
    <row r="16332" spans="1:2" x14ac:dyDescent="0.25">
      <c r="A16332" s="2">
        <v>16327</v>
      </c>
      <c r="B16332" s="3" t="str">
        <f>"00785733"</f>
        <v>00785733</v>
      </c>
    </row>
    <row r="16333" spans="1:2" x14ac:dyDescent="0.25">
      <c r="A16333" s="2">
        <v>16328</v>
      </c>
      <c r="B16333" s="3" t="str">
        <f>"00785996"</f>
        <v>00785996</v>
      </c>
    </row>
    <row r="16334" spans="1:2" x14ac:dyDescent="0.25">
      <c r="A16334" s="2">
        <v>16329</v>
      </c>
      <c r="B16334" s="3" t="str">
        <f>"00785999"</f>
        <v>00785999</v>
      </c>
    </row>
    <row r="16335" spans="1:2" x14ac:dyDescent="0.25">
      <c r="A16335" s="2">
        <v>16330</v>
      </c>
      <c r="B16335" s="3" t="str">
        <f>"00786109"</f>
        <v>00786109</v>
      </c>
    </row>
    <row r="16336" spans="1:2" x14ac:dyDescent="0.25">
      <c r="A16336" s="2">
        <v>16331</v>
      </c>
      <c r="B16336" s="3" t="str">
        <f>"00786198"</f>
        <v>00786198</v>
      </c>
    </row>
    <row r="16337" spans="1:2" x14ac:dyDescent="0.25">
      <c r="A16337" s="2">
        <v>16332</v>
      </c>
      <c r="B16337" s="3" t="str">
        <f>"00786247"</f>
        <v>00786247</v>
      </c>
    </row>
    <row r="16338" spans="1:2" x14ac:dyDescent="0.25">
      <c r="A16338" s="2">
        <v>16333</v>
      </c>
      <c r="B16338" s="3" t="str">
        <f>"00786266"</f>
        <v>00786266</v>
      </c>
    </row>
    <row r="16339" spans="1:2" x14ac:dyDescent="0.25">
      <c r="A16339" s="2">
        <v>16334</v>
      </c>
      <c r="B16339" s="3" t="str">
        <f>"00786300"</f>
        <v>00786300</v>
      </c>
    </row>
    <row r="16340" spans="1:2" x14ac:dyDescent="0.25">
      <c r="A16340" s="2">
        <v>16335</v>
      </c>
      <c r="B16340" s="3" t="str">
        <f>"00786370"</f>
        <v>00786370</v>
      </c>
    </row>
    <row r="16341" spans="1:2" x14ac:dyDescent="0.25">
      <c r="A16341" s="2">
        <v>16336</v>
      </c>
      <c r="B16341" s="3" t="str">
        <f>"00786393"</f>
        <v>00786393</v>
      </c>
    </row>
    <row r="16342" spans="1:2" x14ac:dyDescent="0.25">
      <c r="A16342" s="2">
        <v>16337</v>
      </c>
      <c r="B16342" s="3" t="str">
        <f>"00786402"</f>
        <v>00786402</v>
      </c>
    </row>
    <row r="16343" spans="1:2" x14ac:dyDescent="0.25">
      <c r="A16343" s="2">
        <v>16338</v>
      </c>
      <c r="B16343" s="3" t="str">
        <f>"00786452"</f>
        <v>00786452</v>
      </c>
    </row>
    <row r="16344" spans="1:2" x14ac:dyDescent="0.25">
      <c r="A16344" s="2">
        <v>16339</v>
      </c>
      <c r="B16344" s="3" t="str">
        <f>"00786497"</f>
        <v>00786497</v>
      </c>
    </row>
    <row r="16345" spans="1:2" x14ac:dyDescent="0.25">
      <c r="A16345" s="2">
        <v>16340</v>
      </c>
      <c r="B16345" s="3" t="str">
        <f>"00786678"</f>
        <v>00786678</v>
      </c>
    </row>
    <row r="16346" spans="1:2" x14ac:dyDescent="0.25">
      <c r="A16346" s="2">
        <v>16341</v>
      </c>
      <c r="B16346" s="3" t="str">
        <f>"00786691"</f>
        <v>00786691</v>
      </c>
    </row>
    <row r="16347" spans="1:2" x14ac:dyDescent="0.25">
      <c r="A16347" s="2">
        <v>16342</v>
      </c>
      <c r="B16347" s="3" t="str">
        <f>"00786720"</f>
        <v>00786720</v>
      </c>
    </row>
    <row r="16348" spans="1:2" x14ac:dyDescent="0.25">
      <c r="A16348" s="2">
        <v>16343</v>
      </c>
      <c r="B16348" s="3" t="str">
        <f>"00786730"</f>
        <v>00786730</v>
      </c>
    </row>
    <row r="16349" spans="1:2" x14ac:dyDescent="0.25">
      <c r="A16349" s="2">
        <v>16344</v>
      </c>
      <c r="B16349" s="3" t="str">
        <f>"00786734"</f>
        <v>00786734</v>
      </c>
    </row>
    <row r="16350" spans="1:2" x14ac:dyDescent="0.25">
      <c r="A16350" s="2">
        <v>16345</v>
      </c>
      <c r="B16350" s="3" t="str">
        <f>"00786751"</f>
        <v>00786751</v>
      </c>
    </row>
    <row r="16351" spans="1:2" x14ac:dyDescent="0.25">
      <c r="A16351" s="2">
        <v>16346</v>
      </c>
      <c r="B16351" s="3" t="str">
        <f>"00786787"</f>
        <v>00786787</v>
      </c>
    </row>
    <row r="16352" spans="1:2" x14ac:dyDescent="0.25">
      <c r="A16352" s="2">
        <v>16347</v>
      </c>
      <c r="B16352" s="3" t="str">
        <f>"00786808"</f>
        <v>00786808</v>
      </c>
    </row>
    <row r="16353" spans="1:2" x14ac:dyDescent="0.25">
      <c r="A16353" s="2">
        <v>16348</v>
      </c>
      <c r="B16353" s="3" t="str">
        <f>"00787183"</f>
        <v>00787183</v>
      </c>
    </row>
    <row r="16354" spans="1:2" x14ac:dyDescent="0.25">
      <c r="A16354" s="2">
        <v>16349</v>
      </c>
      <c r="B16354" s="3" t="str">
        <f>"00787246"</f>
        <v>00787246</v>
      </c>
    </row>
    <row r="16355" spans="1:2" x14ac:dyDescent="0.25">
      <c r="A16355" s="2">
        <v>16350</v>
      </c>
      <c r="B16355" s="3" t="str">
        <f>"00787257"</f>
        <v>00787257</v>
      </c>
    </row>
    <row r="16356" spans="1:2" x14ac:dyDescent="0.25">
      <c r="A16356" s="2">
        <v>16351</v>
      </c>
      <c r="B16356" s="3" t="str">
        <f>"00787361"</f>
        <v>00787361</v>
      </c>
    </row>
    <row r="16357" spans="1:2" x14ac:dyDescent="0.25">
      <c r="A16357" s="2">
        <v>16352</v>
      </c>
      <c r="B16357" s="3" t="str">
        <f>"00787381"</f>
        <v>00787381</v>
      </c>
    </row>
    <row r="16358" spans="1:2" x14ac:dyDescent="0.25">
      <c r="A16358" s="2">
        <v>16353</v>
      </c>
      <c r="B16358" s="3" t="str">
        <f>"00787416"</f>
        <v>00787416</v>
      </c>
    </row>
    <row r="16359" spans="1:2" x14ac:dyDescent="0.25">
      <c r="A16359" s="2">
        <v>16354</v>
      </c>
      <c r="B16359" s="3" t="str">
        <f>"00787446"</f>
        <v>00787446</v>
      </c>
    </row>
    <row r="16360" spans="1:2" x14ac:dyDescent="0.25">
      <c r="A16360" s="2">
        <v>16355</v>
      </c>
      <c r="B16360" s="3" t="str">
        <f>"00787465"</f>
        <v>00787465</v>
      </c>
    </row>
    <row r="16361" spans="1:2" x14ac:dyDescent="0.25">
      <c r="A16361" s="2">
        <v>16356</v>
      </c>
      <c r="B16361" s="3" t="str">
        <f>"00787471"</f>
        <v>00787471</v>
      </c>
    </row>
    <row r="16362" spans="1:2" x14ac:dyDescent="0.25">
      <c r="A16362" s="2">
        <v>16357</v>
      </c>
      <c r="B16362" s="3" t="str">
        <f>"00787537"</f>
        <v>00787537</v>
      </c>
    </row>
    <row r="16363" spans="1:2" x14ac:dyDescent="0.25">
      <c r="A16363" s="2">
        <v>16358</v>
      </c>
      <c r="B16363" s="3" t="str">
        <f>"00787620"</f>
        <v>00787620</v>
      </c>
    </row>
    <row r="16364" spans="1:2" x14ac:dyDescent="0.25">
      <c r="A16364" s="2">
        <v>16359</v>
      </c>
      <c r="B16364" s="3" t="str">
        <f>"00787632"</f>
        <v>00787632</v>
      </c>
    </row>
    <row r="16365" spans="1:2" x14ac:dyDescent="0.25">
      <c r="A16365" s="2">
        <v>16360</v>
      </c>
      <c r="B16365" s="3" t="str">
        <f>"00787659"</f>
        <v>00787659</v>
      </c>
    </row>
    <row r="16366" spans="1:2" x14ac:dyDescent="0.25">
      <c r="A16366" s="2">
        <v>16361</v>
      </c>
      <c r="B16366" s="3" t="str">
        <f>"00787671"</f>
        <v>00787671</v>
      </c>
    </row>
    <row r="16367" spans="1:2" x14ac:dyDescent="0.25">
      <c r="A16367" s="2">
        <v>16362</v>
      </c>
      <c r="B16367" s="3" t="str">
        <f>"00787761"</f>
        <v>00787761</v>
      </c>
    </row>
    <row r="16368" spans="1:2" x14ac:dyDescent="0.25">
      <c r="A16368" s="2">
        <v>16363</v>
      </c>
      <c r="B16368" s="3" t="str">
        <f>"00787773"</f>
        <v>00787773</v>
      </c>
    </row>
    <row r="16369" spans="1:2" x14ac:dyDescent="0.25">
      <c r="A16369" s="2">
        <v>16364</v>
      </c>
      <c r="B16369" s="3" t="str">
        <f>"00787795"</f>
        <v>00787795</v>
      </c>
    </row>
    <row r="16370" spans="1:2" x14ac:dyDescent="0.25">
      <c r="A16370" s="2">
        <v>16365</v>
      </c>
      <c r="B16370" s="3" t="str">
        <f>"00787804"</f>
        <v>00787804</v>
      </c>
    </row>
    <row r="16371" spans="1:2" x14ac:dyDescent="0.25">
      <c r="A16371" s="2">
        <v>16366</v>
      </c>
      <c r="B16371" s="3" t="str">
        <f>"00787843"</f>
        <v>00787843</v>
      </c>
    </row>
    <row r="16372" spans="1:2" x14ac:dyDescent="0.25">
      <c r="A16372" s="2">
        <v>16367</v>
      </c>
      <c r="B16372" s="3" t="str">
        <f>"00788172"</f>
        <v>00788172</v>
      </c>
    </row>
    <row r="16373" spans="1:2" x14ac:dyDescent="0.25">
      <c r="A16373" s="2">
        <v>16368</v>
      </c>
      <c r="B16373" s="3" t="str">
        <f>"00788188"</f>
        <v>00788188</v>
      </c>
    </row>
    <row r="16374" spans="1:2" x14ac:dyDescent="0.25">
      <c r="A16374" s="2">
        <v>16369</v>
      </c>
      <c r="B16374" s="3" t="str">
        <f>"00788219"</f>
        <v>00788219</v>
      </c>
    </row>
    <row r="16375" spans="1:2" x14ac:dyDescent="0.25">
      <c r="A16375" s="2">
        <v>16370</v>
      </c>
      <c r="B16375" s="3" t="str">
        <f>"00788253"</f>
        <v>00788253</v>
      </c>
    </row>
    <row r="16376" spans="1:2" x14ac:dyDescent="0.25">
      <c r="A16376" s="2">
        <v>16371</v>
      </c>
      <c r="B16376" s="3" t="str">
        <f>"00788261"</f>
        <v>00788261</v>
      </c>
    </row>
    <row r="16377" spans="1:2" x14ac:dyDescent="0.25">
      <c r="A16377" s="2">
        <v>16372</v>
      </c>
      <c r="B16377" s="3" t="str">
        <f>"00788277"</f>
        <v>00788277</v>
      </c>
    </row>
    <row r="16378" spans="1:2" x14ac:dyDescent="0.25">
      <c r="A16378" s="2">
        <v>16373</v>
      </c>
      <c r="B16378" s="3" t="str">
        <f>"00788278"</f>
        <v>00788278</v>
      </c>
    </row>
    <row r="16379" spans="1:2" x14ac:dyDescent="0.25">
      <c r="A16379" s="2">
        <v>16374</v>
      </c>
      <c r="B16379" s="3" t="str">
        <f>"00788309"</f>
        <v>00788309</v>
      </c>
    </row>
    <row r="16380" spans="1:2" x14ac:dyDescent="0.25">
      <c r="A16380" s="2">
        <v>16375</v>
      </c>
      <c r="B16380" s="3" t="str">
        <f>"00788449"</f>
        <v>00788449</v>
      </c>
    </row>
    <row r="16381" spans="1:2" x14ac:dyDescent="0.25">
      <c r="A16381" s="2">
        <v>16376</v>
      </c>
      <c r="B16381" s="3" t="str">
        <f>"00788485"</f>
        <v>00788485</v>
      </c>
    </row>
    <row r="16382" spans="1:2" x14ac:dyDescent="0.25">
      <c r="A16382" s="2">
        <v>16377</v>
      </c>
      <c r="B16382" s="3" t="str">
        <f>"00788533"</f>
        <v>00788533</v>
      </c>
    </row>
    <row r="16383" spans="1:2" x14ac:dyDescent="0.25">
      <c r="A16383" s="2">
        <v>16378</v>
      </c>
      <c r="B16383" s="3" t="str">
        <f>"00788542"</f>
        <v>00788542</v>
      </c>
    </row>
    <row r="16384" spans="1:2" x14ac:dyDescent="0.25">
      <c r="A16384" s="2">
        <v>16379</v>
      </c>
      <c r="B16384" s="3" t="str">
        <f>"00788945"</f>
        <v>00788945</v>
      </c>
    </row>
    <row r="16385" spans="1:2" x14ac:dyDescent="0.25">
      <c r="A16385" s="2">
        <v>16380</v>
      </c>
      <c r="B16385" s="3" t="str">
        <f>"00788950"</f>
        <v>00788950</v>
      </c>
    </row>
    <row r="16386" spans="1:2" x14ac:dyDescent="0.25">
      <c r="A16386" s="2">
        <v>16381</v>
      </c>
      <c r="B16386" s="3" t="str">
        <f>"00789061"</f>
        <v>00789061</v>
      </c>
    </row>
    <row r="16387" spans="1:2" x14ac:dyDescent="0.25">
      <c r="A16387" s="2">
        <v>16382</v>
      </c>
      <c r="B16387" s="3" t="str">
        <f>"00789209"</f>
        <v>00789209</v>
      </c>
    </row>
    <row r="16388" spans="1:2" x14ac:dyDescent="0.25">
      <c r="A16388" s="2">
        <v>16383</v>
      </c>
      <c r="B16388" s="3" t="str">
        <f>"00789298"</f>
        <v>00789298</v>
      </c>
    </row>
    <row r="16389" spans="1:2" x14ac:dyDescent="0.25">
      <c r="A16389" s="2">
        <v>16384</v>
      </c>
      <c r="B16389" s="3" t="str">
        <f>"00789333"</f>
        <v>00789333</v>
      </c>
    </row>
    <row r="16390" spans="1:2" x14ac:dyDescent="0.25">
      <c r="A16390" s="2">
        <v>16385</v>
      </c>
      <c r="B16390" s="3" t="str">
        <f>"00789483"</f>
        <v>00789483</v>
      </c>
    </row>
    <row r="16391" spans="1:2" x14ac:dyDescent="0.25">
      <c r="A16391" s="2">
        <v>16386</v>
      </c>
      <c r="B16391" s="3" t="str">
        <f>"00789493"</f>
        <v>00789493</v>
      </c>
    </row>
    <row r="16392" spans="1:2" x14ac:dyDescent="0.25">
      <c r="A16392" s="2">
        <v>16387</v>
      </c>
      <c r="B16392" s="3" t="str">
        <f>"00789523"</f>
        <v>00789523</v>
      </c>
    </row>
    <row r="16393" spans="1:2" x14ac:dyDescent="0.25">
      <c r="A16393" s="2">
        <v>16388</v>
      </c>
      <c r="B16393" s="3" t="str">
        <f>"00789688"</f>
        <v>00789688</v>
      </c>
    </row>
    <row r="16394" spans="1:2" x14ac:dyDescent="0.25">
      <c r="A16394" s="2">
        <v>16389</v>
      </c>
      <c r="B16394" s="3" t="str">
        <f>"00789699"</f>
        <v>00789699</v>
      </c>
    </row>
    <row r="16395" spans="1:2" x14ac:dyDescent="0.25">
      <c r="A16395" s="2">
        <v>16390</v>
      </c>
      <c r="B16395" s="3" t="str">
        <f>"00789762"</f>
        <v>00789762</v>
      </c>
    </row>
    <row r="16396" spans="1:2" x14ac:dyDescent="0.25">
      <c r="A16396" s="2">
        <v>16391</v>
      </c>
      <c r="B16396" s="3" t="str">
        <f>"00789775"</f>
        <v>00789775</v>
      </c>
    </row>
    <row r="16397" spans="1:2" x14ac:dyDescent="0.25">
      <c r="A16397" s="2">
        <v>16392</v>
      </c>
      <c r="B16397" s="3" t="str">
        <f>"00790032"</f>
        <v>00790032</v>
      </c>
    </row>
    <row r="16398" spans="1:2" x14ac:dyDescent="0.25">
      <c r="A16398" s="2">
        <v>16393</v>
      </c>
      <c r="B16398" s="3" t="str">
        <f>"00790060"</f>
        <v>00790060</v>
      </c>
    </row>
    <row r="16399" spans="1:2" x14ac:dyDescent="0.25">
      <c r="A16399" s="2">
        <v>16394</v>
      </c>
      <c r="B16399" s="3" t="str">
        <f>"00790096"</f>
        <v>00790096</v>
      </c>
    </row>
    <row r="16400" spans="1:2" x14ac:dyDescent="0.25">
      <c r="A16400" s="2">
        <v>16395</v>
      </c>
      <c r="B16400" s="3" t="str">
        <f>"00790171"</f>
        <v>00790171</v>
      </c>
    </row>
    <row r="16401" spans="1:2" x14ac:dyDescent="0.25">
      <c r="A16401" s="2">
        <v>16396</v>
      </c>
      <c r="B16401" s="3" t="str">
        <f>"00790200"</f>
        <v>00790200</v>
      </c>
    </row>
    <row r="16402" spans="1:2" x14ac:dyDescent="0.25">
      <c r="A16402" s="2">
        <v>16397</v>
      </c>
      <c r="B16402" s="3" t="str">
        <f>"00790377"</f>
        <v>00790377</v>
      </c>
    </row>
    <row r="16403" spans="1:2" x14ac:dyDescent="0.25">
      <c r="A16403" s="2">
        <v>16398</v>
      </c>
      <c r="B16403" s="3" t="str">
        <f>"00790399"</f>
        <v>00790399</v>
      </c>
    </row>
    <row r="16404" spans="1:2" x14ac:dyDescent="0.25">
      <c r="A16404" s="2">
        <v>16399</v>
      </c>
      <c r="B16404" s="3" t="str">
        <f>"00790653"</f>
        <v>00790653</v>
      </c>
    </row>
    <row r="16405" spans="1:2" x14ac:dyDescent="0.25">
      <c r="A16405" s="2">
        <v>16400</v>
      </c>
      <c r="B16405" s="3" t="str">
        <f>"00790839"</f>
        <v>00790839</v>
      </c>
    </row>
    <row r="16406" spans="1:2" x14ac:dyDescent="0.25">
      <c r="A16406" s="2">
        <v>16401</v>
      </c>
      <c r="B16406" s="3" t="str">
        <f>"00790893"</f>
        <v>00790893</v>
      </c>
    </row>
    <row r="16407" spans="1:2" x14ac:dyDescent="0.25">
      <c r="A16407" s="2">
        <v>16402</v>
      </c>
      <c r="B16407" s="3" t="str">
        <f>"00790906"</f>
        <v>00790906</v>
      </c>
    </row>
    <row r="16408" spans="1:2" x14ac:dyDescent="0.25">
      <c r="A16408" s="2">
        <v>16403</v>
      </c>
      <c r="B16408" s="3" t="str">
        <f>"00791002"</f>
        <v>00791002</v>
      </c>
    </row>
    <row r="16409" spans="1:2" x14ac:dyDescent="0.25">
      <c r="A16409" s="2">
        <v>16404</v>
      </c>
      <c r="B16409" s="3" t="str">
        <f>"00791016"</f>
        <v>00791016</v>
      </c>
    </row>
    <row r="16410" spans="1:2" x14ac:dyDescent="0.25">
      <c r="A16410" s="2">
        <v>16405</v>
      </c>
      <c r="B16410" s="3" t="str">
        <f>"00791108"</f>
        <v>00791108</v>
      </c>
    </row>
    <row r="16411" spans="1:2" x14ac:dyDescent="0.25">
      <c r="A16411" s="2">
        <v>16406</v>
      </c>
      <c r="B16411" s="3" t="str">
        <f>"00791154"</f>
        <v>00791154</v>
      </c>
    </row>
    <row r="16412" spans="1:2" x14ac:dyDescent="0.25">
      <c r="A16412" s="2">
        <v>16407</v>
      </c>
      <c r="B16412" s="3" t="str">
        <f>"00791158"</f>
        <v>00791158</v>
      </c>
    </row>
    <row r="16413" spans="1:2" x14ac:dyDescent="0.25">
      <c r="A16413" s="2">
        <v>16408</v>
      </c>
      <c r="B16413" s="3" t="str">
        <f>"00791307"</f>
        <v>00791307</v>
      </c>
    </row>
    <row r="16414" spans="1:2" x14ac:dyDescent="0.25">
      <c r="A16414" s="2">
        <v>16409</v>
      </c>
      <c r="B16414" s="3" t="str">
        <f>"00791309"</f>
        <v>00791309</v>
      </c>
    </row>
    <row r="16415" spans="1:2" x14ac:dyDescent="0.25">
      <c r="A16415" s="2">
        <v>16410</v>
      </c>
      <c r="B16415" s="3" t="str">
        <f>"00791371"</f>
        <v>00791371</v>
      </c>
    </row>
    <row r="16416" spans="1:2" x14ac:dyDescent="0.25">
      <c r="A16416" s="2">
        <v>16411</v>
      </c>
      <c r="B16416" s="3" t="str">
        <f>"00791386"</f>
        <v>00791386</v>
      </c>
    </row>
    <row r="16417" spans="1:2" x14ac:dyDescent="0.25">
      <c r="A16417" s="2">
        <v>16412</v>
      </c>
      <c r="B16417" s="3" t="str">
        <f>"00791446"</f>
        <v>00791446</v>
      </c>
    </row>
    <row r="16418" spans="1:2" x14ac:dyDescent="0.25">
      <c r="A16418" s="2">
        <v>16413</v>
      </c>
      <c r="B16418" s="3" t="str">
        <f>"00791526"</f>
        <v>00791526</v>
      </c>
    </row>
    <row r="16419" spans="1:2" x14ac:dyDescent="0.25">
      <c r="A16419" s="2">
        <v>16414</v>
      </c>
      <c r="B16419" s="3" t="str">
        <f>"00791697"</f>
        <v>00791697</v>
      </c>
    </row>
    <row r="16420" spans="1:2" x14ac:dyDescent="0.25">
      <c r="A16420" s="2">
        <v>16415</v>
      </c>
      <c r="B16420" s="3" t="str">
        <f>"00791713"</f>
        <v>00791713</v>
      </c>
    </row>
    <row r="16421" spans="1:2" x14ac:dyDescent="0.25">
      <c r="A16421" s="2">
        <v>16416</v>
      </c>
      <c r="B16421" s="3" t="str">
        <f>"00791891"</f>
        <v>00791891</v>
      </c>
    </row>
    <row r="16422" spans="1:2" x14ac:dyDescent="0.25">
      <c r="A16422" s="2">
        <v>16417</v>
      </c>
      <c r="B16422" s="3" t="str">
        <f>"00791982"</f>
        <v>00791982</v>
      </c>
    </row>
    <row r="16423" spans="1:2" x14ac:dyDescent="0.25">
      <c r="A16423" s="2">
        <v>16418</v>
      </c>
      <c r="B16423" s="3" t="str">
        <f>"00792078"</f>
        <v>00792078</v>
      </c>
    </row>
    <row r="16424" spans="1:2" x14ac:dyDescent="0.25">
      <c r="A16424" s="2">
        <v>16419</v>
      </c>
      <c r="B16424" s="3" t="str">
        <f>"00792125"</f>
        <v>00792125</v>
      </c>
    </row>
    <row r="16425" spans="1:2" x14ac:dyDescent="0.25">
      <c r="A16425" s="2">
        <v>16420</v>
      </c>
      <c r="B16425" s="3" t="str">
        <f>"00792142"</f>
        <v>00792142</v>
      </c>
    </row>
    <row r="16426" spans="1:2" x14ac:dyDescent="0.25">
      <c r="A16426" s="2">
        <v>16421</v>
      </c>
      <c r="B16426" s="3" t="str">
        <f>"00792189"</f>
        <v>00792189</v>
      </c>
    </row>
    <row r="16427" spans="1:2" x14ac:dyDescent="0.25">
      <c r="A16427" s="2">
        <v>16422</v>
      </c>
      <c r="B16427" s="3" t="str">
        <f>"00792357"</f>
        <v>00792357</v>
      </c>
    </row>
    <row r="16428" spans="1:2" x14ac:dyDescent="0.25">
      <c r="A16428" s="2">
        <v>16423</v>
      </c>
      <c r="B16428" s="3" t="str">
        <f>"00792358"</f>
        <v>00792358</v>
      </c>
    </row>
    <row r="16429" spans="1:2" x14ac:dyDescent="0.25">
      <c r="A16429" s="2">
        <v>16424</v>
      </c>
      <c r="B16429" s="3" t="str">
        <f>"00792380"</f>
        <v>00792380</v>
      </c>
    </row>
    <row r="16430" spans="1:2" x14ac:dyDescent="0.25">
      <c r="A16430" s="2">
        <v>16425</v>
      </c>
      <c r="B16430" s="3" t="str">
        <f>"00792391"</f>
        <v>00792391</v>
      </c>
    </row>
    <row r="16431" spans="1:2" x14ac:dyDescent="0.25">
      <c r="A16431" s="2">
        <v>16426</v>
      </c>
      <c r="B16431" s="3" t="str">
        <f>"00792403"</f>
        <v>00792403</v>
      </c>
    </row>
    <row r="16432" spans="1:2" x14ac:dyDescent="0.25">
      <c r="A16432" s="2">
        <v>16427</v>
      </c>
      <c r="B16432" s="3" t="str">
        <f>"00792463"</f>
        <v>00792463</v>
      </c>
    </row>
    <row r="16433" spans="1:2" x14ac:dyDescent="0.25">
      <c r="A16433" s="2">
        <v>16428</v>
      </c>
      <c r="B16433" s="3" t="str">
        <f>"00792591"</f>
        <v>00792591</v>
      </c>
    </row>
    <row r="16434" spans="1:2" x14ac:dyDescent="0.25">
      <c r="A16434" s="2">
        <v>16429</v>
      </c>
      <c r="B16434" s="3" t="str">
        <f>"00792601"</f>
        <v>00792601</v>
      </c>
    </row>
    <row r="16435" spans="1:2" x14ac:dyDescent="0.25">
      <c r="A16435" s="2">
        <v>16430</v>
      </c>
      <c r="B16435" s="3" t="str">
        <f>"00792610"</f>
        <v>00792610</v>
      </c>
    </row>
    <row r="16436" spans="1:2" x14ac:dyDescent="0.25">
      <c r="A16436" s="2">
        <v>16431</v>
      </c>
      <c r="B16436" s="3" t="str">
        <f>"00792613"</f>
        <v>00792613</v>
      </c>
    </row>
    <row r="16437" spans="1:2" x14ac:dyDescent="0.25">
      <c r="A16437" s="2">
        <v>16432</v>
      </c>
      <c r="B16437" s="3" t="str">
        <f>"00792623"</f>
        <v>00792623</v>
      </c>
    </row>
    <row r="16438" spans="1:2" x14ac:dyDescent="0.25">
      <c r="A16438" s="2">
        <v>16433</v>
      </c>
      <c r="B16438" s="3" t="str">
        <f>"00792651"</f>
        <v>00792651</v>
      </c>
    </row>
    <row r="16439" spans="1:2" x14ac:dyDescent="0.25">
      <c r="A16439" s="2">
        <v>16434</v>
      </c>
      <c r="B16439" s="3" t="str">
        <f>"00792674"</f>
        <v>00792674</v>
      </c>
    </row>
    <row r="16440" spans="1:2" x14ac:dyDescent="0.25">
      <c r="A16440" s="2">
        <v>16435</v>
      </c>
      <c r="B16440" s="3" t="str">
        <f>"00792689"</f>
        <v>00792689</v>
      </c>
    </row>
    <row r="16441" spans="1:2" x14ac:dyDescent="0.25">
      <c r="A16441" s="2">
        <v>16436</v>
      </c>
      <c r="B16441" s="3" t="str">
        <f>"00792701"</f>
        <v>00792701</v>
      </c>
    </row>
    <row r="16442" spans="1:2" x14ac:dyDescent="0.25">
      <c r="A16442" s="2">
        <v>16437</v>
      </c>
      <c r="B16442" s="3" t="str">
        <f>"00792784"</f>
        <v>00792784</v>
      </c>
    </row>
    <row r="16443" spans="1:2" x14ac:dyDescent="0.25">
      <c r="A16443" s="2">
        <v>16438</v>
      </c>
      <c r="B16443" s="3" t="str">
        <f>"00792859"</f>
        <v>00792859</v>
      </c>
    </row>
    <row r="16444" spans="1:2" x14ac:dyDescent="0.25">
      <c r="A16444" s="2">
        <v>16439</v>
      </c>
      <c r="B16444" s="3" t="str">
        <f>"00792901"</f>
        <v>00792901</v>
      </c>
    </row>
    <row r="16445" spans="1:2" x14ac:dyDescent="0.25">
      <c r="A16445" s="2">
        <v>16440</v>
      </c>
      <c r="B16445" s="3" t="str">
        <f>"00793144"</f>
        <v>00793144</v>
      </c>
    </row>
    <row r="16446" spans="1:2" x14ac:dyDescent="0.25">
      <c r="A16446" s="2">
        <v>16441</v>
      </c>
      <c r="B16446" s="3" t="str">
        <f>"00793231"</f>
        <v>00793231</v>
      </c>
    </row>
    <row r="16447" spans="1:2" x14ac:dyDescent="0.25">
      <c r="A16447" s="2">
        <v>16442</v>
      </c>
      <c r="B16447" s="3" t="str">
        <f>"00793236"</f>
        <v>00793236</v>
      </c>
    </row>
    <row r="16448" spans="1:2" x14ac:dyDescent="0.25">
      <c r="A16448" s="2">
        <v>16443</v>
      </c>
      <c r="B16448" s="3" t="str">
        <f>"00793249"</f>
        <v>00793249</v>
      </c>
    </row>
    <row r="16449" spans="1:2" x14ac:dyDescent="0.25">
      <c r="A16449" s="2">
        <v>16444</v>
      </c>
      <c r="B16449" s="3" t="str">
        <f>"00793256"</f>
        <v>00793256</v>
      </c>
    </row>
    <row r="16450" spans="1:2" x14ac:dyDescent="0.25">
      <c r="A16450" s="2">
        <v>16445</v>
      </c>
      <c r="B16450" s="3" t="str">
        <f>"00793278"</f>
        <v>00793278</v>
      </c>
    </row>
    <row r="16451" spans="1:2" x14ac:dyDescent="0.25">
      <c r="A16451" s="2">
        <v>16446</v>
      </c>
      <c r="B16451" s="3" t="str">
        <f>"00793282"</f>
        <v>00793282</v>
      </c>
    </row>
    <row r="16452" spans="1:2" x14ac:dyDescent="0.25">
      <c r="A16452" s="2">
        <v>16447</v>
      </c>
      <c r="B16452" s="3" t="str">
        <f>"00793336"</f>
        <v>00793336</v>
      </c>
    </row>
    <row r="16453" spans="1:2" x14ac:dyDescent="0.25">
      <c r="A16453" s="2">
        <v>16448</v>
      </c>
      <c r="B16453" s="3" t="str">
        <f>"00793337"</f>
        <v>00793337</v>
      </c>
    </row>
    <row r="16454" spans="1:2" x14ac:dyDescent="0.25">
      <c r="A16454" s="2">
        <v>16449</v>
      </c>
      <c r="B16454" s="3" t="str">
        <f>"00793469"</f>
        <v>00793469</v>
      </c>
    </row>
    <row r="16455" spans="1:2" x14ac:dyDescent="0.25">
      <c r="A16455" s="2">
        <v>16450</v>
      </c>
      <c r="B16455" s="3" t="str">
        <f>"00793487"</f>
        <v>00793487</v>
      </c>
    </row>
    <row r="16456" spans="1:2" x14ac:dyDescent="0.25">
      <c r="A16456" s="2">
        <v>16451</v>
      </c>
      <c r="B16456" s="3" t="str">
        <f>"00793532"</f>
        <v>00793532</v>
      </c>
    </row>
    <row r="16457" spans="1:2" x14ac:dyDescent="0.25">
      <c r="A16457" s="2">
        <v>16452</v>
      </c>
      <c r="B16457" s="3" t="str">
        <f>"00793546"</f>
        <v>00793546</v>
      </c>
    </row>
    <row r="16458" spans="1:2" x14ac:dyDescent="0.25">
      <c r="A16458" s="2">
        <v>16453</v>
      </c>
      <c r="B16458" s="3" t="str">
        <f>"00793646"</f>
        <v>00793646</v>
      </c>
    </row>
    <row r="16459" spans="1:2" x14ac:dyDescent="0.25">
      <c r="A16459" s="2">
        <v>16454</v>
      </c>
      <c r="B16459" s="3" t="str">
        <f>"00793658"</f>
        <v>00793658</v>
      </c>
    </row>
    <row r="16460" spans="1:2" x14ac:dyDescent="0.25">
      <c r="A16460" s="2">
        <v>16455</v>
      </c>
      <c r="B16460" s="3" t="str">
        <f>"00793839"</f>
        <v>00793839</v>
      </c>
    </row>
    <row r="16461" spans="1:2" x14ac:dyDescent="0.25">
      <c r="A16461" s="2">
        <v>16456</v>
      </c>
      <c r="B16461" s="3" t="str">
        <f>"00793947"</f>
        <v>00793947</v>
      </c>
    </row>
    <row r="16462" spans="1:2" x14ac:dyDescent="0.25">
      <c r="A16462" s="2">
        <v>16457</v>
      </c>
      <c r="B16462" s="3" t="str">
        <f>"00794021"</f>
        <v>00794021</v>
      </c>
    </row>
    <row r="16463" spans="1:2" x14ac:dyDescent="0.25">
      <c r="A16463" s="2">
        <v>16458</v>
      </c>
      <c r="B16463" s="3" t="str">
        <f>"00794071"</f>
        <v>00794071</v>
      </c>
    </row>
    <row r="16464" spans="1:2" x14ac:dyDescent="0.25">
      <c r="A16464" s="2">
        <v>16459</v>
      </c>
      <c r="B16464" s="3" t="str">
        <f>"00794100"</f>
        <v>00794100</v>
      </c>
    </row>
    <row r="16465" spans="1:2" x14ac:dyDescent="0.25">
      <c r="A16465" s="2">
        <v>16460</v>
      </c>
      <c r="B16465" s="3" t="str">
        <f>"00794341"</f>
        <v>00794341</v>
      </c>
    </row>
    <row r="16466" spans="1:2" x14ac:dyDescent="0.25">
      <c r="A16466" s="2">
        <v>16461</v>
      </c>
      <c r="B16466" s="3" t="str">
        <f>"00794397"</f>
        <v>00794397</v>
      </c>
    </row>
    <row r="16467" spans="1:2" x14ac:dyDescent="0.25">
      <c r="A16467" s="2">
        <v>16462</v>
      </c>
      <c r="B16467" s="3" t="str">
        <f>"00794496"</f>
        <v>00794496</v>
      </c>
    </row>
    <row r="16468" spans="1:2" x14ac:dyDescent="0.25">
      <c r="A16468" s="2">
        <v>16463</v>
      </c>
      <c r="B16468" s="3" t="str">
        <f>"00794743"</f>
        <v>00794743</v>
      </c>
    </row>
    <row r="16469" spans="1:2" x14ac:dyDescent="0.25">
      <c r="A16469" s="2">
        <v>16464</v>
      </c>
      <c r="B16469" s="3" t="str">
        <f>"00794971"</f>
        <v>00794971</v>
      </c>
    </row>
    <row r="16470" spans="1:2" x14ac:dyDescent="0.25">
      <c r="A16470" s="2">
        <v>16465</v>
      </c>
      <c r="B16470" s="3" t="str">
        <f>"00795003"</f>
        <v>00795003</v>
      </c>
    </row>
    <row r="16471" spans="1:2" x14ac:dyDescent="0.25">
      <c r="A16471" s="2">
        <v>16466</v>
      </c>
      <c r="B16471" s="3" t="str">
        <f>"00795010"</f>
        <v>00795010</v>
      </c>
    </row>
    <row r="16472" spans="1:2" x14ac:dyDescent="0.25">
      <c r="A16472" s="2">
        <v>16467</v>
      </c>
      <c r="B16472" s="3" t="str">
        <f>"00795129"</f>
        <v>00795129</v>
      </c>
    </row>
    <row r="16473" spans="1:2" x14ac:dyDescent="0.25">
      <c r="A16473" s="2">
        <v>16468</v>
      </c>
      <c r="B16473" s="3" t="str">
        <f>"00795136"</f>
        <v>00795136</v>
      </c>
    </row>
    <row r="16474" spans="1:2" x14ac:dyDescent="0.25">
      <c r="A16474" s="2">
        <v>16469</v>
      </c>
      <c r="B16474" s="3" t="str">
        <f>"00795172"</f>
        <v>00795172</v>
      </c>
    </row>
    <row r="16475" spans="1:2" x14ac:dyDescent="0.25">
      <c r="A16475" s="2">
        <v>16470</v>
      </c>
      <c r="B16475" s="3" t="str">
        <f>"00795235"</f>
        <v>00795235</v>
      </c>
    </row>
    <row r="16476" spans="1:2" x14ac:dyDescent="0.25">
      <c r="A16476" s="2">
        <v>16471</v>
      </c>
      <c r="B16476" s="3" t="str">
        <f>"00795264"</f>
        <v>00795264</v>
      </c>
    </row>
    <row r="16477" spans="1:2" x14ac:dyDescent="0.25">
      <c r="A16477" s="2">
        <v>16472</v>
      </c>
      <c r="B16477" s="3" t="str">
        <f>"00795300"</f>
        <v>00795300</v>
      </c>
    </row>
    <row r="16478" spans="1:2" x14ac:dyDescent="0.25">
      <c r="A16478" s="2">
        <v>16473</v>
      </c>
      <c r="B16478" s="3" t="str">
        <f>"00795363"</f>
        <v>00795363</v>
      </c>
    </row>
    <row r="16479" spans="1:2" x14ac:dyDescent="0.25">
      <c r="A16479" s="2">
        <v>16474</v>
      </c>
      <c r="B16479" s="3" t="str">
        <f>"00795388"</f>
        <v>00795388</v>
      </c>
    </row>
    <row r="16480" spans="1:2" x14ac:dyDescent="0.25">
      <c r="A16480" s="2">
        <v>16475</v>
      </c>
      <c r="B16480" s="3" t="str">
        <f>"00795396"</f>
        <v>00795396</v>
      </c>
    </row>
    <row r="16481" spans="1:2" x14ac:dyDescent="0.25">
      <c r="A16481" s="2">
        <v>16476</v>
      </c>
      <c r="B16481" s="3" t="str">
        <f>"00795589"</f>
        <v>00795589</v>
      </c>
    </row>
    <row r="16482" spans="1:2" x14ac:dyDescent="0.25">
      <c r="A16482" s="2">
        <v>16477</v>
      </c>
      <c r="B16482" s="3" t="str">
        <f>"00795761"</f>
        <v>00795761</v>
      </c>
    </row>
    <row r="16483" spans="1:2" x14ac:dyDescent="0.25">
      <c r="A16483" s="2">
        <v>16478</v>
      </c>
      <c r="B16483" s="3" t="str">
        <f>"00795811"</f>
        <v>00795811</v>
      </c>
    </row>
    <row r="16484" spans="1:2" x14ac:dyDescent="0.25">
      <c r="A16484" s="2">
        <v>16479</v>
      </c>
      <c r="B16484" s="3" t="str">
        <f>"00795816"</f>
        <v>00795816</v>
      </c>
    </row>
    <row r="16485" spans="1:2" x14ac:dyDescent="0.25">
      <c r="A16485" s="2">
        <v>16480</v>
      </c>
      <c r="B16485" s="3" t="str">
        <f>"00795850"</f>
        <v>00795850</v>
      </c>
    </row>
    <row r="16486" spans="1:2" x14ac:dyDescent="0.25">
      <c r="A16486" s="2">
        <v>16481</v>
      </c>
      <c r="B16486" s="3" t="str">
        <f>"00795851"</f>
        <v>00795851</v>
      </c>
    </row>
    <row r="16487" spans="1:2" x14ac:dyDescent="0.25">
      <c r="A16487" s="2">
        <v>16482</v>
      </c>
      <c r="B16487" s="3" t="str">
        <f>"00795865"</f>
        <v>00795865</v>
      </c>
    </row>
    <row r="16488" spans="1:2" x14ac:dyDescent="0.25">
      <c r="A16488" s="2">
        <v>16483</v>
      </c>
      <c r="B16488" s="3" t="str">
        <f>"00795980"</f>
        <v>00795980</v>
      </c>
    </row>
    <row r="16489" spans="1:2" x14ac:dyDescent="0.25">
      <c r="A16489" s="2">
        <v>16484</v>
      </c>
      <c r="B16489" s="3" t="str">
        <f>"00795989"</f>
        <v>00795989</v>
      </c>
    </row>
    <row r="16490" spans="1:2" x14ac:dyDescent="0.25">
      <c r="A16490" s="2">
        <v>16485</v>
      </c>
      <c r="B16490" s="3" t="str">
        <f>"00796025"</f>
        <v>00796025</v>
      </c>
    </row>
    <row r="16491" spans="1:2" x14ac:dyDescent="0.25">
      <c r="A16491" s="2">
        <v>16486</v>
      </c>
      <c r="B16491" s="3" t="str">
        <f>"00796061"</f>
        <v>00796061</v>
      </c>
    </row>
    <row r="16492" spans="1:2" x14ac:dyDescent="0.25">
      <c r="A16492" s="2">
        <v>16487</v>
      </c>
      <c r="B16492" s="3" t="str">
        <f>"00796089"</f>
        <v>00796089</v>
      </c>
    </row>
    <row r="16493" spans="1:2" x14ac:dyDescent="0.25">
      <c r="A16493" s="2">
        <v>16488</v>
      </c>
      <c r="B16493" s="3" t="str">
        <f>"00796166"</f>
        <v>00796166</v>
      </c>
    </row>
    <row r="16494" spans="1:2" x14ac:dyDescent="0.25">
      <c r="A16494" s="2">
        <v>16489</v>
      </c>
      <c r="B16494" s="3" t="str">
        <f>"00796184"</f>
        <v>00796184</v>
      </c>
    </row>
    <row r="16495" spans="1:2" x14ac:dyDescent="0.25">
      <c r="A16495" s="2">
        <v>16490</v>
      </c>
      <c r="B16495" s="3" t="str">
        <f>"00796209"</f>
        <v>00796209</v>
      </c>
    </row>
    <row r="16496" spans="1:2" x14ac:dyDescent="0.25">
      <c r="A16496" s="2">
        <v>16491</v>
      </c>
      <c r="B16496" s="3" t="str">
        <f>"00796223"</f>
        <v>00796223</v>
      </c>
    </row>
    <row r="16497" spans="1:2" x14ac:dyDescent="0.25">
      <c r="A16497" s="2">
        <v>16492</v>
      </c>
      <c r="B16497" s="3" t="str">
        <f>"00796269"</f>
        <v>00796269</v>
      </c>
    </row>
    <row r="16498" spans="1:2" x14ac:dyDescent="0.25">
      <c r="A16498" s="2">
        <v>16493</v>
      </c>
      <c r="B16498" s="3" t="str">
        <f>"00796277"</f>
        <v>00796277</v>
      </c>
    </row>
    <row r="16499" spans="1:2" x14ac:dyDescent="0.25">
      <c r="A16499" s="2">
        <v>16494</v>
      </c>
      <c r="B16499" s="3" t="str">
        <f>"00796294"</f>
        <v>00796294</v>
      </c>
    </row>
    <row r="16500" spans="1:2" x14ac:dyDescent="0.25">
      <c r="A16500" s="2">
        <v>16495</v>
      </c>
      <c r="B16500" s="3" t="str">
        <f>"00796395"</f>
        <v>00796395</v>
      </c>
    </row>
    <row r="16501" spans="1:2" x14ac:dyDescent="0.25">
      <c r="A16501" s="2">
        <v>16496</v>
      </c>
      <c r="B16501" s="3" t="str">
        <f>"00796445"</f>
        <v>00796445</v>
      </c>
    </row>
    <row r="16502" spans="1:2" x14ac:dyDescent="0.25">
      <c r="A16502" s="2">
        <v>16497</v>
      </c>
      <c r="B16502" s="3" t="str">
        <f>"00796490"</f>
        <v>00796490</v>
      </c>
    </row>
    <row r="16503" spans="1:2" x14ac:dyDescent="0.25">
      <c r="A16503" s="2">
        <v>16498</v>
      </c>
      <c r="B16503" s="3" t="str">
        <f>"00796650"</f>
        <v>00796650</v>
      </c>
    </row>
    <row r="16504" spans="1:2" x14ac:dyDescent="0.25">
      <c r="A16504" s="2">
        <v>16499</v>
      </c>
      <c r="B16504" s="3" t="str">
        <f>"00796653"</f>
        <v>00796653</v>
      </c>
    </row>
    <row r="16505" spans="1:2" x14ac:dyDescent="0.25">
      <c r="A16505" s="2">
        <v>16500</v>
      </c>
      <c r="B16505" s="3" t="str">
        <f>"00796717"</f>
        <v>00796717</v>
      </c>
    </row>
    <row r="16506" spans="1:2" x14ac:dyDescent="0.25">
      <c r="A16506" s="2">
        <v>16501</v>
      </c>
      <c r="B16506" s="3" t="str">
        <f>"00796719"</f>
        <v>00796719</v>
      </c>
    </row>
    <row r="16507" spans="1:2" x14ac:dyDescent="0.25">
      <c r="A16507" s="2">
        <v>16502</v>
      </c>
      <c r="B16507" s="3" t="str">
        <f>"00796763"</f>
        <v>00796763</v>
      </c>
    </row>
    <row r="16508" spans="1:2" x14ac:dyDescent="0.25">
      <c r="A16508" s="2">
        <v>16503</v>
      </c>
      <c r="B16508" s="3" t="str">
        <f>"00796871"</f>
        <v>00796871</v>
      </c>
    </row>
    <row r="16509" spans="1:2" x14ac:dyDescent="0.25">
      <c r="A16509" s="2">
        <v>16504</v>
      </c>
      <c r="B16509" s="3" t="str">
        <f>"00796961"</f>
        <v>00796961</v>
      </c>
    </row>
    <row r="16510" spans="1:2" x14ac:dyDescent="0.25">
      <c r="A16510" s="2">
        <v>16505</v>
      </c>
      <c r="B16510" s="3" t="str">
        <f>"00796967"</f>
        <v>00796967</v>
      </c>
    </row>
    <row r="16511" spans="1:2" x14ac:dyDescent="0.25">
      <c r="A16511" s="2">
        <v>16506</v>
      </c>
      <c r="B16511" s="3" t="str">
        <f>"00796972"</f>
        <v>00796972</v>
      </c>
    </row>
    <row r="16512" spans="1:2" x14ac:dyDescent="0.25">
      <c r="A16512" s="2">
        <v>16507</v>
      </c>
      <c r="B16512" s="3" t="str">
        <f>"00796974"</f>
        <v>00796974</v>
      </c>
    </row>
    <row r="16513" spans="1:2" x14ac:dyDescent="0.25">
      <c r="A16513" s="2">
        <v>16508</v>
      </c>
      <c r="B16513" s="3" t="str">
        <f>"00796996"</f>
        <v>00796996</v>
      </c>
    </row>
    <row r="16514" spans="1:2" x14ac:dyDescent="0.25">
      <c r="A16514" s="2">
        <v>16509</v>
      </c>
      <c r="B16514" s="3" t="str">
        <f>"00797008"</f>
        <v>00797008</v>
      </c>
    </row>
    <row r="16515" spans="1:2" x14ac:dyDescent="0.25">
      <c r="A16515" s="2">
        <v>16510</v>
      </c>
      <c r="B16515" s="3" t="str">
        <f>"00797017"</f>
        <v>00797017</v>
      </c>
    </row>
    <row r="16516" spans="1:2" x14ac:dyDescent="0.25">
      <c r="A16516" s="2">
        <v>16511</v>
      </c>
      <c r="B16516" s="3" t="str">
        <f>"00797023"</f>
        <v>00797023</v>
      </c>
    </row>
    <row r="16517" spans="1:2" x14ac:dyDescent="0.25">
      <c r="A16517" s="2">
        <v>16512</v>
      </c>
      <c r="B16517" s="3" t="str">
        <f>"00797133"</f>
        <v>00797133</v>
      </c>
    </row>
    <row r="16518" spans="1:2" x14ac:dyDescent="0.25">
      <c r="A16518" s="2">
        <v>16513</v>
      </c>
      <c r="B16518" s="3" t="str">
        <f>"00797138"</f>
        <v>00797138</v>
      </c>
    </row>
    <row r="16519" spans="1:2" x14ac:dyDescent="0.25">
      <c r="A16519" s="2">
        <v>16514</v>
      </c>
      <c r="B16519" s="3" t="str">
        <f>"00797182"</f>
        <v>00797182</v>
      </c>
    </row>
    <row r="16520" spans="1:2" x14ac:dyDescent="0.25">
      <c r="A16520" s="2">
        <v>16515</v>
      </c>
      <c r="B16520" s="3" t="str">
        <f>"00797185"</f>
        <v>00797185</v>
      </c>
    </row>
    <row r="16521" spans="1:2" x14ac:dyDescent="0.25">
      <c r="A16521" s="2">
        <v>16516</v>
      </c>
      <c r="B16521" s="3" t="str">
        <f>"00797210"</f>
        <v>00797210</v>
      </c>
    </row>
    <row r="16522" spans="1:2" x14ac:dyDescent="0.25">
      <c r="A16522" s="2">
        <v>16517</v>
      </c>
      <c r="B16522" s="3" t="str">
        <f>"00797212"</f>
        <v>00797212</v>
      </c>
    </row>
    <row r="16523" spans="1:2" x14ac:dyDescent="0.25">
      <c r="A16523" s="2">
        <v>16518</v>
      </c>
      <c r="B16523" s="3" t="str">
        <f>"00797233"</f>
        <v>00797233</v>
      </c>
    </row>
    <row r="16524" spans="1:2" x14ac:dyDescent="0.25">
      <c r="A16524" s="2">
        <v>16519</v>
      </c>
      <c r="B16524" s="3" t="str">
        <f>"00797234"</f>
        <v>00797234</v>
      </c>
    </row>
    <row r="16525" spans="1:2" x14ac:dyDescent="0.25">
      <c r="A16525" s="2">
        <v>16520</v>
      </c>
      <c r="B16525" s="3" t="str">
        <f>"00797290"</f>
        <v>00797290</v>
      </c>
    </row>
    <row r="16526" spans="1:2" x14ac:dyDescent="0.25">
      <c r="A16526" s="2">
        <v>16521</v>
      </c>
      <c r="B16526" s="3" t="str">
        <f>"00797313"</f>
        <v>00797313</v>
      </c>
    </row>
    <row r="16527" spans="1:2" x14ac:dyDescent="0.25">
      <c r="A16527" s="2">
        <v>16522</v>
      </c>
      <c r="B16527" s="3" t="str">
        <f>"00797321"</f>
        <v>00797321</v>
      </c>
    </row>
    <row r="16528" spans="1:2" x14ac:dyDescent="0.25">
      <c r="A16528" s="2">
        <v>16523</v>
      </c>
      <c r="B16528" s="3" t="str">
        <f>"00797397"</f>
        <v>00797397</v>
      </c>
    </row>
    <row r="16529" spans="1:2" x14ac:dyDescent="0.25">
      <c r="A16529" s="2">
        <v>16524</v>
      </c>
      <c r="B16529" s="3" t="str">
        <f>"00797417"</f>
        <v>00797417</v>
      </c>
    </row>
    <row r="16530" spans="1:2" x14ac:dyDescent="0.25">
      <c r="A16530" s="2">
        <v>16525</v>
      </c>
      <c r="B16530" s="3" t="str">
        <f>"00797425"</f>
        <v>00797425</v>
      </c>
    </row>
    <row r="16531" spans="1:2" x14ac:dyDescent="0.25">
      <c r="A16531" s="2">
        <v>16526</v>
      </c>
      <c r="B16531" s="3" t="str">
        <f>"00797478"</f>
        <v>00797478</v>
      </c>
    </row>
    <row r="16532" spans="1:2" x14ac:dyDescent="0.25">
      <c r="A16532" s="2">
        <v>16527</v>
      </c>
      <c r="B16532" s="3" t="str">
        <f>"00797491"</f>
        <v>00797491</v>
      </c>
    </row>
    <row r="16533" spans="1:2" x14ac:dyDescent="0.25">
      <c r="A16533" s="2">
        <v>16528</v>
      </c>
      <c r="B16533" s="3" t="str">
        <f>"00797496"</f>
        <v>00797496</v>
      </c>
    </row>
    <row r="16534" spans="1:2" x14ac:dyDescent="0.25">
      <c r="A16534" s="2">
        <v>16529</v>
      </c>
      <c r="B16534" s="3" t="str">
        <f>"00797536"</f>
        <v>00797536</v>
      </c>
    </row>
    <row r="16535" spans="1:2" x14ac:dyDescent="0.25">
      <c r="A16535" s="2">
        <v>16530</v>
      </c>
      <c r="B16535" s="3" t="str">
        <f>"00797691"</f>
        <v>00797691</v>
      </c>
    </row>
    <row r="16536" spans="1:2" x14ac:dyDescent="0.25">
      <c r="A16536" s="2">
        <v>16531</v>
      </c>
      <c r="B16536" s="3" t="str">
        <f>"00797694"</f>
        <v>00797694</v>
      </c>
    </row>
    <row r="16537" spans="1:2" x14ac:dyDescent="0.25">
      <c r="A16537" s="2">
        <v>16532</v>
      </c>
      <c r="B16537" s="3" t="str">
        <f>"00797699"</f>
        <v>00797699</v>
      </c>
    </row>
    <row r="16538" spans="1:2" x14ac:dyDescent="0.25">
      <c r="A16538" s="2">
        <v>16533</v>
      </c>
      <c r="B16538" s="3" t="str">
        <f>"00797755"</f>
        <v>00797755</v>
      </c>
    </row>
    <row r="16539" spans="1:2" x14ac:dyDescent="0.25">
      <c r="A16539" s="2">
        <v>16534</v>
      </c>
      <c r="B16539" s="3" t="str">
        <f>"00797757"</f>
        <v>00797757</v>
      </c>
    </row>
    <row r="16540" spans="1:2" x14ac:dyDescent="0.25">
      <c r="A16540" s="2">
        <v>16535</v>
      </c>
      <c r="B16540" s="3" t="str">
        <f>"00797767"</f>
        <v>00797767</v>
      </c>
    </row>
    <row r="16541" spans="1:2" x14ac:dyDescent="0.25">
      <c r="A16541" s="2">
        <v>16536</v>
      </c>
      <c r="B16541" s="3" t="str">
        <f>"00797795"</f>
        <v>00797795</v>
      </c>
    </row>
    <row r="16542" spans="1:2" x14ac:dyDescent="0.25">
      <c r="A16542" s="2">
        <v>16537</v>
      </c>
      <c r="B16542" s="3" t="str">
        <f>"00797802"</f>
        <v>00797802</v>
      </c>
    </row>
    <row r="16543" spans="1:2" x14ac:dyDescent="0.25">
      <c r="A16543" s="2">
        <v>16538</v>
      </c>
      <c r="B16543" s="3" t="str">
        <f>"00797823"</f>
        <v>00797823</v>
      </c>
    </row>
    <row r="16544" spans="1:2" x14ac:dyDescent="0.25">
      <c r="A16544" s="2">
        <v>16539</v>
      </c>
      <c r="B16544" s="3" t="str">
        <f>"00797899"</f>
        <v>00797899</v>
      </c>
    </row>
    <row r="16545" spans="1:2" x14ac:dyDescent="0.25">
      <c r="A16545" s="2">
        <v>16540</v>
      </c>
      <c r="B16545" s="3" t="str">
        <f>"00797912"</f>
        <v>00797912</v>
      </c>
    </row>
    <row r="16546" spans="1:2" x14ac:dyDescent="0.25">
      <c r="A16546" s="2">
        <v>16541</v>
      </c>
      <c r="B16546" s="3" t="str">
        <f>"00797939"</f>
        <v>00797939</v>
      </c>
    </row>
    <row r="16547" spans="1:2" x14ac:dyDescent="0.25">
      <c r="A16547" s="2">
        <v>16542</v>
      </c>
      <c r="B16547" s="3" t="str">
        <f>"00797989"</f>
        <v>00797989</v>
      </c>
    </row>
    <row r="16548" spans="1:2" x14ac:dyDescent="0.25">
      <c r="A16548" s="2">
        <v>16543</v>
      </c>
      <c r="B16548" s="3" t="str">
        <f>"00798062"</f>
        <v>00798062</v>
      </c>
    </row>
    <row r="16549" spans="1:2" x14ac:dyDescent="0.25">
      <c r="A16549" s="2">
        <v>16544</v>
      </c>
      <c r="B16549" s="3" t="str">
        <f>"00798083"</f>
        <v>00798083</v>
      </c>
    </row>
    <row r="16550" spans="1:2" x14ac:dyDescent="0.25">
      <c r="A16550" s="2">
        <v>16545</v>
      </c>
      <c r="B16550" s="3" t="str">
        <f>"00798131"</f>
        <v>00798131</v>
      </c>
    </row>
    <row r="16551" spans="1:2" x14ac:dyDescent="0.25">
      <c r="A16551" s="2">
        <v>16546</v>
      </c>
      <c r="B16551" s="3" t="str">
        <f>"00798138"</f>
        <v>00798138</v>
      </c>
    </row>
    <row r="16552" spans="1:2" x14ac:dyDescent="0.25">
      <c r="A16552" s="2">
        <v>16547</v>
      </c>
      <c r="B16552" s="3" t="str">
        <f>"00798156"</f>
        <v>00798156</v>
      </c>
    </row>
    <row r="16553" spans="1:2" x14ac:dyDescent="0.25">
      <c r="A16553" s="2">
        <v>16548</v>
      </c>
      <c r="B16553" s="3" t="str">
        <f>"00798186"</f>
        <v>00798186</v>
      </c>
    </row>
    <row r="16554" spans="1:2" x14ac:dyDescent="0.25">
      <c r="A16554" s="2">
        <v>16549</v>
      </c>
      <c r="B16554" s="3" t="str">
        <f>"00798199"</f>
        <v>00798199</v>
      </c>
    </row>
    <row r="16555" spans="1:2" x14ac:dyDescent="0.25">
      <c r="A16555" s="2">
        <v>16550</v>
      </c>
      <c r="B16555" s="3" t="str">
        <f>"00798368"</f>
        <v>00798368</v>
      </c>
    </row>
    <row r="16556" spans="1:2" x14ac:dyDescent="0.25">
      <c r="A16556" s="2">
        <v>16551</v>
      </c>
      <c r="B16556" s="3" t="str">
        <f>"00798386"</f>
        <v>00798386</v>
      </c>
    </row>
    <row r="16557" spans="1:2" x14ac:dyDescent="0.25">
      <c r="A16557" s="2">
        <v>16552</v>
      </c>
      <c r="B16557" s="3" t="str">
        <f>"00798395"</f>
        <v>00798395</v>
      </c>
    </row>
    <row r="16558" spans="1:2" x14ac:dyDescent="0.25">
      <c r="A16558" s="2">
        <v>16553</v>
      </c>
      <c r="B16558" s="3" t="str">
        <f>"00798422"</f>
        <v>00798422</v>
      </c>
    </row>
    <row r="16559" spans="1:2" x14ac:dyDescent="0.25">
      <c r="A16559" s="2">
        <v>16554</v>
      </c>
      <c r="B16559" s="3" t="str">
        <f>"00798428"</f>
        <v>00798428</v>
      </c>
    </row>
    <row r="16560" spans="1:2" x14ac:dyDescent="0.25">
      <c r="A16560" s="2">
        <v>16555</v>
      </c>
      <c r="B16560" s="3" t="str">
        <f>"00798480"</f>
        <v>00798480</v>
      </c>
    </row>
    <row r="16561" spans="1:2" x14ac:dyDescent="0.25">
      <c r="A16561" s="2">
        <v>16556</v>
      </c>
      <c r="B16561" s="3" t="str">
        <f>"00798485"</f>
        <v>00798485</v>
      </c>
    </row>
    <row r="16562" spans="1:2" x14ac:dyDescent="0.25">
      <c r="A16562" s="2">
        <v>16557</v>
      </c>
      <c r="B16562" s="3" t="str">
        <f>"00798571"</f>
        <v>00798571</v>
      </c>
    </row>
    <row r="16563" spans="1:2" x14ac:dyDescent="0.25">
      <c r="A16563" s="2">
        <v>16558</v>
      </c>
      <c r="B16563" s="3" t="str">
        <f>"00798612"</f>
        <v>00798612</v>
      </c>
    </row>
    <row r="16564" spans="1:2" x14ac:dyDescent="0.25">
      <c r="A16564" s="2">
        <v>16559</v>
      </c>
      <c r="B16564" s="3" t="str">
        <f>"00798619"</f>
        <v>00798619</v>
      </c>
    </row>
    <row r="16565" spans="1:2" x14ac:dyDescent="0.25">
      <c r="A16565" s="2">
        <v>16560</v>
      </c>
      <c r="B16565" s="3" t="str">
        <f>"00798656"</f>
        <v>00798656</v>
      </c>
    </row>
    <row r="16566" spans="1:2" x14ac:dyDescent="0.25">
      <c r="A16566" s="2">
        <v>16561</v>
      </c>
      <c r="B16566" s="3" t="str">
        <f>"00798659"</f>
        <v>00798659</v>
      </c>
    </row>
    <row r="16567" spans="1:2" x14ac:dyDescent="0.25">
      <c r="A16567" s="2">
        <v>16562</v>
      </c>
      <c r="B16567" s="3" t="str">
        <f>"00798671"</f>
        <v>00798671</v>
      </c>
    </row>
    <row r="16568" spans="1:2" x14ac:dyDescent="0.25">
      <c r="A16568" s="2">
        <v>16563</v>
      </c>
      <c r="B16568" s="3" t="str">
        <f>"00798678"</f>
        <v>00798678</v>
      </c>
    </row>
    <row r="16569" spans="1:2" x14ac:dyDescent="0.25">
      <c r="A16569" s="2">
        <v>16564</v>
      </c>
      <c r="B16569" s="3" t="str">
        <f>"00798688"</f>
        <v>00798688</v>
      </c>
    </row>
    <row r="16570" spans="1:2" x14ac:dyDescent="0.25">
      <c r="A16570" s="2">
        <v>16565</v>
      </c>
      <c r="B16570" s="3" t="str">
        <f>"00798731"</f>
        <v>00798731</v>
      </c>
    </row>
    <row r="16571" spans="1:2" x14ac:dyDescent="0.25">
      <c r="A16571" s="2">
        <v>16566</v>
      </c>
      <c r="B16571" s="3" t="str">
        <f>"00798959"</f>
        <v>00798959</v>
      </c>
    </row>
    <row r="16572" spans="1:2" x14ac:dyDescent="0.25">
      <c r="A16572" s="2">
        <v>16567</v>
      </c>
      <c r="B16572" s="3" t="str">
        <f>"00798984"</f>
        <v>00798984</v>
      </c>
    </row>
    <row r="16573" spans="1:2" x14ac:dyDescent="0.25">
      <c r="A16573" s="2">
        <v>16568</v>
      </c>
      <c r="B16573" s="3" t="str">
        <f>"00799105"</f>
        <v>00799105</v>
      </c>
    </row>
    <row r="16574" spans="1:2" x14ac:dyDescent="0.25">
      <c r="A16574" s="2">
        <v>16569</v>
      </c>
      <c r="B16574" s="3" t="str">
        <f>"00799198"</f>
        <v>00799198</v>
      </c>
    </row>
    <row r="16575" spans="1:2" x14ac:dyDescent="0.25">
      <c r="A16575" s="2">
        <v>16570</v>
      </c>
      <c r="B16575" s="3" t="str">
        <f>"00799247"</f>
        <v>00799247</v>
      </c>
    </row>
    <row r="16576" spans="1:2" x14ac:dyDescent="0.25">
      <c r="A16576" s="2">
        <v>16571</v>
      </c>
      <c r="B16576" s="3" t="str">
        <f>"00799390"</f>
        <v>00799390</v>
      </c>
    </row>
    <row r="16577" spans="1:2" x14ac:dyDescent="0.25">
      <c r="A16577" s="2">
        <v>16572</v>
      </c>
      <c r="B16577" s="3" t="str">
        <f>"00799654"</f>
        <v>00799654</v>
      </c>
    </row>
    <row r="16578" spans="1:2" x14ac:dyDescent="0.25">
      <c r="A16578" s="2">
        <v>16573</v>
      </c>
      <c r="B16578" s="3" t="str">
        <f>"00799750"</f>
        <v>00799750</v>
      </c>
    </row>
    <row r="16579" spans="1:2" x14ac:dyDescent="0.25">
      <c r="A16579" s="2">
        <v>16574</v>
      </c>
      <c r="B16579" s="3" t="str">
        <f>"00799784"</f>
        <v>00799784</v>
      </c>
    </row>
    <row r="16580" spans="1:2" x14ac:dyDescent="0.25">
      <c r="A16580" s="2">
        <v>16575</v>
      </c>
      <c r="B16580" s="3" t="str">
        <f>"00799788"</f>
        <v>00799788</v>
      </c>
    </row>
    <row r="16581" spans="1:2" x14ac:dyDescent="0.25">
      <c r="A16581" s="2">
        <v>16576</v>
      </c>
      <c r="B16581" s="3" t="str">
        <f>"00799796"</f>
        <v>00799796</v>
      </c>
    </row>
    <row r="16582" spans="1:2" x14ac:dyDescent="0.25">
      <c r="A16582" s="2">
        <v>16577</v>
      </c>
      <c r="B16582" s="3" t="str">
        <f>"00799830"</f>
        <v>00799830</v>
      </c>
    </row>
    <row r="16583" spans="1:2" x14ac:dyDescent="0.25">
      <c r="A16583" s="2">
        <v>16578</v>
      </c>
      <c r="B16583" s="3" t="str">
        <f>"00799850"</f>
        <v>00799850</v>
      </c>
    </row>
    <row r="16584" spans="1:2" x14ac:dyDescent="0.25">
      <c r="A16584" s="2">
        <v>16579</v>
      </c>
      <c r="B16584" s="3" t="str">
        <f>"00799872"</f>
        <v>00799872</v>
      </c>
    </row>
    <row r="16585" spans="1:2" x14ac:dyDescent="0.25">
      <c r="A16585" s="2">
        <v>16580</v>
      </c>
      <c r="B16585" s="3" t="str">
        <f>"00799909"</f>
        <v>00799909</v>
      </c>
    </row>
    <row r="16586" spans="1:2" x14ac:dyDescent="0.25">
      <c r="A16586" s="2">
        <v>16581</v>
      </c>
      <c r="B16586" s="3" t="str">
        <f>"00799910"</f>
        <v>00799910</v>
      </c>
    </row>
    <row r="16587" spans="1:2" x14ac:dyDescent="0.25">
      <c r="A16587" s="2">
        <v>16582</v>
      </c>
      <c r="B16587" s="3" t="str">
        <f>"00799913"</f>
        <v>00799913</v>
      </c>
    </row>
    <row r="16588" spans="1:2" x14ac:dyDescent="0.25">
      <c r="A16588" s="2">
        <v>16583</v>
      </c>
      <c r="B16588" s="3" t="str">
        <f>"00799916"</f>
        <v>00799916</v>
      </c>
    </row>
    <row r="16589" spans="1:2" x14ac:dyDescent="0.25">
      <c r="A16589" s="2">
        <v>16584</v>
      </c>
      <c r="B16589" s="3" t="str">
        <f>"00799924"</f>
        <v>00799924</v>
      </c>
    </row>
    <row r="16590" spans="1:2" x14ac:dyDescent="0.25">
      <c r="A16590" s="2">
        <v>16585</v>
      </c>
      <c r="B16590" s="3" t="str">
        <f>"00799938"</f>
        <v>00799938</v>
      </c>
    </row>
    <row r="16591" spans="1:2" x14ac:dyDescent="0.25">
      <c r="A16591" s="2">
        <v>16586</v>
      </c>
      <c r="B16591" s="3" t="str">
        <f>"00799949"</f>
        <v>00799949</v>
      </c>
    </row>
    <row r="16592" spans="1:2" x14ac:dyDescent="0.25">
      <c r="A16592" s="2">
        <v>16587</v>
      </c>
      <c r="B16592" s="3" t="str">
        <f>"00800008"</f>
        <v>00800008</v>
      </c>
    </row>
    <row r="16593" spans="1:2" x14ac:dyDescent="0.25">
      <c r="A16593" s="2">
        <v>16588</v>
      </c>
      <c r="B16593" s="3" t="str">
        <f>"00800085"</f>
        <v>00800085</v>
      </c>
    </row>
    <row r="16594" spans="1:2" x14ac:dyDescent="0.25">
      <c r="A16594" s="2">
        <v>16589</v>
      </c>
      <c r="B16594" s="3" t="str">
        <f>"00800098"</f>
        <v>00800098</v>
      </c>
    </row>
    <row r="16595" spans="1:2" x14ac:dyDescent="0.25">
      <c r="A16595" s="2">
        <v>16590</v>
      </c>
      <c r="B16595" s="3" t="str">
        <f>"00800186"</f>
        <v>00800186</v>
      </c>
    </row>
    <row r="16596" spans="1:2" x14ac:dyDescent="0.25">
      <c r="A16596" s="2">
        <v>16591</v>
      </c>
      <c r="B16596" s="3" t="str">
        <f>"00800264"</f>
        <v>00800264</v>
      </c>
    </row>
    <row r="16597" spans="1:2" x14ac:dyDescent="0.25">
      <c r="A16597" s="2">
        <v>16592</v>
      </c>
      <c r="B16597" s="3" t="str">
        <f>"00800297"</f>
        <v>00800297</v>
      </c>
    </row>
    <row r="16598" spans="1:2" x14ac:dyDescent="0.25">
      <c r="A16598" s="2">
        <v>16593</v>
      </c>
      <c r="B16598" s="3" t="str">
        <f>"00800299"</f>
        <v>00800299</v>
      </c>
    </row>
    <row r="16599" spans="1:2" x14ac:dyDescent="0.25">
      <c r="A16599" s="2">
        <v>16594</v>
      </c>
      <c r="B16599" s="3" t="str">
        <f>"00800312"</f>
        <v>00800312</v>
      </c>
    </row>
    <row r="16600" spans="1:2" x14ac:dyDescent="0.25">
      <c r="A16600" s="2">
        <v>16595</v>
      </c>
      <c r="B16600" s="3" t="str">
        <f>"00800318"</f>
        <v>00800318</v>
      </c>
    </row>
    <row r="16601" spans="1:2" x14ac:dyDescent="0.25">
      <c r="A16601" s="2">
        <v>16596</v>
      </c>
      <c r="B16601" s="3" t="str">
        <f>"00800327"</f>
        <v>00800327</v>
      </c>
    </row>
    <row r="16602" spans="1:2" x14ac:dyDescent="0.25">
      <c r="A16602" s="2">
        <v>16597</v>
      </c>
      <c r="B16602" s="3" t="str">
        <f>"00800494"</f>
        <v>00800494</v>
      </c>
    </row>
    <row r="16603" spans="1:2" x14ac:dyDescent="0.25">
      <c r="A16603" s="2">
        <v>16598</v>
      </c>
      <c r="B16603" s="3" t="str">
        <f>"00800499"</f>
        <v>00800499</v>
      </c>
    </row>
    <row r="16604" spans="1:2" x14ac:dyDescent="0.25">
      <c r="A16604" s="2">
        <v>16599</v>
      </c>
      <c r="B16604" s="3" t="str">
        <f>"00800521"</f>
        <v>00800521</v>
      </c>
    </row>
    <row r="16605" spans="1:2" x14ac:dyDescent="0.25">
      <c r="A16605" s="2">
        <v>16600</v>
      </c>
      <c r="B16605" s="3" t="str">
        <f>"00800540"</f>
        <v>00800540</v>
      </c>
    </row>
    <row r="16606" spans="1:2" x14ac:dyDescent="0.25">
      <c r="A16606" s="2">
        <v>16601</v>
      </c>
      <c r="B16606" s="3" t="str">
        <f>"00800603"</f>
        <v>00800603</v>
      </c>
    </row>
    <row r="16607" spans="1:2" x14ac:dyDescent="0.25">
      <c r="A16607" s="2">
        <v>16602</v>
      </c>
      <c r="B16607" s="3" t="str">
        <f>"00800626"</f>
        <v>00800626</v>
      </c>
    </row>
    <row r="16608" spans="1:2" x14ac:dyDescent="0.25">
      <c r="A16608" s="2">
        <v>16603</v>
      </c>
      <c r="B16608" s="3" t="str">
        <f>"00800678"</f>
        <v>00800678</v>
      </c>
    </row>
    <row r="16609" spans="1:2" x14ac:dyDescent="0.25">
      <c r="A16609" s="2">
        <v>16604</v>
      </c>
      <c r="B16609" s="3" t="str">
        <f>"00800749"</f>
        <v>00800749</v>
      </c>
    </row>
    <row r="16610" spans="1:2" x14ac:dyDescent="0.25">
      <c r="A16610" s="2">
        <v>16605</v>
      </c>
      <c r="B16610" s="3" t="str">
        <f>"00800810"</f>
        <v>00800810</v>
      </c>
    </row>
    <row r="16611" spans="1:2" x14ac:dyDescent="0.25">
      <c r="A16611" s="2">
        <v>16606</v>
      </c>
      <c r="B16611" s="3" t="str">
        <f>"00800813"</f>
        <v>00800813</v>
      </c>
    </row>
    <row r="16612" spans="1:2" x14ac:dyDescent="0.25">
      <c r="A16612" s="2">
        <v>16607</v>
      </c>
      <c r="B16612" s="3" t="str">
        <f>"00800860"</f>
        <v>00800860</v>
      </c>
    </row>
    <row r="16613" spans="1:2" x14ac:dyDescent="0.25">
      <c r="A16613" s="2">
        <v>16608</v>
      </c>
      <c r="B16613" s="3" t="str">
        <f>"00800942"</f>
        <v>00800942</v>
      </c>
    </row>
    <row r="16614" spans="1:2" x14ac:dyDescent="0.25">
      <c r="A16614" s="2">
        <v>16609</v>
      </c>
      <c r="B16614" s="3" t="str">
        <f>"00800962"</f>
        <v>00800962</v>
      </c>
    </row>
    <row r="16615" spans="1:2" x14ac:dyDescent="0.25">
      <c r="A16615" s="2">
        <v>16610</v>
      </c>
      <c r="B16615" s="3" t="str">
        <f>"00800979"</f>
        <v>00800979</v>
      </c>
    </row>
    <row r="16616" spans="1:2" x14ac:dyDescent="0.25">
      <c r="A16616" s="2">
        <v>16611</v>
      </c>
      <c r="B16616" s="3" t="str">
        <f>"00801045"</f>
        <v>00801045</v>
      </c>
    </row>
    <row r="16617" spans="1:2" x14ac:dyDescent="0.25">
      <c r="A16617" s="2">
        <v>16612</v>
      </c>
      <c r="B16617" s="3" t="str">
        <f>"00801177"</f>
        <v>00801177</v>
      </c>
    </row>
    <row r="16618" spans="1:2" x14ac:dyDescent="0.25">
      <c r="A16618" s="2">
        <v>16613</v>
      </c>
      <c r="B16618" s="3" t="str">
        <f>"00801200"</f>
        <v>00801200</v>
      </c>
    </row>
    <row r="16619" spans="1:2" x14ac:dyDescent="0.25">
      <c r="A16619" s="2">
        <v>16614</v>
      </c>
      <c r="B16619" s="3" t="str">
        <f>"00801290"</f>
        <v>00801290</v>
      </c>
    </row>
    <row r="16620" spans="1:2" x14ac:dyDescent="0.25">
      <c r="A16620" s="2">
        <v>16615</v>
      </c>
      <c r="B16620" s="3" t="str">
        <f>"00801344"</f>
        <v>00801344</v>
      </c>
    </row>
    <row r="16621" spans="1:2" x14ac:dyDescent="0.25">
      <c r="A16621" s="2">
        <v>16616</v>
      </c>
      <c r="B16621" s="3" t="str">
        <f>"00801349"</f>
        <v>00801349</v>
      </c>
    </row>
    <row r="16622" spans="1:2" x14ac:dyDescent="0.25">
      <c r="A16622" s="2">
        <v>16617</v>
      </c>
      <c r="B16622" s="3" t="str">
        <f>"00801405"</f>
        <v>00801405</v>
      </c>
    </row>
    <row r="16623" spans="1:2" x14ac:dyDescent="0.25">
      <c r="A16623" s="2">
        <v>16618</v>
      </c>
      <c r="B16623" s="3" t="str">
        <f>"00801414"</f>
        <v>00801414</v>
      </c>
    </row>
    <row r="16624" spans="1:2" x14ac:dyDescent="0.25">
      <c r="A16624" s="2">
        <v>16619</v>
      </c>
      <c r="B16624" s="3" t="str">
        <f>"00801422"</f>
        <v>00801422</v>
      </c>
    </row>
    <row r="16625" spans="1:2" x14ac:dyDescent="0.25">
      <c r="A16625" s="2">
        <v>16620</v>
      </c>
      <c r="B16625" s="3" t="str">
        <f>"00801589"</f>
        <v>00801589</v>
      </c>
    </row>
    <row r="16626" spans="1:2" x14ac:dyDescent="0.25">
      <c r="A16626" s="2">
        <v>16621</v>
      </c>
      <c r="B16626" s="3" t="str">
        <f>"00801608"</f>
        <v>00801608</v>
      </c>
    </row>
    <row r="16627" spans="1:2" x14ac:dyDescent="0.25">
      <c r="A16627" s="2">
        <v>16622</v>
      </c>
      <c r="B16627" s="3" t="str">
        <f>"00801628"</f>
        <v>00801628</v>
      </c>
    </row>
    <row r="16628" spans="1:2" x14ac:dyDescent="0.25">
      <c r="A16628" s="2">
        <v>16623</v>
      </c>
      <c r="B16628" s="3" t="str">
        <f>"00801640"</f>
        <v>00801640</v>
      </c>
    </row>
    <row r="16629" spans="1:2" x14ac:dyDescent="0.25">
      <c r="A16629" s="2">
        <v>16624</v>
      </c>
      <c r="B16629" s="3" t="str">
        <f>"00801645"</f>
        <v>00801645</v>
      </c>
    </row>
    <row r="16630" spans="1:2" x14ac:dyDescent="0.25">
      <c r="A16630" s="2">
        <v>16625</v>
      </c>
      <c r="B16630" s="3" t="str">
        <f>"00801652"</f>
        <v>00801652</v>
      </c>
    </row>
    <row r="16631" spans="1:2" x14ac:dyDescent="0.25">
      <c r="A16631" s="2">
        <v>16626</v>
      </c>
      <c r="B16631" s="3" t="str">
        <f>"00801720"</f>
        <v>00801720</v>
      </c>
    </row>
    <row r="16632" spans="1:2" x14ac:dyDescent="0.25">
      <c r="A16632" s="2">
        <v>16627</v>
      </c>
      <c r="B16632" s="3" t="str">
        <f>"00801787"</f>
        <v>00801787</v>
      </c>
    </row>
    <row r="16633" spans="1:2" x14ac:dyDescent="0.25">
      <c r="A16633" s="2">
        <v>16628</v>
      </c>
      <c r="B16633" s="3" t="str">
        <f>"00801905"</f>
        <v>00801905</v>
      </c>
    </row>
    <row r="16634" spans="1:2" x14ac:dyDescent="0.25">
      <c r="A16634" s="2">
        <v>16629</v>
      </c>
      <c r="B16634" s="3" t="str">
        <f>"00801922"</f>
        <v>00801922</v>
      </c>
    </row>
    <row r="16635" spans="1:2" x14ac:dyDescent="0.25">
      <c r="A16635" s="2">
        <v>16630</v>
      </c>
      <c r="B16635" s="3" t="str">
        <f>"00801934"</f>
        <v>00801934</v>
      </c>
    </row>
    <row r="16636" spans="1:2" x14ac:dyDescent="0.25">
      <c r="A16636" s="2">
        <v>16631</v>
      </c>
      <c r="B16636" s="3" t="str">
        <f>"00801942"</f>
        <v>00801942</v>
      </c>
    </row>
    <row r="16637" spans="1:2" x14ac:dyDescent="0.25">
      <c r="A16637" s="2">
        <v>16632</v>
      </c>
      <c r="B16637" s="3" t="str">
        <f>"00802207"</f>
        <v>00802207</v>
      </c>
    </row>
    <row r="16638" spans="1:2" x14ac:dyDescent="0.25">
      <c r="A16638" s="2">
        <v>16633</v>
      </c>
      <c r="B16638" s="3" t="str">
        <f>"00802225"</f>
        <v>00802225</v>
      </c>
    </row>
    <row r="16639" spans="1:2" x14ac:dyDescent="0.25">
      <c r="A16639" s="2">
        <v>16634</v>
      </c>
      <c r="B16639" s="3" t="str">
        <f>"00802251"</f>
        <v>00802251</v>
      </c>
    </row>
    <row r="16640" spans="1:2" x14ac:dyDescent="0.25">
      <c r="A16640" s="2">
        <v>16635</v>
      </c>
      <c r="B16640" s="3" t="str">
        <f>"00802255"</f>
        <v>00802255</v>
      </c>
    </row>
    <row r="16641" spans="1:2" x14ac:dyDescent="0.25">
      <c r="A16641" s="2">
        <v>16636</v>
      </c>
      <c r="B16641" s="3" t="str">
        <f>"00802259"</f>
        <v>00802259</v>
      </c>
    </row>
    <row r="16642" spans="1:2" x14ac:dyDescent="0.25">
      <c r="A16642" s="2">
        <v>16637</v>
      </c>
      <c r="B16642" s="3" t="str">
        <f>"00802260"</f>
        <v>00802260</v>
      </c>
    </row>
    <row r="16643" spans="1:2" x14ac:dyDescent="0.25">
      <c r="A16643" s="2">
        <v>16638</v>
      </c>
      <c r="B16643" s="3" t="str">
        <f>"00802262"</f>
        <v>00802262</v>
      </c>
    </row>
    <row r="16644" spans="1:2" x14ac:dyDescent="0.25">
      <c r="A16644" s="2">
        <v>16639</v>
      </c>
      <c r="B16644" s="3" t="str">
        <f>"00802271"</f>
        <v>00802271</v>
      </c>
    </row>
    <row r="16645" spans="1:2" x14ac:dyDescent="0.25">
      <c r="A16645" s="2">
        <v>16640</v>
      </c>
      <c r="B16645" s="3" t="str">
        <f>"00802287"</f>
        <v>00802287</v>
      </c>
    </row>
    <row r="16646" spans="1:2" x14ac:dyDescent="0.25">
      <c r="A16646" s="2">
        <v>16641</v>
      </c>
      <c r="B16646" s="3" t="str">
        <f>"00802298"</f>
        <v>00802298</v>
      </c>
    </row>
    <row r="16647" spans="1:2" x14ac:dyDescent="0.25">
      <c r="A16647" s="2">
        <v>16642</v>
      </c>
      <c r="B16647" s="3" t="str">
        <f>"00802303"</f>
        <v>00802303</v>
      </c>
    </row>
    <row r="16648" spans="1:2" x14ac:dyDescent="0.25">
      <c r="A16648" s="2">
        <v>16643</v>
      </c>
      <c r="B16648" s="3" t="str">
        <f>"00802332"</f>
        <v>00802332</v>
      </c>
    </row>
    <row r="16649" spans="1:2" x14ac:dyDescent="0.25">
      <c r="A16649" s="2">
        <v>16644</v>
      </c>
      <c r="B16649" s="3" t="str">
        <f>"00802416"</f>
        <v>00802416</v>
      </c>
    </row>
    <row r="16650" spans="1:2" x14ac:dyDescent="0.25">
      <c r="A16650" s="2">
        <v>16645</v>
      </c>
      <c r="B16650" s="3" t="str">
        <f>"00802458"</f>
        <v>00802458</v>
      </c>
    </row>
    <row r="16651" spans="1:2" x14ac:dyDescent="0.25">
      <c r="A16651" s="2">
        <v>16646</v>
      </c>
      <c r="B16651" s="3" t="str">
        <f>"00802487"</f>
        <v>00802487</v>
      </c>
    </row>
    <row r="16652" spans="1:2" x14ac:dyDescent="0.25">
      <c r="A16652" s="2">
        <v>16647</v>
      </c>
      <c r="B16652" s="3" t="str">
        <f>"00802557"</f>
        <v>00802557</v>
      </c>
    </row>
    <row r="16653" spans="1:2" x14ac:dyDescent="0.25">
      <c r="A16653" s="2">
        <v>16648</v>
      </c>
      <c r="B16653" s="3" t="str">
        <f>"00802593"</f>
        <v>00802593</v>
      </c>
    </row>
    <row r="16654" spans="1:2" x14ac:dyDescent="0.25">
      <c r="A16654" s="2">
        <v>16649</v>
      </c>
      <c r="B16654" s="3" t="str">
        <f>"00802604"</f>
        <v>00802604</v>
      </c>
    </row>
    <row r="16655" spans="1:2" x14ac:dyDescent="0.25">
      <c r="A16655" s="2">
        <v>16650</v>
      </c>
      <c r="B16655" s="3" t="str">
        <f>"00802630"</f>
        <v>00802630</v>
      </c>
    </row>
    <row r="16656" spans="1:2" x14ac:dyDescent="0.25">
      <c r="A16656" s="2">
        <v>16651</v>
      </c>
      <c r="B16656" s="3" t="str">
        <f>"00802663"</f>
        <v>00802663</v>
      </c>
    </row>
    <row r="16657" spans="1:2" x14ac:dyDescent="0.25">
      <c r="A16657" s="2">
        <v>16652</v>
      </c>
      <c r="B16657" s="3" t="str">
        <f>"00802685"</f>
        <v>00802685</v>
      </c>
    </row>
    <row r="16658" spans="1:2" x14ac:dyDescent="0.25">
      <c r="A16658" s="2">
        <v>16653</v>
      </c>
      <c r="B16658" s="3" t="str">
        <f>"00802714"</f>
        <v>00802714</v>
      </c>
    </row>
    <row r="16659" spans="1:2" x14ac:dyDescent="0.25">
      <c r="A16659" s="2">
        <v>16654</v>
      </c>
      <c r="B16659" s="3" t="str">
        <f>"00802734"</f>
        <v>00802734</v>
      </c>
    </row>
    <row r="16660" spans="1:2" x14ac:dyDescent="0.25">
      <c r="A16660" s="2">
        <v>16655</v>
      </c>
      <c r="B16660" s="3" t="str">
        <f>"00802749"</f>
        <v>00802749</v>
      </c>
    </row>
    <row r="16661" spans="1:2" x14ac:dyDescent="0.25">
      <c r="A16661" s="2">
        <v>16656</v>
      </c>
      <c r="B16661" s="3" t="str">
        <f>"00802772"</f>
        <v>00802772</v>
      </c>
    </row>
    <row r="16662" spans="1:2" x14ac:dyDescent="0.25">
      <c r="A16662" s="2">
        <v>16657</v>
      </c>
      <c r="B16662" s="3" t="str">
        <f>"00802800"</f>
        <v>00802800</v>
      </c>
    </row>
    <row r="16663" spans="1:2" x14ac:dyDescent="0.25">
      <c r="A16663" s="2">
        <v>16658</v>
      </c>
      <c r="B16663" s="3" t="str">
        <f>"00802815"</f>
        <v>00802815</v>
      </c>
    </row>
    <row r="16664" spans="1:2" x14ac:dyDescent="0.25">
      <c r="A16664" s="2">
        <v>16659</v>
      </c>
      <c r="B16664" s="3" t="str">
        <f>"00802821"</f>
        <v>00802821</v>
      </c>
    </row>
    <row r="16665" spans="1:2" x14ac:dyDescent="0.25">
      <c r="A16665" s="2">
        <v>16660</v>
      </c>
      <c r="B16665" s="3" t="str">
        <f>"00802822"</f>
        <v>00802822</v>
      </c>
    </row>
    <row r="16666" spans="1:2" x14ac:dyDescent="0.25">
      <c r="A16666" s="2">
        <v>16661</v>
      </c>
      <c r="B16666" s="3" t="str">
        <f>"00802844"</f>
        <v>00802844</v>
      </c>
    </row>
    <row r="16667" spans="1:2" x14ac:dyDescent="0.25">
      <c r="A16667" s="2">
        <v>16662</v>
      </c>
      <c r="B16667" s="3" t="str">
        <f>"00802873"</f>
        <v>00802873</v>
      </c>
    </row>
    <row r="16668" spans="1:2" x14ac:dyDescent="0.25">
      <c r="A16668" s="2">
        <v>16663</v>
      </c>
      <c r="B16668" s="3" t="str">
        <f>"00802912"</f>
        <v>00802912</v>
      </c>
    </row>
    <row r="16669" spans="1:2" x14ac:dyDescent="0.25">
      <c r="A16669" s="2">
        <v>16664</v>
      </c>
      <c r="B16669" s="3" t="str">
        <f>"00802969"</f>
        <v>00802969</v>
      </c>
    </row>
    <row r="16670" spans="1:2" x14ac:dyDescent="0.25">
      <c r="A16670" s="2">
        <v>16665</v>
      </c>
      <c r="B16670" s="3" t="str">
        <f>"00803005"</f>
        <v>00803005</v>
      </c>
    </row>
    <row r="16671" spans="1:2" x14ac:dyDescent="0.25">
      <c r="A16671" s="2">
        <v>16666</v>
      </c>
      <c r="B16671" s="3" t="str">
        <f>"00803007"</f>
        <v>00803007</v>
      </c>
    </row>
    <row r="16672" spans="1:2" x14ac:dyDescent="0.25">
      <c r="A16672" s="2">
        <v>16667</v>
      </c>
      <c r="B16672" s="3" t="str">
        <f>"00803126"</f>
        <v>00803126</v>
      </c>
    </row>
    <row r="16673" spans="1:2" x14ac:dyDescent="0.25">
      <c r="A16673" s="2">
        <v>16668</v>
      </c>
      <c r="B16673" s="3" t="str">
        <f>"00803153"</f>
        <v>00803153</v>
      </c>
    </row>
    <row r="16674" spans="1:2" x14ac:dyDescent="0.25">
      <c r="A16674" s="2">
        <v>16669</v>
      </c>
      <c r="B16674" s="3" t="str">
        <f>"00803374"</f>
        <v>00803374</v>
      </c>
    </row>
    <row r="16675" spans="1:2" x14ac:dyDescent="0.25">
      <c r="A16675" s="2">
        <v>16670</v>
      </c>
      <c r="B16675" s="3" t="str">
        <f>"00803417"</f>
        <v>00803417</v>
      </c>
    </row>
    <row r="16676" spans="1:2" x14ac:dyDescent="0.25">
      <c r="A16676" s="2">
        <v>16671</v>
      </c>
      <c r="B16676" s="3" t="str">
        <f>"00803443"</f>
        <v>00803443</v>
      </c>
    </row>
    <row r="16677" spans="1:2" x14ac:dyDescent="0.25">
      <c r="A16677" s="2">
        <v>16672</v>
      </c>
      <c r="B16677" s="3" t="str">
        <f>"00803545"</f>
        <v>00803545</v>
      </c>
    </row>
    <row r="16678" spans="1:2" x14ac:dyDescent="0.25">
      <c r="A16678" s="2">
        <v>16673</v>
      </c>
      <c r="B16678" s="3" t="str">
        <f>"00803556"</f>
        <v>00803556</v>
      </c>
    </row>
    <row r="16679" spans="1:2" x14ac:dyDescent="0.25">
      <c r="A16679" s="2">
        <v>16674</v>
      </c>
      <c r="B16679" s="3" t="str">
        <f>"00803559"</f>
        <v>00803559</v>
      </c>
    </row>
    <row r="16680" spans="1:2" x14ac:dyDescent="0.25">
      <c r="A16680" s="2">
        <v>16675</v>
      </c>
      <c r="B16680" s="3" t="str">
        <f>"00803564"</f>
        <v>00803564</v>
      </c>
    </row>
    <row r="16681" spans="1:2" x14ac:dyDescent="0.25">
      <c r="A16681" s="2">
        <v>16676</v>
      </c>
      <c r="B16681" s="3" t="str">
        <f>"00803668"</f>
        <v>00803668</v>
      </c>
    </row>
    <row r="16682" spans="1:2" x14ac:dyDescent="0.25">
      <c r="A16682" s="2">
        <v>16677</v>
      </c>
      <c r="B16682" s="3" t="str">
        <f>"00803681"</f>
        <v>00803681</v>
      </c>
    </row>
    <row r="16683" spans="1:2" x14ac:dyDescent="0.25">
      <c r="A16683" s="2">
        <v>16678</v>
      </c>
      <c r="B16683" s="3" t="str">
        <f>"00803699"</f>
        <v>00803699</v>
      </c>
    </row>
    <row r="16684" spans="1:2" x14ac:dyDescent="0.25">
      <c r="A16684" s="2">
        <v>16679</v>
      </c>
      <c r="B16684" s="3" t="str">
        <f>"00803722"</f>
        <v>00803722</v>
      </c>
    </row>
    <row r="16685" spans="1:2" x14ac:dyDescent="0.25">
      <c r="A16685" s="2">
        <v>16680</v>
      </c>
      <c r="B16685" s="3" t="str">
        <f>"00803746"</f>
        <v>00803746</v>
      </c>
    </row>
    <row r="16686" spans="1:2" x14ac:dyDescent="0.25">
      <c r="A16686" s="2">
        <v>16681</v>
      </c>
      <c r="B16686" s="3" t="str">
        <f>"00803833"</f>
        <v>00803833</v>
      </c>
    </row>
    <row r="16687" spans="1:2" x14ac:dyDescent="0.25">
      <c r="A16687" s="2">
        <v>16682</v>
      </c>
      <c r="B16687" s="3" t="str">
        <f>"00803898"</f>
        <v>00803898</v>
      </c>
    </row>
    <row r="16688" spans="1:2" x14ac:dyDescent="0.25">
      <c r="A16688" s="2">
        <v>16683</v>
      </c>
      <c r="B16688" s="3" t="str">
        <f>"00804005"</f>
        <v>00804005</v>
      </c>
    </row>
    <row r="16689" spans="1:2" x14ac:dyDescent="0.25">
      <c r="A16689" s="2">
        <v>16684</v>
      </c>
      <c r="B16689" s="3" t="str">
        <f>"00804097"</f>
        <v>00804097</v>
      </c>
    </row>
    <row r="16690" spans="1:2" x14ac:dyDescent="0.25">
      <c r="A16690" s="2">
        <v>16685</v>
      </c>
      <c r="B16690" s="3" t="str">
        <f>"00804131"</f>
        <v>00804131</v>
      </c>
    </row>
    <row r="16691" spans="1:2" x14ac:dyDescent="0.25">
      <c r="A16691" s="2">
        <v>16686</v>
      </c>
      <c r="B16691" s="3" t="str">
        <f>"00804171"</f>
        <v>00804171</v>
      </c>
    </row>
    <row r="16692" spans="1:2" x14ac:dyDescent="0.25">
      <c r="A16692" s="2">
        <v>16687</v>
      </c>
      <c r="B16692" s="3" t="str">
        <f>"00804234"</f>
        <v>00804234</v>
      </c>
    </row>
    <row r="16693" spans="1:2" x14ac:dyDescent="0.25">
      <c r="A16693" s="2">
        <v>16688</v>
      </c>
      <c r="B16693" s="3" t="str">
        <f>"00804238"</f>
        <v>00804238</v>
      </c>
    </row>
    <row r="16694" spans="1:2" x14ac:dyDescent="0.25">
      <c r="A16694" s="2">
        <v>16689</v>
      </c>
      <c r="B16694" s="3" t="str">
        <f>"00804405"</f>
        <v>00804405</v>
      </c>
    </row>
    <row r="16695" spans="1:2" x14ac:dyDescent="0.25">
      <c r="A16695" s="2">
        <v>16690</v>
      </c>
      <c r="B16695" s="3" t="str">
        <f>"00804410"</f>
        <v>00804410</v>
      </c>
    </row>
    <row r="16696" spans="1:2" x14ac:dyDescent="0.25">
      <c r="A16696" s="2">
        <v>16691</v>
      </c>
      <c r="B16696" s="3" t="str">
        <f>"00804411"</f>
        <v>00804411</v>
      </c>
    </row>
    <row r="16697" spans="1:2" x14ac:dyDescent="0.25">
      <c r="A16697" s="2">
        <v>16692</v>
      </c>
      <c r="B16697" s="3" t="str">
        <f>"00804464"</f>
        <v>00804464</v>
      </c>
    </row>
    <row r="16698" spans="1:2" x14ac:dyDescent="0.25">
      <c r="A16698" s="2">
        <v>16693</v>
      </c>
      <c r="B16698" s="3" t="str">
        <f>"00804479"</f>
        <v>00804479</v>
      </c>
    </row>
    <row r="16699" spans="1:2" x14ac:dyDescent="0.25">
      <c r="A16699" s="2">
        <v>16694</v>
      </c>
      <c r="B16699" s="3" t="str">
        <f>"00804530"</f>
        <v>00804530</v>
      </c>
    </row>
    <row r="16700" spans="1:2" x14ac:dyDescent="0.25">
      <c r="A16700" s="2">
        <v>16695</v>
      </c>
      <c r="B16700" s="3" t="str">
        <f>"00804541"</f>
        <v>00804541</v>
      </c>
    </row>
    <row r="16701" spans="1:2" x14ac:dyDescent="0.25">
      <c r="A16701" s="2">
        <v>16696</v>
      </c>
      <c r="B16701" s="3" t="str">
        <f>"00804573"</f>
        <v>00804573</v>
      </c>
    </row>
    <row r="16702" spans="1:2" x14ac:dyDescent="0.25">
      <c r="A16702" s="2">
        <v>16697</v>
      </c>
      <c r="B16702" s="3" t="str">
        <f>"00804633"</f>
        <v>00804633</v>
      </c>
    </row>
    <row r="16703" spans="1:2" x14ac:dyDescent="0.25">
      <c r="A16703" s="2">
        <v>16698</v>
      </c>
      <c r="B16703" s="3" t="str">
        <f>"00804677"</f>
        <v>00804677</v>
      </c>
    </row>
    <row r="16704" spans="1:2" x14ac:dyDescent="0.25">
      <c r="A16704" s="2">
        <v>16699</v>
      </c>
      <c r="B16704" s="3" t="str">
        <f>"00804690"</f>
        <v>00804690</v>
      </c>
    </row>
    <row r="16705" spans="1:2" x14ac:dyDescent="0.25">
      <c r="A16705" s="2">
        <v>16700</v>
      </c>
      <c r="B16705" s="3" t="str">
        <f>"00804852"</f>
        <v>00804852</v>
      </c>
    </row>
    <row r="16706" spans="1:2" x14ac:dyDescent="0.25">
      <c r="A16706" s="2">
        <v>16701</v>
      </c>
      <c r="B16706" s="3" t="str">
        <f>"00804974"</f>
        <v>00804974</v>
      </c>
    </row>
    <row r="16707" spans="1:2" x14ac:dyDescent="0.25">
      <c r="A16707" s="2">
        <v>16702</v>
      </c>
      <c r="B16707" s="3" t="str">
        <f>"00804996"</f>
        <v>00804996</v>
      </c>
    </row>
    <row r="16708" spans="1:2" x14ac:dyDescent="0.25">
      <c r="A16708" s="2">
        <v>16703</v>
      </c>
      <c r="B16708" s="3" t="str">
        <f>"00805082"</f>
        <v>00805082</v>
      </c>
    </row>
    <row r="16709" spans="1:2" x14ac:dyDescent="0.25">
      <c r="A16709" s="2">
        <v>16704</v>
      </c>
      <c r="B16709" s="3" t="str">
        <f>"00805100"</f>
        <v>00805100</v>
      </c>
    </row>
    <row r="16710" spans="1:2" x14ac:dyDescent="0.25">
      <c r="A16710" s="2">
        <v>16705</v>
      </c>
      <c r="B16710" s="3" t="str">
        <f>"00805115"</f>
        <v>00805115</v>
      </c>
    </row>
    <row r="16711" spans="1:2" x14ac:dyDescent="0.25">
      <c r="A16711" s="2">
        <v>16706</v>
      </c>
      <c r="B16711" s="3" t="str">
        <f>"00805146"</f>
        <v>00805146</v>
      </c>
    </row>
    <row r="16712" spans="1:2" x14ac:dyDescent="0.25">
      <c r="A16712" s="2">
        <v>16707</v>
      </c>
      <c r="B16712" s="3" t="str">
        <f>"00805217"</f>
        <v>00805217</v>
      </c>
    </row>
    <row r="16713" spans="1:2" x14ac:dyDescent="0.25">
      <c r="A16713" s="2">
        <v>16708</v>
      </c>
      <c r="B16713" s="3" t="str">
        <f>"00805238"</f>
        <v>00805238</v>
      </c>
    </row>
    <row r="16714" spans="1:2" x14ac:dyDescent="0.25">
      <c r="A16714" s="2">
        <v>16709</v>
      </c>
      <c r="B16714" s="3" t="str">
        <f>"00805370"</f>
        <v>00805370</v>
      </c>
    </row>
    <row r="16715" spans="1:2" x14ac:dyDescent="0.25">
      <c r="A16715" s="2">
        <v>16710</v>
      </c>
      <c r="B16715" s="3" t="str">
        <f>"00805448"</f>
        <v>00805448</v>
      </c>
    </row>
    <row r="16716" spans="1:2" x14ac:dyDescent="0.25">
      <c r="A16716" s="2">
        <v>16711</v>
      </c>
      <c r="B16716" s="3" t="str">
        <f>"00805460"</f>
        <v>00805460</v>
      </c>
    </row>
    <row r="16717" spans="1:2" x14ac:dyDescent="0.25">
      <c r="A16717" s="2">
        <v>16712</v>
      </c>
      <c r="B16717" s="3" t="str">
        <f>"00805540"</f>
        <v>00805540</v>
      </c>
    </row>
    <row r="16718" spans="1:2" x14ac:dyDescent="0.25">
      <c r="A16718" s="2">
        <v>16713</v>
      </c>
      <c r="B16718" s="3" t="str">
        <f>"00805573"</f>
        <v>00805573</v>
      </c>
    </row>
    <row r="16719" spans="1:2" x14ac:dyDescent="0.25">
      <c r="A16719" s="2">
        <v>16714</v>
      </c>
      <c r="B16719" s="3" t="str">
        <f>"00805597"</f>
        <v>00805597</v>
      </c>
    </row>
    <row r="16720" spans="1:2" x14ac:dyDescent="0.25">
      <c r="A16720" s="2">
        <v>16715</v>
      </c>
      <c r="B16720" s="3" t="str">
        <f>"00805620"</f>
        <v>00805620</v>
      </c>
    </row>
    <row r="16721" spans="1:2" x14ac:dyDescent="0.25">
      <c r="A16721" s="2">
        <v>16716</v>
      </c>
      <c r="B16721" s="3" t="str">
        <f>"00805657"</f>
        <v>00805657</v>
      </c>
    </row>
    <row r="16722" spans="1:2" x14ac:dyDescent="0.25">
      <c r="A16722" s="2">
        <v>16717</v>
      </c>
      <c r="B16722" s="3" t="str">
        <f>"00805671"</f>
        <v>00805671</v>
      </c>
    </row>
    <row r="16723" spans="1:2" x14ac:dyDescent="0.25">
      <c r="A16723" s="2">
        <v>16718</v>
      </c>
      <c r="B16723" s="3" t="str">
        <f>"00805678"</f>
        <v>00805678</v>
      </c>
    </row>
    <row r="16724" spans="1:2" x14ac:dyDescent="0.25">
      <c r="A16724" s="2">
        <v>16719</v>
      </c>
      <c r="B16724" s="3" t="str">
        <f>"00805716"</f>
        <v>00805716</v>
      </c>
    </row>
    <row r="16725" spans="1:2" x14ac:dyDescent="0.25">
      <c r="A16725" s="2">
        <v>16720</v>
      </c>
      <c r="B16725" s="3" t="str">
        <f>"00805743"</f>
        <v>00805743</v>
      </c>
    </row>
    <row r="16726" spans="1:2" x14ac:dyDescent="0.25">
      <c r="A16726" s="2">
        <v>16721</v>
      </c>
      <c r="B16726" s="3" t="str">
        <f>"00805761"</f>
        <v>00805761</v>
      </c>
    </row>
    <row r="16727" spans="1:2" x14ac:dyDescent="0.25">
      <c r="A16727" s="2">
        <v>16722</v>
      </c>
      <c r="B16727" s="3" t="str">
        <f>"00805810"</f>
        <v>00805810</v>
      </c>
    </row>
    <row r="16728" spans="1:2" x14ac:dyDescent="0.25">
      <c r="A16728" s="2">
        <v>16723</v>
      </c>
      <c r="B16728" s="3" t="str">
        <f>"00805868"</f>
        <v>00805868</v>
      </c>
    </row>
    <row r="16729" spans="1:2" x14ac:dyDescent="0.25">
      <c r="A16729" s="2">
        <v>16724</v>
      </c>
      <c r="B16729" s="3" t="str">
        <f>"00805982"</f>
        <v>00805982</v>
      </c>
    </row>
    <row r="16730" spans="1:2" x14ac:dyDescent="0.25">
      <c r="A16730" s="2">
        <v>16725</v>
      </c>
      <c r="B16730" s="3" t="str">
        <f>"00806054"</f>
        <v>00806054</v>
      </c>
    </row>
    <row r="16731" spans="1:2" x14ac:dyDescent="0.25">
      <c r="A16731" s="2">
        <v>16726</v>
      </c>
      <c r="B16731" s="3" t="str">
        <f>"00806057"</f>
        <v>00806057</v>
      </c>
    </row>
    <row r="16732" spans="1:2" x14ac:dyDescent="0.25">
      <c r="A16732" s="2">
        <v>16727</v>
      </c>
      <c r="B16732" s="3" t="str">
        <f>"00806076"</f>
        <v>00806076</v>
      </c>
    </row>
    <row r="16733" spans="1:2" x14ac:dyDescent="0.25">
      <c r="A16733" s="2">
        <v>16728</v>
      </c>
      <c r="B16733" s="3" t="str">
        <f>"00806108"</f>
        <v>00806108</v>
      </c>
    </row>
    <row r="16734" spans="1:2" x14ac:dyDescent="0.25">
      <c r="A16734" s="2">
        <v>16729</v>
      </c>
      <c r="B16734" s="3" t="str">
        <f>"00806154"</f>
        <v>00806154</v>
      </c>
    </row>
    <row r="16735" spans="1:2" x14ac:dyDescent="0.25">
      <c r="A16735" s="2">
        <v>16730</v>
      </c>
      <c r="B16735" s="3" t="str">
        <f>"00806158"</f>
        <v>00806158</v>
      </c>
    </row>
    <row r="16736" spans="1:2" x14ac:dyDescent="0.25">
      <c r="A16736" s="2">
        <v>16731</v>
      </c>
      <c r="B16736" s="3" t="str">
        <f>"00806176"</f>
        <v>00806176</v>
      </c>
    </row>
    <row r="16737" spans="1:2" x14ac:dyDescent="0.25">
      <c r="A16737" s="2">
        <v>16732</v>
      </c>
      <c r="B16737" s="3" t="str">
        <f>"00806194"</f>
        <v>00806194</v>
      </c>
    </row>
    <row r="16738" spans="1:2" x14ac:dyDescent="0.25">
      <c r="A16738" s="2">
        <v>16733</v>
      </c>
      <c r="B16738" s="3" t="str">
        <f>"00806260"</f>
        <v>00806260</v>
      </c>
    </row>
    <row r="16739" spans="1:2" x14ac:dyDescent="0.25">
      <c r="A16739" s="2">
        <v>16734</v>
      </c>
      <c r="B16739" s="3" t="str">
        <f>"00806263"</f>
        <v>00806263</v>
      </c>
    </row>
    <row r="16740" spans="1:2" x14ac:dyDescent="0.25">
      <c r="A16740" s="2">
        <v>16735</v>
      </c>
      <c r="B16740" s="3" t="str">
        <f>"00806322"</f>
        <v>00806322</v>
      </c>
    </row>
    <row r="16741" spans="1:2" x14ac:dyDescent="0.25">
      <c r="A16741" s="2">
        <v>16736</v>
      </c>
      <c r="B16741" s="3" t="str">
        <f>"00806334"</f>
        <v>00806334</v>
      </c>
    </row>
    <row r="16742" spans="1:2" x14ac:dyDescent="0.25">
      <c r="A16742" s="2">
        <v>16737</v>
      </c>
      <c r="B16742" s="3" t="str">
        <f>"00806344"</f>
        <v>00806344</v>
      </c>
    </row>
    <row r="16743" spans="1:2" x14ac:dyDescent="0.25">
      <c r="A16743" s="2">
        <v>16738</v>
      </c>
      <c r="B16743" s="3" t="str">
        <f>"00806428"</f>
        <v>00806428</v>
      </c>
    </row>
    <row r="16744" spans="1:2" x14ac:dyDescent="0.25">
      <c r="A16744" s="2">
        <v>16739</v>
      </c>
      <c r="B16744" s="3" t="str">
        <f>"00806498"</f>
        <v>00806498</v>
      </c>
    </row>
    <row r="16745" spans="1:2" x14ac:dyDescent="0.25">
      <c r="A16745" s="2">
        <v>16740</v>
      </c>
      <c r="B16745" s="3" t="str">
        <f>"00806536"</f>
        <v>00806536</v>
      </c>
    </row>
    <row r="16746" spans="1:2" x14ac:dyDescent="0.25">
      <c r="A16746" s="2">
        <v>16741</v>
      </c>
      <c r="B16746" s="3" t="str">
        <f>"00806540"</f>
        <v>00806540</v>
      </c>
    </row>
    <row r="16747" spans="1:2" x14ac:dyDescent="0.25">
      <c r="A16747" s="2">
        <v>16742</v>
      </c>
      <c r="B16747" s="3" t="str">
        <f>"00806550"</f>
        <v>00806550</v>
      </c>
    </row>
    <row r="16748" spans="1:2" x14ac:dyDescent="0.25">
      <c r="A16748" s="2">
        <v>16743</v>
      </c>
      <c r="B16748" s="3" t="str">
        <f>"00806571"</f>
        <v>00806571</v>
      </c>
    </row>
    <row r="16749" spans="1:2" x14ac:dyDescent="0.25">
      <c r="A16749" s="2">
        <v>16744</v>
      </c>
      <c r="B16749" s="3" t="str">
        <f>"00806586"</f>
        <v>00806586</v>
      </c>
    </row>
    <row r="16750" spans="1:2" x14ac:dyDescent="0.25">
      <c r="A16750" s="2">
        <v>16745</v>
      </c>
      <c r="B16750" s="3" t="str">
        <f>"00806668"</f>
        <v>00806668</v>
      </c>
    </row>
    <row r="16751" spans="1:2" x14ac:dyDescent="0.25">
      <c r="A16751" s="2">
        <v>16746</v>
      </c>
      <c r="B16751" s="3" t="str">
        <f>"00806699"</f>
        <v>00806699</v>
      </c>
    </row>
    <row r="16752" spans="1:2" x14ac:dyDescent="0.25">
      <c r="A16752" s="2">
        <v>16747</v>
      </c>
      <c r="B16752" s="3" t="str">
        <f>"00806752"</f>
        <v>00806752</v>
      </c>
    </row>
    <row r="16753" spans="1:2" x14ac:dyDescent="0.25">
      <c r="A16753" s="2">
        <v>16748</v>
      </c>
      <c r="B16753" s="3" t="str">
        <f>"00806764"</f>
        <v>00806764</v>
      </c>
    </row>
    <row r="16754" spans="1:2" x14ac:dyDescent="0.25">
      <c r="A16754" s="2">
        <v>16749</v>
      </c>
      <c r="B16754" s="3" t="str">
        <f>"00806780"</f>
        <v>00806780</v>
      </c>
    </row>
    <row r="16755" spans="1:2" x14ac:dyDescent="0.25">
      <c r="A16755" s="2">
        <v>16750</v>
      </c>
      <c r="B16755" s="3" t="str">
        <f>"00806832"</f>
        <v>00806832</v>
      </c>
    </row>
    <row r="16756" spans="1:2" x14ac:dyDescent="0.25">
      <c r="A16756" s="2">
        <v>16751</v>
      </c>
      <c r="B16756" s="3" t="str">
        <f>"00806881"</f>
        <v>00806881</v>
      </c>
    </row>
    <row r="16757" spans="1:2" x14ac:dyDescent="0.25">
      <c r="A16757" s="2">
        <v>16752</v>
      </c>
      <c r="B16757" s="3" t="str">
        <f>"00806915"</f>
        <v>00806915</v>
      </c>
    </row>
    <row r="16758" spans="1:2" x14ac:dyDescent="0.25">
      <c r="A16758" s="2">
        <v>16753</v>
      </c>
      <c r="B16758" s="3" t="str">
        <f>"00806955"</f>
        <v>00806955</v>
      </c>
    </row>
    <row r="16759" spans="1:2" x14ac:dyDescent="0.25">
      <c r="A16759" s="2">
        <v>16754</v>
      </c>
      <c r="B16759" s="3" t="str">
        <f>"00806967"</f>
        <v>00806967</v>
      </c>
    </row>
    <row r="16760" spans="1:2" x14ac:dyDescent="0.25">
      <c r="A16760" s="2">
        <v>16755</v>
      </c>
      <c r="B16760" s="3" t="str">
        <f>"00806982"</f>
        <v>00806982</v>
      </c>
    </row>
    <row r="16761" spans="1:2" x14ac:dyDescent="0.25">
      <c r="A16761" s="2">
        <v>16756</v>
      </c>
      <c r="B16761" s="3" t="str">
        <f>"00806986"</f>
        <v>00806986</v>
      </c>
    </row>
    <row r="16762" spans="1:2" x14ac:dyDescent="0.25">
      <c r="A16762" s="2">
        <v>16757</v>
      </c>
      <c r="B16762" s="3" t="str">
        <f>"00807036"</f>
        <v>00807036</v>
      </c>
    </row>
    <row r="16763" spans="1:2" x14ac:dyDescent="0.25">
      <c r="A16763" s="2">
        <v>16758</v>
      </c>
      <c r="B16763" s="3" t="str">
        <f>"00807121"</f>
        <v>00807121</v>
      </c>
    </row>
    <row r="16764" spans="1:2" x14ac:dyDescent="0.25">
      <c r="A16764" s="2">
        <v>16759</v>
      </c>
      <c r="B16764" s="3" t="str">
        <f>"00807151"</f>
        <v>00807151</v>
      </c>
    </row>
    <row r="16765" spans="1:2" x14ac:dyDescent="0.25">
      <c r="A16765" s="2">
        <v>16760</v>
      </c>
      <c r="B16765" s="3" t="str">
        <f>"00807162"</f>
        <v>00807162</v>
      </c>
    </row>
    <row r="16766" spans="1:2" x14ac:dyDescent="0.25">
      <c r="A16766" s="2">
        <v>16761</v>
      </c>
      <c r="B16766" s="3" t="str">
        <f>"00807183"</f>
        <v>00807183</v>
      </c>
    </row>
    <row r="16767" spans="1:2" x14ac:dyDescent="0.25">
      <c r="A16767" s="2">
        <v>16762</v>
      </c>
      <c r="B16767" s="3" t="str">
        <f>"00807241"</f>
        <v>00807241</v>
      </c>
    </row>
    <row r="16768" spans="1:2" x14ac:dyDescent="0.25">
      <c r="A16768" s="2">
        <v>16763</v>
      </c>
      <c r="B16768" s="3" t="str">
        <f>"00807260"</f>
        <v>00807260</v>
      </c>
    </row>
    <row r="16769" spans="1:2" x14ac:dyDescent="0.25">
      <c r="A16769" s="2">
        <v>16764</v>
      </c>
      <c r="B16769" s="3" t="str">
        <f>"00807268"</f>
        <v>00807268</v>
      </c>
    </row>
    <row r="16770" spans="1:2" x14ac:dyDescent="0.25">
      <c r="A16770" s="2">
        <v>16765</v>
      </c>
      <c r="B16770" s="3" t="str">
        <f>"00807398"</f>
        <v>00807398</v>
      </c>
    </row>
    <row r="16771" spans="1:2" x14ac:dyDescent="0.25">
      <c r="A16771" s="2">
        <v>16766</v>
      </c>
      <c r="B16771" s="3" t="str">
        <f>"00807413"</f>
        <v>00807413</v>
      </c>
    </row>
    <row r="16772" spans="1:2" x14ac:dyDescent="0.25">
      <c r="A16772" s="2">
        <v>16767</v>
      </c>
      <c r="B16772" s="3" t="str">
        <f>"00807448"</f>
        <v>00807448</v>
      </c>
    </row>
    <row r="16773" spans="1:2" x14ac:dyDescent="0.25">
      <c r="A16773" s="2">
        <v>16768</v>
      </c>
      <c r="B16773" s="3" t="str">
        <f>"00807462"</f>
        <v>00807462</v>
      </c>
    </row>
    <row r="16774" spans="1:2" x14ac:dyDescent="0.25">
      <c r="A16774" s="2">
        <v>16769</v>
      </c>
      <c r="B16774" s="3" t="str">
        <f>"00807508"</f>
        <v>00807508</v>
      </c>
    </row>
    <row r="16775" spans="1:2" x14ac:dyDescent="0.25">
      <c r="A16775" s="2">
        <v>16770</v>
      </c>
      <c r="B16775" s="3" t="str">
        <f>"00807616"</f>
        <v>00807616</v>
      </c>
    </row>
    <row r="16776" spans="1:2" x14ac:dyDescent="0.25">
      <c r="A16776" s="2">
        <v>16771</v>
      </c>
      <c r="B16776" s="3" t="str">
        <f>"00807659"</f>
        <v>00807659</v>
      </c>
    </row>
    <row r="16777" spans="1:2" x14ac:dyDescent="0.25">
      <c r="A16777" s="2">
        <v>16772</v>
      </c>
      <c r="B16777" s="3" t="str">
        <f>"00807743"</f>
        <v>00807743</v>
      </c>
    </row>
    <row r="16778" spans="1:2" x14ac:dyDescent="0.25">
      <c r="A16778" s="2">
        <v>16773</v>
      </c>
      <c r="B16778" s="3" t="str">
        <f>"00807758"</f>
        <v>00807758</v>
      </c>
    </row>
    <row r="16779" spans="1:2" x14ac:dyDescent="0.25">
      <c r="A16779" s="2">
        <v>16774</v>
      </c>
      <c r="B16779" s="3" t="str">
        <f>"00807776"</f>
        <v>00807776</v>
      </c>
    </row>
    <row r="16780" spans="1:2" x14ac:dyDescent="0.25">
      <c r="A16780" s="2">
        <v>16775</v>
      </c>
      <c r="B16780" s="3" t="str">
        <f>"00807799"</f>
        <v>00807799</v>
      </c>
    </row>
    <row r="16781" spans="1:2" x14ac:dyDescent="0.25">
      <c r="A16781" s="2">
        <v>16776</v>
      </c>
      <c r="B16781" s="3" t="str">
        <f>"00807849"</f>
        <v>00807849</v>
      </c>
    </row>
    <row r="16782" spans="1:2" x14ac:dyDescent="0.25">
      <c r="A16782" s="2">
        <v>16777</v>
      </c>
      <c r="B16782" s="3" t="str">
        <f>"00807904"</f>
        <v>00807904</v>
      </c>
    </row>
    <row r="16783" spans="1:2" x14ac:dyDescent="0.25">
      <c r="A16783" s="2">
        <v>16778</v>
      </c>
      <c r="B16783" s="3" t="str">
        <f>"00807914"</f>
        <v>00807914</v>
      </c>
    </row>
    <row r="16784" spans="1:2" x14ac:dyDescent="0.25">
      <c r="A16784" s="2">
        <v>16779</v>
      </c>
      <c r="B16784" s="3" t="str">
        <f>"00808063"</f>
        <v>00808063</v>
      </c>
    </row>
    <row r="16785" spans="1:2" x14ac:dyDescent="0.25">
      <c r="A16785" s="2">
        <v>16780</v>
      </c>
      <c r="B16785" s="3" t="str">
        <f>"00808084"</f>
        <v>00808084</v>
      </c>
    </row>
    <row r="16786" spans="1:2" x14ac:dyDescent="0.25">
      <c r="A16786" s="2">
        <v>16781</v>
      </c>
      <c r="B16786" s="3" t="str">
        <f>"00808184"</f>
        <v>00808184</v>
      </c>
    </row>
    <row r="16787" spans="1:2" x14ac:dyDescent="0.25">
      <c r="A16787" s="2">
        <v>16782</v>
      </c>
      <c r="B16787" s="3" t="str">
        <f>"00808188"</f>
        <v>00808188</v>
      </c>
    </row>
    <row r="16788" spans="1:2" x14ac:dyDescent="0.25">
      <c r="A16788" s="2">
        <v>16783</v>
      </c>
      <c r="B16788" s="3" t="str">
        <f>"00808250"</f>
        <v>00808250</v>
      </c>
    </row>
    <row r="16789" spans="1:2" x14ac:dyDescent="0.25">
      <c r="A16789" s="2">
        <v>16784</v>
      </c>
      <c r="B16789" s="3" t="str">
        <f>"00808329"</f>
        <v>00808329</v>
      </c>
    </row>
    <row r="16790" spans="1:2" x14ac:dyDescent="0.25">
      <c r="A16790" s="2">
        <v>16785</v>
      </c>
      <c r="B16790" s="3" t="str">
        <f>"00808346"</f>
        <v>00808346</v>
      </c>
    </row>
    <row r="16791" spans="1:2" x14ac:dyDescent="0.25">
      <c r="A16791" s="2">
        <v>16786</v>
      </c>
      <c r="B16791" s="3" t="str">
        <f>"00808424"</f>
        <v>00808424</v>
      </c>
    </row>
    <row r="16792" spans="1:2" x14ac:dyDescent="0.25">
      <c r="A16792" s="2">
        <v>16787</v>
      </c>
      <c r="B16792" s="3" t="str">
        <f>"00808478"</f>
        <v>00808478</v>
      </c>
    </row>
    <row r="16793" spans="1:2" x14ac:dyDescent="0.25">
      <c r="A16793" s="2">
        <v>16788</v>
      </c>
      <c r="B16793" s="3" t="str">
        <f>"00808498"</f>
        <v>00808498</v>
      </c>
    </row>
    <row r="16794" spans="1:2" x14ac:dyDescent="0.25">
      <c r="A16794" s="2">
        <v>16789</v>
      </c>
      <c r="B16794" s="3" t="str">
        <f>"00808646"</f>
        <v>00808646</v>
      </c>
    </row>
    <row r="16795" spans="1:2" x14ac:dyDescent="0.25">
      <c r="A16795" s="2">
        <v>16790</v>
      </c>
      <c r="B16795" s="3" t="str">
        <f>"00808740"</f>
        <v>00808740</v>
      </c>
    </row>
    <row r="16796" spans="1:2" x14ac:dyDescent="0.25">
      <c r="A16796" s="2">
        <v>16791</v>
      </c>
      <c r="B16796" s="3" t="str">
        <f>"00808799"</f>
        <v>00808799</v>
      </c>
    </row>
    <row r="16797" spans="1:2" x14ac:dyDescent="0.25">
      <c r="A16797" s="2">
        <v>16792</v>
      </c>
      <c r="B16797" s="3" t="str">
        <f>"00808969"</f>
        <v>00808969</v>
      </c>
    </row>
    <row r="16798" spans="1:2" x14ac:dyDescent="0.25">
      <c r="A16798" s="2">
        <v>16793</v>
      </c>
      <c r="B16798" s="3" t="str">
        <f>"00808977"</f>
        <v>00808977</v>
      </c>
    </row>
    <row r="16799" spans="1:2" x14ac:dyDescent="0.25">
      <c r="A16799" s="2">
        <v>16794</v>
      </c>
      <c r="B16799" s="3" t="str">
        <f>"00808985"</f>
        <v>00808985</v>
      </c>
    </row>
    <row r="16800" spans="1:2" x14ac:dyDescent="0.25">
      <c r="A16800" s="2">
        <v>16795</v>
      </c>
      <c r="B16800" s="3" t="str">
        <f>"00809013"</f>
        <v>00809013</v>
      </c>
    </row>
    <row r="16801" spans="1:2" x14ac:dyDescent="0.25">
      <c r="A16801" s="2">
        <v>16796</v>
      </c>
      <c r="B16801" s="3" t="str">
        <f>"00809093"</f>
        <v>00809093</v>
      </c>
    </row>
    <row r="16802" spans="1:2" x14ac:dyDescent="0.25">
      <c r="A16802" s="2">
        <v>16797</v>
      </c>
      <c r="B16802" s="3" t="str">
        <f>"00809098"</f>
        <v>00809098</v>
      </c>
    </row>
    <row r="16803" spans="1:2" x14ac:dyDescent="0.25">
      <c r="A16803" s="2">
        <v>16798</v>
      </c>
      <c r="B16803" s="3" t="str">
        <f>"00809115"</f>
        <v>00809115</v>
      </c>
    </row>
    <row r="16804" spans="1:2" x14ac:dyDescent="0.25">
      <c r="A16804" s="2">
        <v>16799</v>
      </c>
      <c r="B16804" s="3" t="str">
        <f>"00809166"</f>
        <v>00809166</v>
      </c>
    </row>
    <row r="16805" spans="1:2" x14ac:dyDescent="0.25">
      <c r="A16805" s="2">
        <v>16800</v>
      </c>
      <c r="B16805" s="3" t="str">
        <f>"00809313"</f>
        <v>00809313</v>
      </c>
    </row>
    <row r="16806" spans="1:2" x14ac:dyDescent="0.25">
      <c r="A16806" s="2">
        <v>16801</v>
      </c>
      <c r="B16806" s="3" t="str">
        <f>"00809351"</f>
        <v>00809351</v>
      </c>
    </row>
    <row r="16807" spans="1:2" x14ac:dyDescent="0.25">
      <c r="A16807" s="2">
        <v>16802</v>
      </c>
      <c r="B16807" s="3" t="str">
        <f>"00809433"</f>
        <v>00809433</v>
      </c>
    </row>
    <row r="16808" spans="1:2" x14ac:dyDescent="0.25">
      <c r="A16808" s="2">
        <v>16803</v>
      </c>
      <c r="B16808" s="3" t="str">
        <f>"00809465"</f>
        <v>00809465</v>
      </c>
    </row>
    <row r="16809" spans="1:2" x14ac:dyDescent="0.25">
      <c r="A16809" s="2">
        <v>16804</v>
      </c>
      <c r="B16809" s="3" t="str">
        <f>"00809620"</f>
        <v>00809620</v>
      </c>
    </row>
    <row r="16810" spans="1:2" x14ac:dyDescent="0.25">
      <c r="A16810" s="2">
        <v>16805</v>
      </c>
      <c r="B16810" s="3" t="str">
        <f>"00809621"</f>
        <v>00809621</v>
      </c>
    </row>
    <row r="16811" spans="1:2" x14ac:dyDescent="0.25">
      <c r="A16811" s="2">
        <v>16806</v>
      </c>
      <c r="B16811" s="3" t="str">
        <f>"00809637"</f>
        <v>00809637</v>
      </c>
    </row>
    <row r="16812" spans="1:2" x14ac:dyDescent="0.25">
      <c r="A16812" s="2">
        <v>16807</v>
      </c>
      <c r="B16812" s="3" t="str">
        <f>"00809663"</f>
        <v>00809663</v>
      </c>
    </row>
    <row r="16813" spans="1:2" x14ac:dyDescent="0.25">
      <c r="A16813" s="2">
        <v>16808</v>
      </c>
      <c r="B16813" s="3" t="str">
        <f>"00809740"</f>
        <v>00809740</v>
      </c>
    </row>
    <row r="16814" spans="1:2" x14ac:dyDescent="0.25">
      <c r="A16814" s="2">
        <v>16809</v>
      </c>
      <c r="B16814" s="3" t="str">
        <f>"00809802"</f>
        <v>00809802</v>
      </c>
    </row>
    <row r="16815" spans="1:2" x14ac:dyDescent="0.25">
      <c r="A16815" s="2">
        <v>16810</v>
      </c>
      <c r="B16815" s="3" t="str">
        <f>"00809822"</f>
        <v>00809822</v>
      </c>
    </row>
    <row r="16816" spans="1:2" x14ac:dyDescent="0.25">
      <c r="A16816" s="2">
        <v>16811</v>
      </c>
      <c r="B16816" s="3" t="str">
        <f>"00809861"</f>
        <v>00809861</v>
      </c>
    </row>
    <row r="16817" spans="1:2" x14ac:dyDescent="0.25">
      <c r="A16817" s="2">
        <v>16812</v>
      </c>
      <c r="B16817" s="3" t="str">
        <f>"00809890"</f>
        <v>00809890</v>
      </c>
    </row>
    <row r="16818" spans="1:2" x14ac:dyDescent="0.25">
      <c r="A16818" s="2">
        <v>16813</v>
      </c>
      <c r="B16818" s="3" t="str">
        <f>"00809938"</f>
        <v>00809938</v>
      </c>
    </row>
    <row r="16819" spans="1:2" x14ac:dyDescent="0.25">
      <c r="A16819" s="2">
        <v>16814</v>
      </c>
      <c r="B16819" s="3" t="str">
        <f>"00809939"</f>
        <v>00809939</v>
      </c>
    </row>
    <row r="16820" spans="1:2" x14ac:dyDescent="0.25">
      <c r="A16820" s="2">
        <v>16815</v>
      </c>
      <c r="B16820" s="3" t="str">
        <f>"00809966"</f>
        <v>00809966</v>
      </c>
    </row>
    <row r="16821" spans="1:2" x14ac:dyDescent="0.25">
      <c r="A16821" s="2">
        <v>16816</v>
      </c>
      <c r="B16821" s="3" t="str">
        <f>"00809977"</f>
        <v>00809977</v>
      </c>
    </row>
    <row r="16822" spans="1:2" x14ac:dyDescent="0.25">
      <c r="A16822" s="2">
        <v>16817</v>
      </c>
      <c r="B16822" s="3" t="str">
        <f>"00809987"</f>
        <v>00809987</v>
      </c>
    </row>
    <row r="16823" spans="1:2" x14ac:dyDescent="0.25">
      <c r="A16823" s="2">
        <v>16818</v>
      </c>
      <c r="B16823" s="3" t="str">
        <f>"00809997"</f>
        <v>00809997</v>
      </c>
    </row>
    <row r="16824" spans="1:2" x14ac:dyDescent="0.25">
      <c r="A16824" s="2">
        <v>16819</v>
      </c>
      <c r="B16824" s="3" t="str">
        <f>"00809998"</f>
        <v>00809998</v>
      </c>
    </row>
    <row r="16825" spans="1:2" x14ac:dyDescent="0.25">
      <c r="A16825" s="2">
        <v>16820</v>
      </c>
      <c r="B16825" s="3" t="str">
        <f>"00810024"</f>
        <v>00810024</v>
      </c>
    </row>
    <row r="16826" spans="1:2" x14ac:dyDescent="0.25">
      <c r="A16826" s="2">
        <v>16821</v>
      </c>
      <c r="B16826" s="3" t="str">
        <f>"00810025"</f>
        <v>00810025</v>
      </c>
    </row>
    <row r="16827" spans="1:2" x14ac:dyDescent="0.25">
      <c r="A16827" s="2">
        <v>16822</v>
      </c>
      <c r="B16827" s="3" t="str">
        <f>"00810094"</f>
        <v>00810094</v>
      </c>
    </row>
    <row r="16828" spans="1:2" x14ac:dyDescent="0.25">
      <c r="A16828" s="2">
        <v>16823</v>
      </c>
      <c r="B16828" s="3" t="str">
        <f>"00810125"</f>
        <v>00810125</v>
      </c>
    </row>
    <row r="16829" spans="1:2" x14ac:dyDescent="0.25">
      <c r="A16829" s="2">
        <v>16824</v>
      </c>
      <c r="B16829" s="3" t="str">
        <f>"00810152"</f>
        <v>00810152</v>
      </c>
    </row>
    <row r="16830" spans="1:2" x14ac:dyDescent="0.25">
      <c r="A16830" s="2">
        <v>16825</v>
      </c>
      <c r="B16830" s="3" t="str">
        <f>"00810169"</f>
        <v>00810169</v>
      </c>
    </row>
    <row r="16831" spans="1:2" x14ac:dyDescent="0.25">
      <c r="A16831" s="2">
        <v>16826</v>
      </c>
      <c r="B16831" s="3" t="str">
        <f>"00810294"</f>
        <v>00810294</v>
      </c>
    </row>
    <row r="16832" spans="1:2" x14ac:dyDescent="0.25">
      <c r="A16832" s="2">
        <v>16827</v>
      </c>
      <c r="B16832" s="3" t="str">
        <f>"00810308"</f>
        <v>00810308</v>
      </c>
    </row>
    <row r="16833" spans="1:2" x14ac:dyDescent="0.25">
      <c r="A16833" s="2">
        <v>16828</v>
      </c>
      <c r="B16833" s="3" t="str">
        <f>"00810431"</f>
        <v>00810431</v>
      </c>
    </row>
    <row r="16834" spans="1:2" x14ac:dyDescent="0.25">
      <c r="A16834" s="2">
        <v>16829</v>
      </c>
      <c r="B16834" s="3" t="str">
        <f>"00810492"</f>
        <v>00810492</v>
      </c>
    </row>
    <row r="16835" spans="1:2" x14ac:dyDescent="0.25">
      <c r="A16835" s="2">
        <v>16830</v>
      </c>
      <c r="B16835" s="3" t="str">
        <f>"00810497"</f>
        <v>00810497</v>
      </c>
    </row>
    <row r="16836" spans="1:2" x14ac:dyDescent="0.25">
      <c r="A16836" s="2">
        <v>16831</v>
      </c>
      <c r="B16836" s="3" t="str">
        <f>"00810623"</f>
        <v>00810623</v>
      </c>
    </row>
    <row r="16837" spans="1:2" x14ac:dyDescent="0.25">
      <c r="A16837" s="2">
        <v>16832</v>
      </c>
      <c r="B16837" s="3" t="str">
        <f>"00810670"</f>
        <v>00810670</v>
      </c>
    </row>
    <row r="16838" spans="1:2" x14ac:dyDescent="0.25">
      <c r="A16838" s="2">
        <v>16833</v>
      </c>
      <c r="B16838" s="3" t="str">
        <f>"00810686"</f>
        <v>00810686</v>
      </c>
    </row>
    <row r="16839" spans="1:2" x14ac:dyDescent="0.25">
      <c r="A16839" s="2">
        <v>16834</v>
      </c>
      <c r="B16839" s="3" t="str">
        <f>"00810725"</f>
        <v>00810725</v>
      </c>
    </row>
    <row r="16840" spans="1:2" x14ac:dyDescent="0.25">
      <c r="A16840" s="2">
        <v>16835</v>
      </c>
      <c r="B16840" s="3" t="str">
        <f>"00810736"</f>
        <v>00810736</v>
      </c>
    </row>
    <row r="16841" spans="1:2" x14ac:dyDescent="0.25">
      <c r="A16841" s="2">
        <v>16836</v>
      </c>
      <c r="B16841" s="3" t="str">
        <f>"00810776"</f>
        <v>00810776</v>
      </c>
    </row>
    <row r="16842" spans="1:2" x14ac:dyDescent="0.25">
      <c r="A16842" s="2">
        <v>16837</v>
      </c>
      <c r="B16842" s="3" t="str">
        <f>"00810841"</f>
        <v>00810841</v>
      </c>
    </row>
    <row r="16843" spans="1:2" x14ac:dyDescent="0.25">
      <c r="A16843" s="2">
        <v>16838</v>
      </c>
      <c r="B16843" s="3" t="str">
        <f>"00810866"</f>
        <v>00810866</v>
      </c>
    </row>
    <row r="16844" spans="1:2" x14ac:dyDescent="0.25">
      <c r="A16844" s="2">
        <v>16839</v>
      </c>
      <c r="B16844" s="3" t="str">
        <f>"00810869"</f>
        <v>00810869</v>
      </c>
    </row>
    <row r="16845" spans="1:2" x14ac:dyDescent="0.25">
      <c r="A16845" s="2">
        <v>16840</v>
      </c>
      <c r="B16845" s="3" t="str">
        <f>"00810950"</f>
        <v>00810950</v>
      </c>
    </row>
    <row r="16846" spans="1:2" x14ac:dyDescent="0.25">
      <c r="A16846" s="2">
        <v>16841</v>
      </c>
      <c r="B16846" s="3" t="str">
        <f>"00811069"</f>
        <v>00811069</v>
      </c>
    </row>
    <row r="16847" spans="1:2" x14ac:dyDescent="0.25">
      <c r="A16847" s="2">
        <v>16842</v>
      </c>
      <c r="B16847" s="3" t="str">
        <f>"00811110"</f>
        <v>00811110</v>
      </c>
    </row>
    <row r="16848" spans="1:2" x14ac:dyDescent="0.25">
      <c r="A16848" s="2">
        <v>16843</v>
      </c>
      <c r="B16848" s="3" t="str">
        <f>"00811176"</f>
        <v>00811176</v>
      </c>
    </row>
    <row r="16849" spans="1:2" x14ac:dyDescent="0.25">
      <c r="A16849" s="2">
        <v>16844</v>
      </c>
      <c r="B16849" s="3" t="str">
        <f>"00811272"</f>
        <v>00811272</v>
      </c>
    </row>
    <row r="16850" spans="1:2" x14ac:dyDescent="0.25">
      <c r="A16850" s="2">
        <v>16845</v>
      </c>
      <c r="B16850" s="3" t="str">
        <f>"00811335"</f>
        <v>00811335</v>
      </c>
    </row>
    <row r="16851" spans="1:2" x14ac:dyDescent="0.25">
      <c r="A16851" s="2">
        <v>16846</v>
      </c>
      <c r="B16851" s="3" t="str">
        <f>"00811435"</f>
        <v>00811435</v>
      </c>
    </row>
    <row r="16852" spans="1:2" x14ac:dyDescent="0.25">
      <c r="A16852" s="2">
        <v>16847</v>
      </c>
      <c r="B16852" s="3" t="str">
        <f>"00811462"</f>
        <v>00811462</v>
      </c>
    </row>
    <row r="16853" spans="1:2" x14ac:dyDescent="0.25">
      <c r="A16853" s="2">
        <v>16848</v>
      </c>
      <c r="B16853" s="3" t="str">
        <f>"00811481"</f>
        <v>00811481</v>
      </c>
    </row>
    <row r="16854" spans="1:2" x14ac:dyDescent="0.25">
      <c r="A16854" s="2">
        <v>16849</v>
      </c>
      <c r="B16854" s="3" t="str">
        <f>"00811546"</f>
        <v>00811546</v>
      </c>
    </row>
    <row r="16855" spans="1:2" x14ac:dyDescent="0.25">
      <c r="A16855" s="2">
        <v>16850</v>
      </c>
      <c r="B16855" s="3" t="str">
        <f>"00811634"</f>
        <v>00811634</v>
      </c>
    </row>
    <row r="16856" spans="1:2" x14ac:dyDescent="0.25">
      <c r="A16856" s="2">
        <v>16851</v>
      </c>
      <c r="B16856" s="3" t="str">
        <f>"00811670"</f>
        <v>00811670</v>
      </c>
    </row>
    <row r="16857" spans="1:2" x14ac:dyDescent="0.25">
      <c r="A16857" s="2">
        <v>16852</v>
      </c>
      <c r="B16857" s="3" t="str">
        <f>"00811696"</f>
        <v>00811696</v>
      </c>
    </row>
    <row r="16858" spans="1:2" x14ac:dyDescent="0.25">
      <c r="A16858" s="2">
        <v>16853</v>
      </c>
      <c r="B16858" s="3" t="str">
        <f>"00811763"</f>
        <v>00811763</v>
      </c>
    </row>
    <row r="16859" spans="1:2" x14ac:dyDescent="0.25">
      <c r="A16859" s="2">
        <v>16854</v>
      </c>
      <c r="B16859" s="3" t="str">
        <f>"00811764"</f>
        <v>00811764</v>
      </c>
    </row>
    <row r="16860" spans="1:2" x14ac:dyDescent="0.25">
      <c r="A16860" s="2">
        <v>16855</v>
      </c>
      <c r="B16860" s="3" t="str">
        <f>"00811852"</f>
        <v>00811852</v>
      </c>
    </row>
    <row r="16861" spans="1:2" x14ac:dyDescent="0.25">
      <c r="A16861" s="2">
        <v>16856</v>
      </c>
      <c r="B16861" s="3" t="str">
        <f>"00811861"</f>
        <v>00811861</v>
      </c>
    </row>
    <row r="16862" spans="1:2" x14ac:dyDescent="0.25">
      <c r="A16862" s="2">
        <v>16857</v>
      </c>
      <c r="B16862" s="3" t="str">
        <f>"00811866"</f>
        <v>00811866</v>
      </c>
    </row>
    <row r="16863" spans="1:2" x14ac:dyDescent="0.25">
      <c r="A16863" s="2">
        <v>16858</v>
      </c>
      <c r="B16863" s="3" t="str">
        <f>"00811874"</f>
        <v>00811874</v>
      </c>
    </row>
    <row r="16864" spans="1:2" x14ac:dyDescent="0.25">
      <c r="A16864" s="2">
        <v>16859</v>
      </c>
      <c r="B16864" s="3" t="str">
        <f>"00811985"</f>
        <v>00811985</v>
      </c>
    </row>
    <row r="16865" spans="1:2" x14ac:dyDescent="0.25">
      <c r="A16865" s="2">
        <v>16860</v>
      </c>
      <c r="B16865" s="3" t="str">
        <f>"00812296"</f>
        <v>00812296</v>
      </c>
    </row>
    <row r="16866" spans="1:2" x14ac:dyDescent="0.25">
      <c r="A16866" s="2">
        <v>16861</v>
      </c>
      <c r="B16866" s="3" t="str">
        <f>"00812305"</f>
        <v>00812305</v>
      </c>
    </row>
    <row r="16867" spans="1:2" x14ac:dyDescent="0.25">
      <c r="A16867" s="2">
        <v>16862</v>
      </c>
      <c r="B16867" s="3" t="str">
        <f>"00812372"</f>
        <v>00812372</v>
      </c>
    </row>
    <row r="16868" spans="1:2" x14ac:dyDescent="0.25">
      <c r="A16868" s="2">
        <v>16863</v>
      </c>
      <c r="B16868" s="3" t="str">
        <f>"00812404"</f>
        <v>00812404</v>
      </c>
    </row>
    <row r="16869" spans="1:2" x14ac:dyDescent="0.25">
      <c r="A16869" s="2">
        <v>16864</v>
      </c>
      <c r="B16869" s="3" t="str">
        <f>"00812505"</f>
        <v>00812505</v>
      </c>
    </row>
    <row r="16870" spans="1:2" x14ac:dyDescent="0.25">
      <c r="A16870" s="2">
        <v>16865</v>
      </c>
      <c r="B16870" s="3" t="str">
        <f>"00812511"</f>
        <v>00812511</v>
      </c>
    </row>
    <row r="16871" spans="1:2" x14ac:dyDescent="0.25">
      <c r="A16871" s="2">
        <v>16866</v>
      </c>
      <c r="B16871" s="3" t="str">
        <f>"00812591"</f>
        <v>00812591</v>
      </c>
    </row>
    <row r="16872" spans="1:2" x14ac:dyDescent="0.25">
      <c r="A16872" s="2">
        <v>16867</v>
      </c>
      <c r="B16872" s="3" t="str">
        <f>"00812755"</f>
        <v>00812755</v>
      </c>
    </row>
    <row r="16873" spans="1:2" x14ac:dyDescent="0.25">
      <c r="A16873" s="2">
        <v>16868</v>
      </c>
      <c r="B16873" s="3" t="str">
        <f>"00812757"</f>
        <v>00812757</v>
      </c>
    </row>
    <row r="16874" spans="1:2" x14ac:dyDescent="0.25">
      <c r="A16874" s="2">
        <v>16869</v>
      </c>
      <c r="B16874" s="3" t="str">
        <f>"00812839"</f>
        <v>00812839</v>
      </c>
    </row>
    <row r="16875" spans="1:2" x14ac:dyDescent="0.25">
      <c r="A16875" s="2">
        <v>16870</v>
      </c>
      <c r="B16875" s="3" t="str">
        <f>"00812911"</f>
        <v>00812911</v>
      </c>
    </row>
    <row r="16876" spans="1:2" x14ac:dyDescent="0.25">
      <c r="A16876" s="2">
        <v>16871</v>
      </c>
      <c r="B16876" s="3" t="str">
        <f>"00812920"</f>
        <v>00812920</v>
      </c>
    </row>
    <row r="16877" spans="1:2" x14ac:dyDescent="0.25">
      <c r="A16877" s="2">
        <v>16872</v>
      </c>
      <c r="B16877" s="3" t="str">
        <f>"00812997"</f>
        <v>00812997</v>
      </c>
    </row>
    <row r="16878" spans="1:2" x14ac:dyDescent="0.25">
      <c r="A16878" s="2">
        <v>16873</v>
      </c>
      <c r="B16878" s="3" t="str">
        <f>"00812998"</f>
        <v>00812998</v>
      </c>
    </row>
    <row r="16879" spans="1:2" x14ac:dyDescent="0.25">
      <c r="A16879" s="2">
        <v>16874</v>
      </c>
      <c r="B16879" s="3" t="str">
        <f>"00813018"</f>
        <v>00813018</v>
      </c>
    </row>
    <row r="16880" spans="1:2" x14ac:dyDescent="0.25">
      <c r="A16880" s="2">
        <v>16875</v>
      </c>
      <c r="B16880" s="3" t="str">
        <f>"00813028"</f>
        <v>00813028</v>
      </c>
    </row>
    <row r="16881" spans="1:2" x14ac:dyDescent="0.25">
      <c r="A16881" s="2">
        <v>16876</v>
      </c>
      <c r="B16881" s="3" t="str">
        <f>"00813075"</f>
        <v>00813075</v>
      </c>
    </row>
    <row r="16882" spans="1:2" x14ac:dyDescent="0.25">
      <c r="A16882" s="2">
        <v>16877</v>
      </c>
      <c r="B16882" s="3" t="str">
        <f>"00813087"</f>
        <v>00813087</v>
      </c>
    </row>
    <row r="16883" spans="1:2" x14ac:dyDescent="0.25">
      <c r="A16883" s="2">
        <v>16878</v>
      </c>
      <c r="B16883" s="3" t="str">
        <f>"00813134"</f>
        <v>00813134</v>
      </c>
    </row>
    <row r="16884" spans="1:2" x14ac:dyDescent="0.25">
      <c r="A16884" s="2">
        <v>16879</v>
      </c>
      <c r="B16884" s="3" t="str">
        <f>"00813140"</f>
        <v>00813140</v>
      </c>
    </row>
    <row r="16885" spans="1:2" x14ac:dyDescent="0.25">
      <c r="A16885" s="2">
        <v>16880</v>
      </c>
      <c r="B16885" s="3" t="str">
        <f>"00813147"</f>
        <v>00813147</v>
      </c>
    </row>
    <row r="16886" spans="1:2" x14ac:dyDescent="0.25">
      <c r="A16886" s="2">
        <v>16881</v>
      </c>
      <c r="B16886" s="3" t="str">
        <f>"00813186"</f>
        <v>00813186</v>
      </c>
    </row>
    <row r="16887" spans="1:2" x14ac:dyDescent="0.25">
      <c r="A16887" s="2">
        <v>16882</v>
      </c>
      <c r="B16887" s="3" t="str">
        <f>"00813196"</f>
        <v>00813196</v>
      </c>
    </row>
    <row r="16888" spans="1:2" x14ac:dyDescent="0.25">
      <c r="A16888" s="2">
        <v>16883</v>
      </c>
      <c r="B16888" s="3" t="str">
        <f>"00813206"</f>
        <v>00813206</v>
      </c>
    </row>
    <row r="16889" spans="1:2" x14ac:dyDescent="0.25">
      <c r="A16889" s="2">
        <v>16884</v>
      </c>
      <c r="B16889" s="3" t="str">
        <f>"00813250"</f>
        <v>00813250</v>
      </c>
    </row>
    <row r="16890" spans="1:2" x14ac:dyDescent="0.25">
      <c r="A16890" s="2">
        <v>16885</v>
      </c>
      <c r="B16890" s="3" t="str">
        <f>"00813271"</f>
        <v>00813271</v>
      </c>
    </row>
    <row r="16891" spans="1:2" x14ac:dyDescent="0.25">
      <c r="A16891" s="2">
        <v>16886</v>
      </c>
      <c r="B16891" s="3" t="str">
        <f>"00813272"</f>
        <v>00813272</v>
      </c>
    </row>
    <row r="16892" spans="1:2" x14ac:dyDescent="0.25">
      <c r="A16892" s="2">
        <v>16887</v>
      </c>
      <c r="B16892" s="3" t="str">
        <f>"00813275"</f>
        <v>00813275</v>
      </c>
    </row>
    <row r="16893" spans="1:2" x14ac:dyDescent="0.25">
      <c r="A16893" s="2">
        <v>16888</v>
      </c>
      <c r="B16893" s="3" t="str">
        <f>"00813327"</f>
        <v>00813327</v>
      </c>
    </row>
    <row r="16894" spans="1:2" x14ac:dyDescent="0.25">
      <c r="A16894" s="2">
        <v>16889</v>
      </c>
      <c r="B16894" s="3" t="str">
        <f>"00813329"</f>
        <v>00813329</v>
      </c>
    </row>
    <row r="16895" spans="1:2" x14ac:dyDescent="0.25">
      <c r="A16895" s="2">
        <v>16890</v>
      </c>
      <c r="B16895" s="3" t="str">
        <f>"00813336"</f>
        <v>00813336</v>
      </c>
    </row>
    <row r="16896" spans="1:2" x14ac:dyDescent="0.25">
      <c r="A16896" s="2">
        <v>16891</v>
      </c>
      <c r="B16896" s="3" t="str">
        <f>"00813386"</f>
        <v>00813386</v>
      </c>
    </row>
    <row r="16897" spans="1:2" x14ac:dyDescent="0.25">
      <c r="A16897" s="2">
        <v>16892</v>
      </c>
      <c r="B16897" s="3" t="str">
        <f>"00813422"</f>
        <v>00813422</v>
      </c>
    </row>
    <row r="16898" spans="1:2" x14ac:dyDescent="0.25">
      <c r="A16898" s="2">
        <v>16893</v>
      </c>
      <c r="B16898" s="3" t="str">
        <f>"00813595"</f>
        <v>00813595</v>
      </c>
    </row>
    <row r="16899" spans="1:2" x14ac:dyDescent="0.25">
      <c r="A16899" s="2">
        <v>16894</v>
      </c>
      <c r="B16899" s="3" t="str">
        <f>"00813664"</f>
        <v>00813664</v>
      </c>
    </row>
    <row r="16900" spans="1:2" x14ac:dyDescent="0.25">
      <c r="A16900" s="2">
        <v>16895</v>
      </c>
      <c r="B16900" s="3" t="str">
        <f>"00813802"</f>
        <v>00813802</v>
      </c>
    </row>
    <row r="16901" spans="1:2" x14ac:dyDescent="0.25">
      <c r="A16901" s="2">
        <v>16896</v>
      </c>
      <c r="B16901" s="3" t="str">
        <f>"00813885"</f>
        <v>00813885</v>
      </c>
    </row>
    <row r="16902" spans="1:2" x14ac:dyDescent="0.25">
      <c r="A16902" s="2">
        <v>16897</v>
      </c>
      <c r="B16902" s="3" t="str">
        <f>"00813905"</f>
        <v>00813905</v>
      </c>
    </row>
    <row r="16903" spans="1:2" x14ac:dyDescent="0.25">
      <c r="A16903" s="2">
        <v>16898</v>
      </c>
      <c r="B16903" s="3" t="str">
        <f>"00813917"</f>
        <v>00813917</v>
      </c>
    </row>
    <row r="16904" spans="1:2" x14ac:dyDescent="0.25">
      <c r="A16904" s="2">
        <v>16899</v>
      </c>
      <c r="B16904" s="3" t="str">
        <f>"00813968"</f>
        <v>00813968</v>
      </c>
    </row>
    <row r="16905" spans="1:2" x14ac:dyDescent="0.25">
      <c r="A16905" s="2">
        <v>16900</v>
      </c>
      <c r="B16905" s="3" t="str">
        <f>"00813996"</f>
        <v>00813996</v>
      </c>
    </row>
    <row r="16906" spans="1:2" x14ac:dyDescent="0.25">
      <c r="A16906" s="2">
        <v>16901</v>
      </c>
      <c r="B16906" s="3" t="str">
        <f>"00814007"</f>
        <v>00814007</v>
      </c>
    </row>
    <row r="16907" spans="1:2" x14ac:dyDescent="0.25">
      <c r="A16907" s="2">
        <v>16902</v>
      </c>
      <c r="B16907" s="3" t="str">
        <f>"00814013"</f>
        <v>00814013</v>
      </c>
    </row>
    <row r="16908" spans="1:2" x14ac:dyDescent="0.25">
      <c r="A16908" s="2">
        <v>16903</v>
      </c>
      <c r="B16908" s="3" t="str">
        <f>"00814014"</f>
        <v>00814014</v>
      </c>
    </row>
    <row r="16909" spans="1:2" x14ac:dyDescent="0.25">
      <c r="A16909" s="2">
        <v>16904</v>
      </c>
      <c r="B16909" s="3" t="str">
        <f>"00814015"</f>
        <v>00814015</v>
      </c>
    </row>
    <row r="16910" spans="1:2" x14ac:dyDescent="0.25">
      <c r="A16910" s="2">
        <v>16905</v>
      </c>
      <c r="B16910" s="3" t="str">
        <f>"00814089"</f>
        <v>00814089</v>
      </c>
    </row>
    <row r="16911" spans="1:2" x14ac:dyDescent="0.25">
      <c r="A16911" s="2">
        <v>16906</v>
      </c>
      <c r="B16911" s="3" t="str">
        <f>"00814132"</f>
        <v>00814132</v>
      </c>
    </row>
    <row r="16912" spans="1:2" x14ac:dyDescent="0.25">
      <c r="A16912" s="2">
        <v>16907</v>
      </c>
      <c r="B16912" s="3" t="str">
        <f>"00814226"</f>
        <v>00814226</v>
      </c>
    </row>
    <row r="16913" spans="1:2" x14ac:dyDescent="0.25">
      <c r="A16913" s="2">
        <v>16908</v>
      </c>
      <c r="B16913" s="3" t="str">
        <f>"00814276"</f>
        <v>00814276</v>
      </c>
    </row>
    <row r="16914" spans="1:2" x14ac:dyDescent="0.25">
      <c r="A16914" s="2">
        <v>16909</v>
      </c>
      <c r="B16914" s="3" t="str">
        <f>"00814313"</f>
        <v>00814313</v>
      </c>
    </row>
    <row r="16915" spans="1:2" x14ac:dyDescent="0.25">
      <c r="A16915" s="2">
        <v>16910</v>
      </c>
      <c r="B16915" s="3" t="str">
        <f>"00814344"</f>
        <v>00814344</v>
      </c>
    </row>
    <row r="16916" spans="1:2" x14ac:dyDescent="0.25">
      <c r="A16916" s="2">
        <v>16911</v>
      </c>
      <c r="B16916" s="3" t="str">
        <f>"00814362"</f>
        <v>00814362</v>
      </c>
    </row>
    <row r="16917" spans="1:2" x14ac:dyDescent="0.25">
      <c r="A16917" s="2">
        <v>16912</v>
      </c>
      <c r="B16917" s="3" t="str">
        <f>"00814436"</f>
        <v>00814436</v>
      </c>
    </row>
    <row r="16918" spans="1:2" x14ac:dyDescent="0.25">
      <c r="A16918" s="2">
        <v>16913</v>
      </c>
      <c r="B16918" s="3" t="str">
        <f>"00814438"</f>
        <v>00814438</v>
      </c>
    </row>
    <row r="16919" spans="1:2" x14ac:dyDescent="0.25">
      <c r="A16919" s="2">
        <v>16914</v>
      </c>
      <c r="B16919" s="3" t="str">
        <f>"00814478"</f>
        <v>00814478</v>
      </c>
    </row>
    <row r="16920" spans="1:2" x14ac:dyDescent="0.25">
      <c r="A16920" s="2">
        <v>16915</v>
      </c>
      <c r="B16920" s="3" t="str">
        <f>"00814488"</f>
        <v>00814488</v>
      </c>
    </row>
    <row r="16921" spans="1:2" x14ac:dyDescent="0.25">
      <c r="A16921" s="2">
        <v>16916</v>
      </c>
      <c r="B16921" s="3" t="str">
        <f>"00814530"</f>
        <v>00814530</v>
      </c>
    </row>
    <row r="16922" spans="1:2" x14ac:dyDescent="0.25">
      <c r="A16922" s="2">
        <v>16917</v>
      </c>
      <c r="B16922" s="3" t="str">
        <f>"00814545"</f>
        <v>00814545</v>
      </c>
    </row>
    <row r="16923" spans="1:2" x14ac:dyDescent="0.25">
      <c r="A16923" s="2">
        <v>16918</v>
      </c>
      <c r="B16923" s="3" t="str">
        <f>"00814579"</f>
        <v>00814579</v>
      </c>
    </row>
    <row r="16924" spans="1:2" x14ac:dyDescent="0.25">
      <c r="A16924" s="2">
        <v>16919</v>
      </c>
      <c r="B16924" s="3" t="str">
        <f>"00814748"</f>
        <v>00814748</v>
      </c>
    </row>
    <row r="16925" spans="1:2" x14ac:dyDescent="0.25">
      <c r="A16925" s="2">
        <v>16920</v>
      </c>
      <c r="B16925" s="3" t="str">
        <f>"00814779"</f>
        <v>00814779</v>
      </c>
    </row>
    <row r="16926" spans="1:2" x14ac:dyDescent="0.25">
      <c r="A16926" s="2">
        <v>16921</v>
      </c>
      <c r="B16926" s="3" t="str">
        <f>"00814921"</f>
        <v>00814921</v>
      </c>
    </row>
    <row r="16927" spans="1:2" x14ac:dyDescent="0.25">
      <c r="A16927" s="2">
        <v>16922</v>
      </c>
      <c r="B16927" s="3" t="str">
        <f>"00814936"</f>
        <v>00814936</v>
      </c>
    </row>
    <row r="16928" spans="1:2" x14ac:dyDescent="0.25">
      <c r="A16928" s="2">
        <v>16923</v>
      </c>
      <c r="B16928" s="3" t="str">
        <f>"00814944"</f>
        <v>00814944</v>
      </c>
    </row>
    <row r="16929" spans="1:2" x14ac:dyDescent="0.25">
      <c r="A16929" s="2">
        <v>16924</v>
      </c>
      <c r="B16929" s="3" t="str">
        <f>"00814961"</f>
        <v>00814961</v>
      </c>
    </row>
    <row r="16930" spans="1:2" x14ac:dyDescent="0.25">
      <c r="A16930" s="2">
        <v>16925</v>
      </c>
      <c r="B16930" s="3" t="str">
        <f>"00815035"</f>
        <v>00815035</v>
      </c>
    </row>
    <row r="16931" spans="1:2" x14ac:dyDescent="0.25">
      <c r="A16931" s="2">
        <v>16926</v>
      </c>
      <c r="B16931" s="3" t="str">
        <f>"00815081"</f>
        <v>00815081</v>
      </c>
    </row>
    <row r="16932" spans="1:2" x14ac:dyDescent="0.25">
      <c r="A16932" s="2">
        <v>16927</v>
      </c>
      <c r="B16932" s="3" t="str">
        <f>"00815131"</f>
        <v>00815131</v>
      </c>
    </row>
    <row r="16933" spans="1:2" x14ac:dyDescent="0.25">
      <c r="A16933" s="2">
        <v>16928</v>
      </c>
      <c r="B16933" s="3" t="str">
        <f>"00815160"</f>
        <v>00815160</v>
      </c>
    </row>
    <row r="16934" spans="1:2" x14ac:dyDescent="0.25">
      <c r="A16934" s="2">
        <v>16929</v>
      </c>
      <c r="B16934" s="3" t="str">
        <f>"00815181"</f>
        <v>00815181</v>
      </c>
    </row>
    <row r="16935" spans="1:2" x14ac:dyDescent="0.25">
      <c r="A16935" s="2">
        <v>16930</v>
      </c>
      <c r="B16935" s="3" t="str">
        <f>"00815193"</f>
        <v>00815193</v>
      </c>
    </row>
    <row r="16936" spans="1:2" x14ac:dyDescent="0.25">
      <c r="A16936" s="2">
        <v>16931</v>
      </c>
      <c r="B16936" s="3" t="str">
        <f>"00815228"</f>
        <v>00815228</v>
      </c>
    </row>
    <row r="16937" spans="1:2" x14ac:dyDescent="0.25">
      <c r="A16937" s="2">
        <v>16932</v>
      </c>
      <c r="B16937" s="3" t="str">
        <f>"00815249"</f>
        <v>00815249</v>
      </c>
    </row>
    <row r="16938" spans="1:2" x14ac:dyDescent="0.25">
      <c r="A16938" s="2">
        <v>16933</v>
      </c>
      <c r="B16938" s="3" t="str">
        <f>"00815263"</f>
        <v>00815263</v>
      </c>
    </row>
    <row r="16939" spans="1:2" x14ac:dyDescent="0.25">
      <c r="A16939" s="2">
        <v>16934</v>
      </c>
      <c r="B16939" s="3" t="str">
        <f>"00815285"</f>
        <v>00815285</v>
      </c>
    </row>
    <row r="16940" spans="1:2" x14ac:dyDescent="0.25">
      <c r="A16940" s="2">
        <v>16935</v>
      </c>
      <c r="B16940" s="3" t="str">
        <f>"00815381"</f>
        <v>00815381</v>
      </c>
    </row>
    <row r="16941" spans="1:2" x14ac:dyDescent="0.25">
      <c r="A16941" s="2">
        <v>16936</v>
      </c>
      <c r="B16941" s="3" t="str">
        <f>"00815382"</f>
        <v>00815382</v>
      </c>
    </row>
    <row r="16942" spans="1:2" x14ac:dyDescent="0.25">
      <c r="A16942" s="2">
        <v>16937</v>
      </c>
      <c r="B16942" s="3" t="str">
        <f>"00815466"</f>
        <v>00815466</v>
      </c>
    </row>
    <row r="16943" spans="1:2" x14ac:dyDescent="0.25">
      <c r="A16943" s="2">
        <v>16938</v>
      </c>
      <c r="B16943" s="3" t="str">
        <f>"00815474"</f>
        <v>00815474</v>
      </c>
    </row>
    <row r="16944" spans="1:2" x14ac:dyDescent="0.25">
      <c r="A16944" s="2">
        <v>16939</v>
      </c>
      <c r="B16944" s="3" t="str">
        <f>"00815537"</f>
        <v>00815537</v>
      </c>
    </row>
    <row r="16945" spans="1:2" x14ac:dyDescent="0.25">
      <c r="A16945" s="2">
        <v>16940</v>
      </c>
      <c r="B16945" s="3" t="str">
        <f>"00815558"</f>
        <v>00815558</v>
      </c>
    </row>
    <row r="16946" spans="1:2" x14ac:dyDescent="0.25">
      <c r="A16946" s="2">
        <v>16941</v>
      </c>
      <c r="B16946" s="3" t="str">
        <f>"00815608"</f>
        <v>00815608</v>
      </c>
    </row>
    <row r="16947" spans="1:2" x14ac:dyDescent="0.25">
      <c r="A16947" s="2">
        <v>16942</v>
      </c>
      <c r="B16947" s="3" t="str">
        <f>"00815687"</f>
        <v>00815687</v>
      </c>
    </row>
    <row r="16948" spans="1:2" x14ac:dyDescent="0.25">
      <c r="A16948" s="2">
        <v>16943</v>
      </c>
      <c r="B16948" s="3" t="str">
        <f>"00815698"</f>
        <v>00815698</v>
      </c>
    </row>
    <row r="16949" spans="1:2" x14ac:dyDescent="0.25">
      <c r="A16949" s="2">
        <v>16944</v>
      </c>
      <c r="B16949" s="3" t="str">
        <f>"00815816"</f>
        <v>00815816</v>
      </c>
    </row>
    <row r="16950" spans="1:2" x14ac:dyDescent="0.25">
      <c r="A16950" s="2">
        <v>16945</v>
      </c>
      <c r="B16950" s="3" t="str">
        <f>"00815842"</f>
        <v>00815842</v>
      </c>
    </row>
    <row r="16951" spans="1:2" x14ac:dyDescent="0.25">
      <c r="A16951" s="2">
        <v>16946</v>
      </c>
      <c r="B16951" s="3" t="str">
        <f>"00815895"</f>
        <v>00815895</v>
      </c>
    </row>
    <row r="16952" spans="1:2" x14ac:dyDescent="0.25">
      <c r="A16952" s="2">
        <v>16947</v>
      </c>
      <c r="B16952" s="3" t="str">
        <f>"00815942"</f>
        <v>00815942</v>
      </c>
    </row>
    <row r="16953" spans="1:2" x14ac:dyDescent="0.25">
      <c r="A16953" s="2">
        <v>16948</v>
      </c>
      <c r="B16953" s="3" t="str">
        <f>"00815970"</f>
        <v>00815970</v>
      </c>
    </row>
    <row r="16954" spans="1:2" x14ac:dyDescent="0.25">
      <c r="A16954" s="2">
        <v>16949</v>
      </c>
      <c r="B16954" s="3" t="str">
        <f>"00815978"</f>
        <v>00815978</v>
      </c>
    </row>
    <row r="16955" spans="1:2" x14ac:dyDescent="0.25">
      <c r="A16955" s="2">
        <v>16950</v>
      </c>
      <c r="B16955" s="3" t="str">
        <f>"00816075"</f>
        <v>00816075</v>
      </c>
    </row>
    <row r="16956" spans="1:2" x14ac:dyDescent="0.25">
      <c r="A16956" s="2">
        <v>16951</v>
      </c>
      <c r="B16956" s="3" t="str">
        <f>"00816106"</f>
        <v>00816106</v>
      </c>
    </row>
    <row r="16957" spans="1:2" x14ac:dyDescent="0.25">
      <c r="A16957" s="2">
        <v>16952</v>
      </c>
      <c r="B16957" s="3" t="str">
        <f>"00816181"</f>
        <v>00816181</v>
      </c>
    </row>
    <row r="16958" spans="1:2" x14ac:dyDescent="0.25">
      <c r="A16958" s="2">
        <v>16953</v>
      </c>
      <c r="B16958" s="3" t="str">
        <f>"00816232"</f>
        <v>00816232</v>
      </c>
    </row>
    <row r="16959" spans="1:2" x14ac:dyDescent="0.25">
      <c r="A16959" s="2">
        <v>16954</v>
      </c>
      <c r="B16959" s="3" t="str">
        <f>"00816237"</f>
        <v>00816237</v>
      </c>
    </row>
    <row r="16960" spans="1:2" x14ac:dyDescent="0.25">
      <c r="A16960" s="2">
        <v>16955</v>
      </c>
      <c r="B16960" s="3" t="str">
        <f>"00816277"</f>
        <v>00816277</v>
      </c>
    </row>
    <row r="16961" spans="1:2" x14ac:dyDescent="0.25">
      <c r="A16961" s="2">
        <v>16956</v>
      </c>
      <c r="B16961" s="3" t="str">
        <f>"00816362"</f>
        <v>00816362</v>
      </c>
    </row>
    <row r="16962" spans="1:2" x14ac:dyDescent="0.25">
      <c r="A16962" s="2">
        <v>16957</v>
      </c>
      <c r="B16962" s="3" t="str">
        <f>"00816363"</f>
        <v>00816363</v>
      </c>
    </row>
    <row r="16963" spans="1:2" x14ac:dyDescent="0.25">
      <c r="A16963" s="2">
        <v>16958</v>
      </c>
      <c r="B16963" s="3" t="str">
        <f>"00816395"</f>
        <v>00816395</v>
      </c>
    </row>
    <row r="16964" spans="1:2" x14ac:dyDescent="0.25">
      <c r="A16964" s="2">
        <v>16959</v>
      </c>
      <c r="B16964" s="3" t="str">
        <f>"00816409"</f>
        <v>00816409</v>
      </c>
    </row>
    <row r="16965" spans="1:2" x14ac:dyDescent="0.25">
      <c r="A16965" s="2">
        <v>16960</v>
      </c>
      <c r="B16965" s="3" t="str">
        <f>"00816456"</f>
        <v>00816456</v>
      </c>
    </row>
    <row r="16966" spans="1:2" x14ac:dyDescent="0.25">
      <c r="A16966" s="2">
        <v>16961</v>
      </c>
      <c r="B16966" s="3" t="str">
        <f>"00816510"</f>
        <v>00816510</v>
      </c>
    </row>
    <row r="16967" spans="1:2" x14ac:dyDescent="0.25">
      <c r="A16967" s="2">
        <v>16962</v>
      </c>
      <c r="B16967" s="3" t="str">
        <f>"00816561"</f>
        <v>00816561</v>
      </c>
    </row>
    <row r="16968" spans="1:2" x14ac:dyDescent="0.25">
      <c r="A16968" s="2">
        <v>16963</v>
      </c>
      <c r="B16968" s="3" t="str">
        <f>"00816568"</f>
        <v>00816568</v>
      </c>
    </row>
    <row r="16969" spans="1:2" x14ac:dyDescent="0.25">
      <c r="A16969" s="2">
        <v>16964</v>
      </c>
      <c r="B16969" s="3" t="str">
        <f>"00816590"</f>
        <v>00816590</v>
      </c>
    </row>
    <row r="16970" spans="1:2" x14ac:dyDescent="0.25">
      <c r="A16970" s="2">
        <v>16965</v>
      </c>
      <c r="B16970" s="3" t="str">
        <f>"00816616"</f>
        <v>00816616</v>
      </c>
    </row>
    <row r="16971" spans="1:2" x14ac:dyDescent="0.25">
      <c r="A16971" s="2">
        <v>16966</v>
      </c>
      <c r="B16971" s="3" t="str">
        <f>"00816656"</f>
        <v>00816656</v>
      </c>
    </row>
    <row r="16972" spans="1:2" x14ac:dyDescent="0.25">
      <c r="A16972" s="2">
        <v>16967</v>
      </c>
      <c r="B16972" s="3" t="str">
        <f>"00816673"</f>
        <v>00816673</v>
      </c>
    </row>
    <row r="16973" spans="1:2" x14ac:dyDescent="0.25">
      <c r="A16973" s="2">
        <v>16968</v>
      </c>
      <c r="B16973" s="3" t="str">
        <f>"00816736"</f>
        <v>00816736</v>
      </c>
    </row>
    <row r="16974" spans="1:2" x14ac:dyDescent="0.25">
      <c r="A16974" s="2">
        <v>16969</v>
      </c>
      <c r="B16974" s="3" t="str">
        <f>"00816909"</f>
        <v>00816909</v>
      </c>
    </row>
    <row r="16975" spans="1:2" x14ac:dyDescent="0.25">
      <c r="A16975" s="2">
        <v>16970</v>
      </c>
      <c r="B16975" s="3" t="str">
        <f>"00816911"</f>
        <v>00816911</v>
      </c>
    </row>
    <row r="16976" spans="1:2" x14ac:dyDescent="0.25">
      <c r="A16976" s="2">
        <v>16971</v>
      </c>
      <c r="B16976" s="3" t="str">
        <f>"00816918"</f>
        <v>00816918</v>
      </c>
    </row>
    <row r="16977" spans="1:2" x14ac:dyDescent="0.25">
      <c r="A16977" s="2">
        <v>16972</v>
      </c>
      <c r="B16977" s="3" t="str">
        <f>"00816920"</f>
        <v>00816920</v>
      </c>
    </row>
    <row r="16978" spans="1:2" x14ac:dyDescent="0.25">
      <c r="A16978" s="2">
        <v>16973</v>
      </c>
      <c r="B16978" s="3" t="str">
        <f>"00816931"</f>
        <v>00816931</v>
      </c>
    </row>
    <row r="16979" spans="1:2" x14ac:dyDescent="0.25">
      <c r="A16979" s="2">
        <v>16974</v>
      </c>
      <c r="B16979" s="3" t="str">
        <f>"00816940"</f>
        <v>00816940</v>
      </c>
    </row>
    <row r="16980" spans="1:2" x14ac:dyDescent="0.25">
      <c r="A16980" s="2">
        <v>16975</v>
      </c>
      <c r="B16980" s="3" t="str">
        <f>"00816970"</f>
        <v>00816970</v>
      </c>
    </row>
    <row r="16981" spans="1:2" x14ac:dyDescent="0.25">
      <c r="A16981" s="2">
        <v>16976</v>
      </c>
      <c r="B16981" s="3" t="str">
        <f>"00817050"</f>
        <v>00817050</v>
      </c>
    </row>
    <row r="16982" spans="1:2" x14ac:dyDescent="0.25">
      <c r="A16982" s="2">
        <v>16977</v>
      </c>
      <c r="B16982" s="3" t="str">
        <f>"00817065"</f>
        <v>00817065</v>
      </c>
    </row>
    <row r="16983" spans="1:2" x14ac:dyDescent="0.25">
      <c r="A16983" s="2">
        <v>16978</v>
      </c>
      <c r="B16983" s="3" t="str">
        <f>"00817075"</f>
        <v>00817075</v>
      </c>
    </row>
    <row r="16984" spans="1:2" x14ac:dyDescent="0.25">
      <c r="A16984" s="2">
        <v>16979</v>
      </c>
      <c r="B16984" s="3" t="str">
        <f>"00817089"</f>
        <v>00817089</v>
      </c>
    </row>
    <row r="16985" spans="1:2" x14ac:dyDescent="0.25">
      <c r="A16985" s="2">
        <v>16980</v>
      </c>
      <c r="B16985" s="3" t="str">
        <f>"00817097"</f>
        <v>00817097</v>
      </c>
    </row>
    <row r="16986" spans="1:2" x14ac:dyDescent="0.25">
      <c r="A16986" s="2">
        <v>16981</v>
      </c>
      <c r="B16986" s="3" t="str">
        <f>"00817159"</f>
        <v>00817159</v>
      </c>
    </row>
    <row r="16987" spans="1:2" x14ac:dyDescent="0.25">
      <c r="A16987" s="2">
        <v>16982</v>
      </c>
      <c r="B16987" s="3" t="str">
        <f>"00817160"</f>
        <v>00817160</v>
      </c>
    </row>
    <row r="16988" spans="1:2" x14ac:dyDescent="0.25">
      <c r="A16988" s="2">
        <v>16983</v>
      </c>
      <c r="B16988" s="3" t="str">
        <f>"00817174"</f>
        <v>00817174</v>
      </c>
    </row>
    <row r="16989" spans="1:2" x14ac:dyDescent="0.25">
      <c r="A16989" s="2">
        <v>16984</v>
      </c>
      <c r="B16989" s="3" t="str">
        <f>"00817195"</f>
        <v>00817195</v>
      </c>
    </row>
    <row r="16990" spans="1:2" x14ac:dyDescent="0.25">
      <c r="A16990" s="2">
        <v>16985</v>
      </c>
      <c r="B16990" s="3" t="str">
        <f>"00817242"</f>
        <v>00817242</v>
      </c>
    </row>
    <row r="16991" spans="1:2" x14ac:dyDescent="0.25">
      <c r="A16991" s="2">
        <v>16986</v>
      </c>
      <c r="B16991" s="3" t="str">
        <f>"00817275"</f>
        <v>00817275</v>
      </c>
    </row>
    <row r="16992" spans="1:2" x14ac:dyDescent="0.25">
      <c r="A16992" s="2">
        <v>16987</v>
      </c>
      <c r="B16992" s="3" t="str">
        <f>"00817290"</f>
        <v>00817290</v>
      </c>
    </row>
    <row r="16993" spans="1:2" x14ac:dyDescent="0.25">
      <c r="A16993" s="2">
        <v>16988</v>
      </c>
      <c r="B16993" s="3" t="str">
        <f>"00817381"</f>
        <v>00817381</v>
      </c>
    </row>
    <row r="16994" spans="1:2" x14ac:dyDescent="0.25">
      <c r="A16994" s="2">
        <v>16989</v>
      </c>
      <c r="B16994" s="3" t="str">
        <f>"00817429"</f>
        <v>00817429</v>
      </c>
    </row>
    <row r="16995" spans="1:2" x14ac:dyDescent="0.25">
      <c r="A16995" s="2">
        <v>16990</v>
      </c>
      <c r="B16995" s="3" t="str">
        <f>"00817474"</f>
        <v>00817474</v>
      </c>
    </row>
    <row r="16996" spans="1:2" x14ac:dyDescent="0.25">
      <c r="A16996" s="2">
        <v>16991</v>
      </c>
      <c r="B16996" s="3" t="str">
        <f>"00817539"</f>
        <v>00817539</v>
      </c>
    </row>
    <row r="16997" spans="1:2" x14ac:dyDescent="0.25">
      <c r="A16997" s="2">
        <v>16992</v>
      </c>
      <c r="B16997" s="3" t="str">
        <f>"00817550"</f>
        <v>00817550</v>
      </c>
    </row>
    <row r="16998" spans="1:2" x14ac:dyDescent="0.25">
      <c r="A16998" s="2">
        <v>16993</v>
      </c>
      <c r="B16998" s="3" t="str">
        <f>"00817553"</f>
        <v>00817553</v>
      </c>
    </row>
    <row r="16999" spans="1:2" x14ac:dyDescent="0.25">
      <c r="A16999" s="2">
        <v>16994</v>
      </c>
      <c r="B16999" s="3" t="str">
        <f>"00817560"</f>
        <v>00817560</v>
      </c>
    </row>
    <row r="17000" spans="1:2" x14ac:dyDescent="0.25">
      <c r="A17000" s="2">
        <v>16995</v>
      </c>
      <c r="B17000" s="3" t="str">
        <f>"00817619"</f>
        <v>00817619</v>
      </c>
    </row>
    <row r="17001" spans="1:2" x14ac:dyDescent="0.25">
      <c r="A17001" s="2">
        <v>16996</v>
      </c>
      <c r="B17001" s="3" t="str">
        <f>"00817706"</f>
        <v>00817706</v>
      </c>
    </row>
    <row r="17002" spans="1:2" x14ac:dyDescent="0.25">
      <c r="A17002" s="2">
        <v>16997</v>
      </c>
      <c r="B17002" s="3" t="str">
        <f>"00817711"</f>
        <v>00817711</v>
      </c>
    </row>
    <row r="17003" spans="1:2" x14ac:dyDescent="0.25">
      <c r="A17003" s="2">
        <v>16998</v>
      </c>
      <c r="B17003" s="3" t="str">
        <f>"00817716"</f>
        <v>00817716</v>
      </c>
    </row>
    <row r="17004" spans="1:2" x14ac:dyDescent="0.25">
      <c r="A17004" s="2">
        <v>16999</v>
      </c>
      <c r="B17004" s="3" t="str">
        <f>"00817805"</f>
        <v>00817805</v>
      </c>
    </row>
    <row r="17005" spans="1:2" x14ac:dyDescent="0.25">
      <c r="A17005" s="2">
        <v>17000</v>
      </c>
      <c r="B17005" s="3" t="str">
        <f>"00817855"</f>
        <v>00817855</v>
      </c>
    </row>
    <row r="17006" spans="1:2" x14ac:dyDescent="0.25">
      <c r="A17006" s="2">
        <v>17001</v>
      </c>
      <c r="B17006" s="3" t="str">
        <f>"00817891"</f>
        <v>00817891</v>
      </c>
    </row>
    <row r="17007" spans="1:2" x14ac:dyDescent="0.25">
      <c r="A17007" s="2">
        <v>17002</v>
      </c>
      <c r="B17007" s="3" t="str">
        <f>"00818002"</f>
        <v>00818002</v>
      </c>
    </row>
    <row r="17008" spans="1:2" x14ac:dyDescent="0.25">
      <c r="A17008" s="2">
        <v>17003</v>
      </c>
      <c r="B17008" s="3" t="str">
        <f>"00818162"</f>
        <v>00818162</v>
      </c>
    </row>
    <row r="17009" spans="1:2" x14ac:dyDescent="0.25">
      <c r="A17009" s="2">
        <v>17004</v>
      </c>
      <c r="B17009" s="3" t="str">
        <f>"00818176"</f>
        <v>00818176</v>
      </c>
    </row>
    <row r="17010" spans="1:2" x14ac:dyDescent="0.25">
      <c r="A17010" s="2">
        <v>17005</v>
      </c>
      <c r="B17010" s="3" t="str">
        <f>"00818246"</f>
        <v>00818246</v>
      </c>
    </row>
    <row r="17011" spans="1:2" x14ac:dyDescent="0.25">
      <c r="A17011" s="2">
        <v>17006</v>
      </c>
      <c r="B17011" s="3" t="str">
        <f>"00818302"</f>
        <v>00818302</v>
      </c>
    </row>
    <row r="17012" spans="1:2" x14ac:dyDescent="0.25">
      <c r="A17012" s="2">
        <v>17007</v>
      </c>
      <c r="B17012" s="3" t="str">
        <f>"00818312"</f>
        <v>00818312</v>
      </c>
    </row>
    <row r="17013" spans="1:2" x14ac:dyDescent="0.25">
      <c r="A17013" s="2">
        <v>17008</v>
      </c>
      <c r="B17013" s="3" t="str">
        <f>"00818356"</f>
        <v>00818356</v>
      </c>
    </row>
    <row r="17014" spans="1:2" x14ac:dyDescent="0.25">
      <c r="A17014" s="2">
        <v>17009</v>
      </c>
      <c r="B17014" s="3" t="str">
        <f>"00818385"</f>
        <v>00818385</v>
      </c>
    </row>
    <row r="17015" spans="1:2" x14ac:dyDescent="0.25">
      <c r="A17015" s="2">
        <v>17010</v>
      </c>
      <c r="B17015" s="3" t="str">
        <f>"00818403"</f>
        <v>00818403</v>
      </c>
    </row>
    <row r="17016" spans="1:2" x14ac:dyDescent="0.25">
      <c r="A17016" s="2">
        <v>17011</v>
      </c>
      <c r="B17016" s="3" t="str">
        <f>"00818537"</f>
        <v>00818537</v>
      </c>
    </row>
    <row r="17017" spans="1:2" x14ac:dyDescent="0.25">
      <c r="A17017" s="2">
        <v>17012</v>
      </c>
      <c r="B17017" s="3" t="str">
        <f>"00818546"</f>
        <v>00818546</v>
      </c>
    </row>
    <row r="17018" spans="1:2" x14ac:dyDescent="0.25">
      <c r="A17018" s="2">
        <v>17013</v>
      </c>
      <c r="B17018" s="3" t="str">
        <f>"00818556"</f>
        <v>00818556</v>
      </c>
    </row>
    <row r="17019" spans="1:2" x14ac:dyDescent="0.25">
      <c r="A17019" s="2">
        <v>17014</v>
      </c>
      <c r="B17019" s="3" t="str">
        <f>"00818655"</f>
        <v>00818655</v>
      </c>
    </row>
    <row r="17020" spans="1:2" x14ac:dyDescent="0.25">
      <c r="A17020" s="2">
        <v>17015</v>
      </c>
      <c r="B17020" s="3" t="str">
        <f>"00818676"</f>
        <v>00818676</v>
      </c>
    </row>
    <row r="17021" spans="1:2" x14ac:dyDescent="0.25">
      <c r="A17021" s="2">
        <v>17016</v>
      </c>
      <c r="B17021" s="3" t="str">
        <f>"00818710"</f>
        <v>00818710</v>
      </c>
    </row>
    <row r="17022" spans="1:2" x14ac:dyDescent="0.25">
      <c r="A17022" s="2">
        <v>17017</v>
      </c>
      <c r="B17022" s="3" t="str">
        <f>"00818738"</f>
        <v>00818738</v>
      </c>
    </row>
    <row r="17023" spans="1:2" x14ac:dyDescent="0.25">
      <c r="A17023" s="2">
        <v>17018</v>
      </c>
      <c r="B17023" s="3" t="str">
        <f>"00818758"</f>
        <v>00818758</v>
      </c>
    </row>
    <row r="17024" spans="1:2" x14ac:dyDescent="0.25">
      <c r="A17024" s="2">
        <v>17019</v>
      </c>
      <c r="B17024" s="3" t="str">
        <f>"00818975"</f>
        <v>00818975</v>
      </c>
    </row>
    <row r="17025" spans="1:2" x14ac:dyDescent="0.25">
      <c r="A17025" s="2">
        <v>17020</v>
      </c>
      <c r="B17025" s="3" t="str">
        <f>"00819121"</f>
        <v>00819121</v>
      </c>
    </row>
    <row r="17026" spans="1:2" x14ac:dyDescent="0.25">
      <c r="A17026" s="2">
        <v>17021</v>
      </c>
      <c r="B17026" s="3" t="str">
        <f>"00819182"</f>
        <v>00819182</v>
      </c>
    </row>
    <row r="17027" spans="1:2" x14ac:dyDescent="0.25">
      <c r="A17027" s="2">
        <v>17022</v>
      </c>
      <c r="B17027" s="3" t="str">
        <f>"00819213"</f>
        <v>00819213</v>
      </c>
    </row>
    <row r="17028" spans="1:2" x14ac:dyDescent="0.25">
      <c r="A17028" s="2">
        <v>17023</v>
      </c>
      <c r="B17028" s="3" t="str">
        <f>"00819217"</f>
        <v>00819217</v>
      </c>
    </row>
    <row r="17029" spans="1:2" x14ac:dyDescent="0.25">
      <c r="A17029" s="2">
        <v>17024</v>
      </c>
      <c r="B17029" s="3" t="str">
        <f>"00819236"</f>
        <v>00819236</v>
      </c>
    </row>
    <row r="17030" spans="1:2" x14ac:dyDescent="0.25">
      <c r="A17030" s="2">
        <v>17025</v>
      </c>
      <c r="B17030" s="3" t="str">
        <f>"00819285"</f>
        <v>00819285</v>
      </c>
    </row>
    <row r="17031" spans="1:2" x14ac:dyDescent="0.25">
      <c r="A17031" s="2">
        <v>17026</v>
      </c>
      <c r="B17031" s="3" t="str">
        <f>"00819304"</f>
        <v>00819304</v>
      </c>
    </row>
    <row r="17032" spans="1:2" x14ac:dyDescent="0.25">
      <c r="A17032" s="2">
        <v>17027</v>
      </c>
      <c r="B17032" s="3" t="str">
        <f>"00819309"</f>
        <v>00819309</v>
      </c>
    </row>
    <row r="17033" spans="1:2" x14ac:dyDescent="0.25">
      <c r="A17033" s="2">
        <v>17028</v>
      </c>
      <c r="B17033" s="3" t="str">
        <f>"00819334"</f>
        <v>00819334</v>
      </c>
    </row>
    <row r="17034" spans="1:2" x14ac:dyDescent="0.25">
      <c r="A17034" s="2">
        <v>17029</v>
      </c>
      <c r="B17034" s="3" t="str">
        <f>"00819434"</f>
        <v>00819434</v>
      </c>
    </row>
    <row r="17035" spans="1:2" x14ac:dyDescent="0.25">
      <c r="A17035" s="2">
        <v>17030</v>
      </c>
      <c r="B17035" s="3" t="str">
        <f>"00819440"</f>
        <v>00819440</v>
      </c>
    </row>
    <row r="17036" spans="1:2" x14ac:dyDescent="0.25">
      <c r="A17036" s="2">
        <v>17031</v>
      </c>
      <c r="B17036" s="3" t="str">
        <f>"00819469"</f>
        <v>00819469</v>
      </c>
    </row>
    <row r="17037" spans="1:2" x14ac:dyDescent="0.25">
      <c r="A17037" s="2">
        <v>17032</v>
      </c>
      <c r="B17037" s="3" t="str">
        <f>"00819543"</f>
        <v>00819543</v>
      </c>
    </row>
    <row r="17038" spans="1:2" x14ac:dyDescent="0.25">
      <c r="A17038" s="2">
        <v>17033</v>
      </c>
      <c r="B17038" s="3" t="str">
        <f>"00819587"</f>
        <v>00819587</v>
      </c>
    </row>
    <row r="17039" spans="1:2" x14ac:dyDescent="0.25">
      <c r="A17039" s="2">
        <v>17034</v>
      </c>
      <c r="B17039" s="3" t="str">
        <f>"00819601"</f>
        <v>00819601</v>
      </c>
    </row>
    <row r="17040" spans="1:2" x14ac:dyDescent="0.25">
      <c r="A17040" s="2">
        <v>17035</v>
      </c>
      <c r="B17040" s="3" t="str">
        <f>"00819694"</f>
        <v>00819694</v>
      </c>
    </row>
    <row r="17041" spans="1:2" x14ac:dyDescent="0.25">
      <c r="A17041" s="2">
        <v>17036</v>
      </c>
      <c r="B17041" s="3" t="str">
        <f>"00819699"</f>
        <v>00819699</v>
      </c>
    </row>
    <row r="17042" spans="1:2" x14ac:dyDescent="0.25">
      <c r="A17042" s="2">
        <v>17037</v>
      </c>
      <c r="B17042" s="3" t="str">
        <f>"00819763"</f>
        <v>00819763</v>
      </c>
    </row>
    <row r="17043" spans="1:2" x14ac:dyDescent="0.25">
      <c r="A17043" s="2">
        <v>17038</v>
      </c>
      <c r="B17043" s="3" t="str">
        <f>"00819805"</f>
        <v>00819805</v>
      </c>
    </row>
    <row r="17044" spans="1:2" x14ac:dyDescent="0.25">
      <c r="A17044" s="2">
        <v>17039</v>
      </c>
      <c r="B17044" s="3" t="str">
        <f>"00819812"</f>
        <v>00819812</v>
      </c>
    </row>
    <row r="17045" spans="1:2" x14ac:dyDescent="0.25">
      <c r="A17045" s="2">
        <v>17040</v>
      </c>
      <c r="B17045" s="3" t="str">
        <f>"00819898"</f>
        <v>00819898</v>
      </c>
    </row>
    <row r="17046" spans="1:2" x14ac:dyDescent="0.25">
      <c r="A17046" s="2">
        <v>17041</v>
      </c>
      <c r="B17046" s="3" t="str">
        <f>"00819915"</f>
        <v>00819915</v>
      </c>
    </row>
    <row r="17047" spans="1:2" x14ac:dyDescent="0.25">
      <c r="A17047" s="2">
        <v>17042</v>
      </c>
      <c r="B17047" s="3" t="str">
        <f>"00819971"</f>
        <v>00819971</v>
      </c>
    </row>
    <row r="17048" spans="1:2" x14ac:dyDescent="0.25">
      <c r="A17048" s="2">
        <v>17043</v>
      </c>
      <c r="B17048" s="3" t="str">
        <f>"00819980"</f>
        <v>00819980</v>
      </c>
    </row>
    <row r="17049" spans="1:2" x14ac:dyDescent="0.25">
      <c r="A17049" s="2">
        <v>17044</v>
      </c>
      <c r="B17049" s="3" t="str">
        <f>"00819989"</f>
        <v>00819989</v>
      </c>
    </row>
    <row r="17050" spans="1:2" x14ac:dyDescent="0.25">
      <c r="A17050" s="2">
        <v>17045</v>
      </c>
      <c r="B17050" s="3" t="str">
        <f>"00820007"</f>
        <v>00820007</v>
      </c>
    </row>
    <row r="17051" spans="1:2" x14ac:dyDescent="0.25">
      <c r="A17051" s="2">
        <v>17046</v>
      </c>
      <c r="B17051" s="3" t="str">
        <f>"00820050"</f>
        <v>00820050</v>
      </c>
    </row>
    <row r="17052" spans="1:2" x14ac:dyDescent="0.25">
      <c r="A17052" s="2">
        <v>17047</v>
      </c>
      <c r="B17052" s="3" t="str">
        <f>"00820128"</f>
        <v>00820128</v>
      </c>
    </row>
    <row r="17053" spans="1:2" x14ac:dyDescent="0.25">
      <c r="A17053" s="2">
        <v>17048</v>
      </c>
      <c r="B17053" s="3" t="str">
        <f>"00820146"</f>
        <v>00820146</v>
      </c>
    </row>
    <row r="17054" spans="1:2" x14ac:dyDescent="0.25">
      <c r="A17054" s="2">
        <v>17049</v>
      </c>
      <c r="B17054" s="3" t="str">
        <f>"00820167"</f>
        <v>00820167</v>
      </c>
    </row>
    <row r="17055" spans="1:2" x14ac:dyDescent="0.25">
      <c r="A17055" s="2">
        <v>17050</v>
      </c>
      <c r="B17055" s="3" t="str">
        <f>"00820202"</f>
        <v>00820202</v>
      </c>
    </row>
    <row r="17056" spans="1:2" x14ac:dyDescent="0.25">
      <c r="A17056" s="2">
        <v>17051</v>
      </c>
      <c r="B17056" s="3" t="str">
        <f>"00820225"</f>
        <v>00820225</v>
      </c>
    </row>
    <row r="17057" spans="1:2" x14ac:dyDescent="0.25">
      <c r="A17057" s="2">
        <v>17052</v>
      </c>
      <c r="B17057" s="3" t="str">
        <f>"00820273"</f>
        <v>00820273</v>
      </c>
    </row>
    <row r="17058" spans="1:2" x14ac:dyDescent="0.25">
      <c r="A17058" s="2">
        <v>17053</v>
      </c>
      <c r="B17058" s="3" t="str">
        <f>"00820324"</f>
        <v>00820324</v>
      </c>
    </row>
    <row r="17059" spans="1:2" x14ac:dyDescent="0.25">
      <c r="A17059" s="2">
        <v>17054</v>
      </c>
      <c r="B17059" s="3" t="str">
        <f>"00820347"</f>
        <v>00820347</v>
      </c>
    </row>
    <row r="17060" spans="1:2" x14ac:dyDescent="0.25">
      <c r="A17060" s="2">
        <v>17055</v>
      </c>
      <c r="B17060" s="3" t="str">
        <f>"00820376"</f>
        <v>00820376</v>
      </c>
    </row>
    <row r="17061" spans="1:2" x14ac:dyDescent="0.25">
      <c r="A17061" s="2">
        <v>17056</v>
      </c>
      <c r="B17061" s="3" t="str">
        <f>"00820422"</f>
        <v>00820422</v>
      </c>
    </row>
    <row r="17062" spans="1:2" x14ac:dyDescent="0.25">
      <c r="A17062" s="2">
        <v>17057</v>
      </c>
      <c r="B17062" s="3" t="str">
        <f>"00820447"</f>
        <v>00820447</v>
      </c>
    </row>
    <row r="17063" spans="1:2" x14ac:dyDescent="0.25">
      <c r="A17063" s="2">
        <v>17058</v>
      </c>
      <c r="B17063" s="3" t="str">
        <f>"00820499"</f>
        <v>00820499</v>
      </c>
    </row>
    <row r="17064" spans="1:2" x14ac:dyDescent="0.25">
      <c r="A17064" s="2">
        <v>17059</v>
      </c>
      <c r="B17064" s="3" t="str">
        <f>"00820511"</f>
        <v>00820511</v>
      </c>
    </row>
    <row r="17065" spans="1:2" x14ac:dyDescent="0.25">
      <c r="A17065" s="2">
        <v>17060</v>
      </c>
      <c r="B17065" s="3" t="str">
        <f>"00820561"</f>
        <v>00820561</v>
      </c>
    </row>
    <row r="17066" spans="1:2" x14ac:dyDescent="0.25">
      <c r="A17066" s="2">
        <v>17061</v>
      </c>
      <c r="B17066" s="3" t="str">
        <f>"00820576"</f>
        <v>00820576</v>
      </c>
    </row>
    <row r="17067" spans="1:2" x14ac:dyDescent="0.25">
      <c r="A17067" s="2">
        <v>17062</v>
      </c>
      <c r="B17067" s="3" t="str">
        <f>"00820618"</f>
        <v>00820618</v>
      </c>
    </row>
    <row r="17068" spans="1:2" x14ac:dyDescent="0.25">
      <c r="A17068" s="2">
        <v>17063</v>
      </c>
      <c r="B17068" s="3" t="str">
        <f>"00820663"</f>
        <v>00820663</v>
      </c>
    </row>
    <row r="17069" spans="1:2" x14ac:dyDescent="0.25">
      <c r="A17069" s="2">
        <v>17064</v>
      </c>
      <c r="B17069" s="3" t="str">
        <f>"00820789"</f>
        <v>00820789</v>
      </c>
    </row>
    <row r="17070" spans="1:2" x14ac:dyDescent="0.25">
      <c r="A17070" s="2">
        <v>17065</v>
      </c>
      <c r="B17070" s="3" t="str">
        <f>"00820845"</f>
        <v>00820845</v>
      </c>
    </row>
    <row r="17071" spans="1:2" x14ac:dyDescent="0.25">
      <c r="A17071" s="2">
        <v>17066</v>
      </c>
      <c r="B17071" s="3" t="str">
        <f>"00820867"</f>
        <v>00820867</v>
      </c>
    </row>
    <row r="17072" spans="1:2" x14ac:dyDescent="0.25">
      <c r="A17072" s="2">
        <v>17067</v>
      </c>
      <c r="B17072" s="3" t="str">
        <f>"00820904"</f>
        <v>00820904</v>
      </c>
    </row>
    <row r="17073" spans="1:2" x14ac:dyDescent="0.25">
      <c r="A17073" s="2">
        <v>17068</v>
      </c>
      <c r="B17073" s="3" t="str">
        <f>"00820936"</f>
        <v>00820936</v>
      </c>
    </row>
    <row r="17074" spans="1:2" x14ac:dyDescent="0.25">
      <c r="A17074" s="2">
        <v>17069</v>
      </c>
      <c r="B17074" s="3" t="str">
        <f>"00820966"</f>
        <v>00820966</v>
      </c>
    </row>
    <row r="17075" spans="1:2" x14ac:dyDescent="0.25">
      <c r="A17075" s="2">
        <v>17070</v>
      </c>
      <c r="B17075" s="3" t="str">
        <f>"00820987"</f>
        <v>00820987</v>
      </c>
    </row>
    <row r="17076" spans="1:2" x14ac:dyDescent="0.25">
      <c r="A17076" s="2">
        <v>17071</v>
      </c>
      <c r="B17076" s="3" t="str">
        <f>"00821125"</f>
        <v>00821125</v>
      </c>
    </row>
    <row r="17077" spans="1:2" x14ac:dyDescent="0.25">
      <c r="A17077" s="2">
        <v>17072</v>
      </c>
      <c r="B17077" s="3" t="str">
        <f>"00821156"</f>
        <v>00821156</v>
      </c>
    </row>
    <row r="17078" spans="1:2" x14ac:dyDescent="0.25">
      <c r="A17078" s="2">
        <v>17073</v>
      </c>
      <c r="B17078" s="3" t="str">
        <f>"00821191"</f>
        <v>00821191</v>
      </c>
    </row>
    <row r="17079" spans="1:2" x14ac:dyDescent="0.25">
      <c r="A17079" s="2">
        <v>17074</v>
      </c>
      <c r="B17079" s="3" t="str">
        <f>"00821203"</f>
        <v>00821203</v>
      </c>
    </row>
    <row r="17080" spans="1:2" x14ac:dyDescent="0.25">
      <c r="A17080" s="2">
        <v>17075</v>
      </c>
      <c r="B17080" s="3" t="str">
        <f>"00821219"</f>
        <v>00821219</v>
      </c>
    </row>
    <row r="17081" spans="1:2" x14ac:dyDescent="0.25">
      <c r="A17081" s="2">
        <v>17076</v>
      </c>
      <c r="B17081" s="3" t="str">
        <f>"00821228"</f>
        <v>00821228</v>
      </c>
    </row>
    <row r="17082" spans="1:2" x14ac:dyDescent="0.25">
      <c r="A17082" s="2">
        <v>17077</v>
      </c>
      <c r="B17082" s="3" t="str">
        <f>"00821244"</f>
        <v>00821244</v>
      </c>
    </row>
    <row r="17083" spans="1:2" x14ac:dyDescent="0.25">
      <c r="A17083" s="2">
        <v>17078</v>
      </c>
      <c r="B17083" s="3" t="str">
        <f>"00821312"</f>
        <v>00821312</v>
      </c>
    </row>
    <row r="17084" spans="1:2" x14ac:dyDescent="0.25">
      <c r="A17084" s="2">
        <v>17079</v>
      </c>
      <c r="B17084" s="3" t="str">
        <f>"00821316"</f>
        <v>00821316</v>
      </c>
    </row>
    <row r="17085" spans="1:2" x14ac:dyDescent="0.25">
      <c r="A17085" s="2">
        <v>17080</v>
      </c>
      <c r="B17085" s="3" t="str">
        <f>"00821329"</f>
        <v>00821329</v>
      </c>
    </row>
    <row r="17086" spans="1:2" x14ac:dyDescent="0.25">
      <c r="A17086" s="2">
        <v>17081</v>
      </c>
      <c r="B17086" s="3" t="str">
        <f>"00821347"</f>
        <v>00821347</v>
      </c>
    </row>
    <row r="17087" spans="1:2" x14ac:dyDescent="0.25">
      <c r="A17087" s="2">
        <v>17082</v>
      </c>
      <c r="B17087" s="3" t="str">
        <f>"00821425"</f>
        <v>00821425</v>
      </c>
    </row>
    <row r="17088" spans="1:2" x14ac:dyDescent="0.25">
      <c r="A17088" s="2">
        <v>17083</v>
      </c>
      <c r="B17088" s="3" t="str">
        <f>"00821452"</f>
        <v>00821452</v>
      </c>
    </row>
    <row r="17089" spans="1:2" x14ac:dyDescent="0.25">
      <c r="A17089" s="2">
        <v>17084</v>
      </c>
      <c r="B17089" s="3" t="str">
        <f>"00821457"</f>
        <v>00821457</v>
      </c>
    </row>
    <row r="17090" spans="1:2" x14ac:dyDescent="0.25">
      <c r="A17090" s="2">
        <v>17085</v>
      </c>
      <c r="B17090" s="3" t="str">
        <f>"00821459"</f>
        <v>00821459</v>
      </c>
    </row>
    <row r="17091" spans="1:2" x14ac:dyDescent="0.25">
      <c r="A17091" s="2">
        <v>17086</v>
      </c>
      <c r="B17091" s="3" t="str">
        <f>"00821478"</f>
        <v>00821478</v>
      </c>
    </row>
    <row r="17092" spans="1:2" x14ac:dyDescent="0.25">
      <c r="A17092" s="2">
        <v>17087</v>
      </c>
      <c r="B17092" s="3" t="str">
        <f>"00821481"</f>
        <v>00821481</v>
      </c>
    </row>
    <row r="17093" spans="1:2" x14ac:dyDescent="0.25">
      <c r="A17093" s="2">
        <v>17088</v>
      </c>
      <c r="B17093" s="3" t="str">
        <f>"00821496"</f>
        <v>00821496</v>
      </c>
    </row>
    <row r="17094" spans="1:2" x14ac:dyDescent="0.25">
      <c r="A17094" s="2">
        <v>17089</v>
      </c>
      <c r="B17094" s="3" t="str">
        <f>"00821504"</f>
        <v>00821504</v>
      </c>
    </row>
    <row r="17095" spans="1:2" x14ac:dyDescent="0.25">
      <c r="A17095" s="2">
        <v>17090</v>
      </c>
      <c r="B17095" s="3" t="str">
        <f>"00821548"</f>
        <v>00821548</v>
      </c>
    </row>
    <row r="17096" spans="1:2" x14ac:dyDescent="0.25">
      <c r="A17096" s="2">
        <v>17091</v>
      </c>
      <c r="B17096" s="3" t="str">
        <f>"00821554"</f>
        <v>00821554</v>
      </c>
    </row>
    <row r="17097" spans="1:2" x14ac:dyDescent="0.25">
      <c r="A17097" s="2">
        <v>17092</v>
      </c>
      <c r="B17097" s="3" t="str">
        <f>"00821646"</f>
        <v>00821646</v>
      </c>
    </row>
    <row r="17098" spans="1:2" x14ac:dyDescent="0.25">
      <c r="A17098" s="2">
        <v>17093</v>
      </c>
      <c r="B17098" s="3" t="str">
        <f>"00821687"</f>
        <v>00821687</v>
      </c>
    </row>
    <row r="17099" spans="1:2" x14ac:dyDescent="0.25">
      <c r="A17099" s="2">
        <v>17094</v>
      </c>
      <c r="B17099" s="3" t="str">
        <f>"00821822"</f>
        <v>00821822</v>
      </c>
    </row>
    <row r="17100" spans="1:2" x14ac:dyDescent="0.25">
      <c r="A17100" s="2">
        <v>17095</v>
      </c>
      <c r="B17100" s="3" t="str">
        <f>"00821941"</f>
        <v>00821941</v>
      </c>
    </row>
    <row r="17101" spans="1:2" x14ac:dyDescent="0.25">
      <c r="A17101" s="2">
        <v>17096</v>
      </c>
      <c r="B17101" s="3" t="str">
        <f>"00821968"</f>
        <v>00821968</v>
      </c>
    </row>
    <row r="17102" spans="1:2" x14ac:dyDescent="0.25">
      <c r="A17102" s="2">
        <v>17097</v>
      </c>
      <c r="B17102" s="3" t="str">
        <f>"00822115"</f>
        <v>00822115</v>
      </c>
    </row>
    <row r="17103" spans="1:2" x14ac:dyDescent="0.25">
      <c r="A17103" s="2">
        <v>17098</v>
      </c>
      <c r="B17103" s="3" t="str">
        <f>"00822159"</f>
        <v>00822159</v>
      </c>
    </row>
    <row r="17104" spans="1:2" x14ac:dyDescent="0.25">
      <c r="A17104" s="2">
        <v>17099</v>
      </c>
      <c r="B17104" s="3" t="str">
        <f>"00822203"</f>
        <v>00822203</v>
      </c>
    </row>
    <row r="17105" spans="1:2" x14ac:dyDescent="0.25">
      <c r="A17105" s="2">
        <v>17100</v>
      </c>
      <c r="B17105" s="3" t="str">
        <f>"00822260"</f>
        <v>00822260</v>
      </c>
    </row>
    <row r="17106" spans="1:2" x14ac:dyDescent="0.25">
      <c r="A17106" s="2">
        <v>17101</v>
      </c>
      <c r="B17106" s="3" t="str">
        <f>"00822272"</f>
        <v>00822272</v>
      </c>
    </row>
    <row r="17107" spans="1:2" x14ac:dyDescent="0.25">
      <c r="A17107" s="2">
        <v>17102</v>
      </c>
      <c r="B17107" s="3" t="str">
        <f>"00822357"</f>
        <v>00822357</v>
      </c>
    </row>
    <row r="17108" spans="1:2" x14ac:dyDescent="0.25">
      <c r="A17108" s="2">
        <v>17103</v>
      </c>
      <c r="B17108" s="3" t="str">
        <f>"00822386"</f>
        <v>00822386</v>
      </c>
    </row>
    <row r="17109" spans="1:2" x14ac:dyDescent="0.25">
      <c r="A17109" s="2">
        <v>17104</v>
      </c>
      <c r="B17109" s="3" t="str">
        <f>"00822397"</f>
        <v>00822397</v>
      </c>
    </row>
    <row r="17110" spans="1:2" x14ac:dyDescent="0.25">
      <c r="A17110" s="2">
        <v>17105</v>
      </c>
      <c r="B17110" s="3" t="str">
        <f>"00822421"</f>
        <v>00822421</v>
      </c>
    </row>
    <row r="17111" spans="1:2" x14ac:dyDescent="0.25">
      <c r="A17111" s="2">
        <v>17106</v>
      </c>
      <c r="B17111" s="3" t="str">
        <f>"00822452"</f>
        <v>00822452</v>
      </c>
    </row>
    <row r="17112" spans="1:2" x14ac:dyDescent="0.25">
      <c r="A17112" s="2">
        <v>17107</v>
      </c>
      <c r="B17112" s="3" t="str">
        <f>"00822461"</f>
        <v>00822461</v>
      </c>
    </row>
    <row r="17113" spans="1:2" x14ac:dyDescent="0.25">
      <c r="A17113" s="2">
        <v>17108</v>
      </c>
      <c r="B17113" s="3" t="str">
        <f>"00822498"</f>
        <v>00822498</v>
      </c>
    </row>
    <row r="17114" spans="1:2" x14ac:dyDescent="0.25">
      <c r="A17114" s="2">
        <v>17109</v>
      </c>
      <c r="B17114" s="3" t="str">
        <f>"00822501"</f>
        <v>00822501</v>
      </c>
    </row>
    <row r="17115" spans="1:2" x14ac:dyDescent="0.25">
      <c r="A17115" s="2">
        <v>17110</v>
      </c>
      <c r="B17115" s="3" t="str">
        <f>"00822536"</f>
        <v>00822536</v>
      </c>
    </row>
    <row r="17116" spans="1:2" x14ac:dyDescent="0.25">
      <c r="A17116" s="2">
        <v>17111</v>
      </c>
      <c r="B17116" s="3" t="str">
        <f>"00822555"</f>
        <v>00822555</v>
      </c>
    </row>
    <row r="17117" spans="1:2" x14ac:dyDescent="0.25">
      <c r="A17117" s="2">
        <v>17112</v>
      </c>
      <c r="B17117" s="3" t="str">
        <f>"00822594"</f>
        <v>00822594</v>
      </c>
    </row>
    <row r="17118" spans="1:2" x14ac:dyDescent="0.25">
      <c r="A17118" s="2">
        <v>17113</v>
      </c>
      <c r="B17118" s="3" t="str">
        <f>"00822618"</f>
        <v>00822618</v>
      </c>
    </row>
    <row r="17119" spans="1:2" x14ac:dyDescent="0.25">
      <c r="A17119" s="2">
        <v>17114</v>
      </c>
      <c r="B17119" s="3" t="str">
        <f>"00822672"</f>
        <v>00822672</v>
      </c>
    </row>
    <row r="17120" spans="1:2" x14ac:dyDescent="0.25">
      <c r="A17120" s="2">
        <v>17115</v>
      </c>
      <c r="B17120" s="3" t="str">
        <f>"00822675"</f>
        <v>00822675</v>
      </c>
    </row>
    <row r="17121" spans="1:2" x14ac:dyDescent="0.25">
      <c r="A17121" s="2">
        <v>17116</v>
      </c>
      <c r="B17121" s="3" t="str">
        <f>"00822699"</f>
        <v>00822699</v>
      </c>
    </row>
    <row r="17122" spans="1:2" x14ac:dyDescent="0.25">
      <c r="A17122" s="2">
        <v>17117</v>
      </c>
      <c r="B17122" s="3" t="str">
        <f>"00822717"</f>
        <v>00822717</v>
      </c>
    </row>
    <row r="17123" spans="1:2" x14ac:dyDescent="0.25">
      <c r="A17123" s="2">
        <v>17118</v>
      </c>
      <c r="B17123" s="3" t="str">
        <f>"00822721"</f>
        <v>00822721</v>
      </c>
    </row>
    <row r="17124" spans="1:2" x14ac:dyDescent="0.25">
      <c r="A17124" s="2">
        <v>17119</v>
      </c>
      <c r="B17124" s="3" t="str">
        <f>"00822757"</f>
        <v>00822757</v>
      </c>
    </row>
    <row r="17125" spans="1:2" x14ac:dyDescent="0.25">
      <c r="A17125" s="2">
        <v>17120</v>
      </c>
      <c r="B17125" s="3" t="str">
        <f>"00822760"</f>
        <v>00822760</v>
      </c>
    </row>
    <row r="17126" spans="1:2" x14ac:dyDescent="0.25">
      <c r="A17126" s="2">
        <v>17121</v>
      </c>
      <c r="B17126" s="3" t="str">
        <f>"00822796"</f>
        <v>00822796</v>
      </c>
    </row>
    <row r="17127" spans="1:2" x14ac:dyDescent="0.25">
      <c r="A17127" s="2">
        <v>17122</v>
      </c>
      <c r="B17127" s="3" t="str">
        <f>"00822803"</f>
        <v>00822803</v>
      </c>
    </row>
    <row r="17128" spans="1:2" x14ac:dyDescent="0.25">
      <c r="A17128" s="2">
        <v>17123</v>
      </c>
      <c r="B17128" s="3" t="str">
        <f>"00823018"</f>
        <v>00823018</v>
      </c>
    </row>
    <row r="17129" spans="1:2" x14ac:dyDescent="0.25">
      <c r="A17129" s="2">
        <v>17124</v>
      </c>
      <c r="B17129" s="3" t="str">
        <f>"00823075"</f>
        <v>00823075</v>
      </c>
    </row>
    <row r="17130" spans="1:2" x14ac:dyDescent="0.25">
      <c r="A17130" s="2">
        <v>17125</v>
      </c>
      <c r="B17130" s="3" t="str">
        <f>"00823150"</f>
        <v>00823150</v>
      </c>
    </row>
    <row r="17131" spans="1:2" x14ac:dyDescent="0.25">
      <c r="A17131" s="2">
        <v>17126</v>
      </c>
      <c r="B17131" s="3" t="str">
        <f>"00823216"</f>
        <v>00823216</v>
      </c>
    </row>
    <row r="17132" spans="1:2" x14ac:dyDescent="0.25">
      <c r="A17132" s="2">
        <v>17127</v>
      </c>
      <c r="B17132" s="3" t="str">
        <f>"00823491"</f>
        <v>00823491</v>
      </c>
    </row>
    <row r="17133" spans="1:2" x14ac:dyDescent="0.25">
      <c r="A17133" s="2">
        <v>17128</v>
      </c>
      <c r="B17133" s="3" t="str">
        <f>"00823519"</f>
        <v>00823519</v>
      </c>
    </row>
    <row r="17134" spans="1:2" x14ac:dyDescent="0.25">
      <c r="A17134" s="2">
        <v>17129</v>
      </c>
      <c r="B17134" s="3" t="str">
        <f>"00823542"</f>
        <v>00823542</v>
      </c>
    </row>
    <row r="17135" spans="1:2" x14ac:dyDescent="0.25">
      <c r="A17135" s="2">
        <v>17130</v>
      </c>
      <c r="B17135" s="3" t="str">
        <f>"00823608"</f>
        <v>00823608</v>
      </c>
    </row>
    <row r="17136" spans="1:2" x14ac:dyDescent="0.25">
      <c r="A17136" s="2">
        <v>17131</v>
      </c>
      <c r="B17136" s="3" t="str">
        <f>"00823665"</f>
        <v>00823665</v>
      </c>
    </row>
    <row r="17137" spans="1:2" x14ac:dyDescent="0.25">
      <c r="A17137" s="2">
        <v>17132</v>
      </c>
      <c r="B17137" s="3" t="str">
        <f>"00823692"</f>
        <v>00823692</v>
      </c>
    </row>
    <row r="17138" spans="1:2" x14ac:dyDescent="0.25">
      <c r="A17138" s="2">
        <v>17133</v>
      </c>
      <c r="B17138" s="3" t="str">
        <f>"00823732"</f>
        <v>00823732</v>
      </c>
    </row>
    <row r="17139" spans="1:2" x14ac:dyDescent="0.25">
      <c r="A17139" s="2">
        <v>17134</v>
      </c>
      <c r="B17139" s="3" t="str">
        <f>"00823769"</f>
        <v>00823769</v>
      </c>
    </row>
    <row r="17140" spans="1:2" x14ac:dyDescent="0.25">
      <c r="A17140" s="2">
        <v>17135</v>
      </c>
      <c r="B17140" s="3" t="str">
        <f>"00823770"</f>
        <v>00823770</v>
      </c>
    </row>
    <row r="17141" spans="1:2" x14ac:dyDescent="0.25">
      <c r="A17141" s="2">
        <v>17136</v>
      </c>
      <c r="B17141" s="3" t="str">
        <f>"00823903"</f>
        <v>00823903</v>
      </c>
    </row>
    <row r="17142" spans="1:2" x14ac:dyDescent="0.25">
      <c r="A17142" s="2">
        <v>17137</v>
      </c>
      <c r="B17142" s="3" t="str">
        <f>"00823943"</f>
        <v>00823943</v>
      </c>
    </row>
    <row r="17143" spans="1:2" x14ac:dyDescent="0.25">
      <c r="A17143" s="2">
        <v>17138</v>
      </c>
      <c r="B17143" s="3" t="str">
        <f>"00823968"</f>
        <v>00823968</v>
      </c>
    </row>
    <row r="17144" spans="1:2" x14ac:dyDescent="0.25">
      <c r="A17144" s="2">
        <v>17139</v>
      </c>
      <c r="B17144" s="3" t="str">
        <f>"00824016"</f>
        <v>00824016</v>
      </c>
    </row>
    <row r="17145" spans="1:2" x14ac:dyDescent="0.25">
      <c r="A17145" s="2">
        <v>17140</v>
      </c>
      <c r="B17145" s="3" t="str">
        <f>"00824124"</f>
        <v>00824124</v>
      </c>
    </row>
    <row r="17146" spans="1:2" x14ac:dyDescent="0.25">
      <c r="A17146" s="2">
        <v>17141</v>
      </c>
      <c r="B17146" s="3" t="str">
        <f>"00824189"</f>
        <v>00824189</v>
      </c>
    </row>
    <row r="17147" spans="1:2" x14ac:dyDescent="0.25">
      <c r="A17147" s="2">
        <v>17142</v>
      </c>
      <c r="B17147" s="3" t="str">
        <f>"00824235"</f>
        <v>00824235</v>
      </c>
    </row>
    <row r="17148" spans="1:2" x14ac:dyDescent="0.25">
      <c r="A17148" s="2">
        <v>17143</v>
      </c>
      <c r="B17148" s="3" t="str">
        <f>"00824397"</f>
        <v>00824397</v>
      </c>
    </row>
    <row r="17149" spans="1:2" x14ac:dyDescent="0.25">
      <c r="A17149" s="2">
        <v>17144</v>
      </c>
      <c r="B17149" s="3" t="str">
        <f>"00824418"</f>
        <v>00824418</v>
      </c>
    </row>
    <row r="17150" spans="1:2" x14ac:dyDescent="0.25">
      <c r="A17150" s="2">
        <v>17145</v>
      </c>
      <c r="B17150" s="3" t="str">
        <f>"00824442"</f>
        <v>00824442</v>
      </c>
    </row>
    <row r="17151" spans="1:2" x14ac:dyDescent="0.25">
      <c r="A17151" s="2">
        <v>17146</v>
      </c>
      <c r="B17151" s="3" t="str">
        <f>"00824548"</f>
        <v>00824548</v>
      </c>
    </row>
    <row r="17152" spans="1:2" x14ac:dyDescent="0.25">
      <c r="A17152" s="2">
        <v>17147</v>
      </c>
      <c r="B17152" s="3" t="str">
        <f>"00824618"</f>
        <v>00824618</v>
      </c>
    </row>
    <row r="17153" spans="1:2" x14ac:dyDescent="0.25">
      <c r="A17153" s="2">
        <v>17148</v>
      </c>
      <c r="B17153" s="3" t="str">
        <f>"00824715"</f>
        <v>00824715</v>
      </c>
    </row>
    <row r="17154" spans="1:2" x14ac:dyDescent="0.25">
      <c r="A17154" s="2">
        <v>17149</v>
      </c>
      <c r="B17154" s="3" t="str">
        <f>"00824787"</f>
        <v>00824787</v>
      </c>
    </row>
    <row r="17155" spans="1:2" x14ac:dyDescent="0.25">
      <c r="A17155" s="2">
        <v>17150</v>
      </c>
      <c r="B17155" s="3" t="str">
        <f>"00824868"</f>
        <v>00824868</v>
      </c>
    </row>
    <row r="17156" spans="1:2" x14ac:dyDescent="0.25">
      <c r="A17156" s="2">
        <v>17151</v>
      </c>
      <c r="B17156" s="3" t="str">
        <f>"00824877"</f>
        <v>00824877</v>
      </c>
    </row>
    <row r="17157" spans="1:2" x14ac:dyDescent="0.25">
      <c r="A17157" s="2">
        <v>17152</v>
      </c>
      <c r="B17157" s="3" t="str">
        <f>"00824966"</f>
        <v>00824966</v>
      </c>
    </row>
    <row r="17158" spans="1:2" x14ac:dyDescent="0.25">
      <c r="A17158" s="2">
        <v>17153</v>
      </c>
      <c r="B17158" s="3" t="str">
        <f>"00825203"</f>
        <v>00825203</v>
      </c>
    </row>
    <row r="17159" spans="1:2" x14ac:dyDescent="0.25">
      <c r="A17159" s="2">
        <v>17154</v>
      </c>
      <c r="B17159" s="3" t="str">
        <f>"00825340"</f>
        <v>00825340</v>
      </c>
    </row>
    <row r="17160" spans="1:2" x14ac:dyDescent="0.25">
      <c r="A17160" s="2">
        <v>17155</v>
      </c>
      <c r="B17160" s="3" t="str">
        <f>"00825344"</f>
        <v>00825344</v>
      </c>
    </row>
    <row r="17161" spans="1:2" x14ac:dyDescent="0.25">
      <c r="A17161" s="2">
        <v>17156</v>
      </c>
      <c r="B17161" s="3" t="str">
        <f>"00825347"</f>
        <v>00825347</v>
      </c>
    </row>
    <row r="17162" spans="1:2" x14ac:dyDescent="0.25">
      <c r="A17162" s="2">
        <v>17157</v>
      </c>
      <c r="B17162" s="3" t="str">
        <f>"00825389"</f>
        <v>00825389</v>
      </c>
    </row>
    <row r="17163" spans="1:2" x14ac:dyDescent="0.25">
      <c r="A17163" s="2">
        <v>17158</v>
      </c>
      <c r="B17163" s="3" t="str">
        <f>"00825392"</f>
        <v>00825392</v>
      </c>
    </row>
    <row r="17164" spans="1:2" x14ac:dyDescent="0.25">
      <c r="A17164" s="2">
        <v>17159</v>
      </c>
      <c r="B17164" s="3" t="str">
        <f>"00825439"</f>
        <v>00825439</v>
      </c>
    </row>
    <row r="17165" spans="1:2" x14ac:dyDescent="0.25">
      <c r="A17165" s="2">
        <v>17160</v>
      </c>
      <c r="B17165" s="3" t="str">
        <f>"00825482"</f>
        <v>00825482</v>
      </c>
    </row>
    <row r="17166" spans="1:2" x14ac:dyDescent="0.25">
      <c r="A17166" s="2">
        <v>17161</v>
      </c>
      <c r="B17166" s="3" t="str">
        <f>"00825505"</f>
        <v>00825505</v>
      </c>
    </row>
    <row r="17167" spans="1:2" x14ac:dyDescent="0.25">
      <c r="A17167" s="2">
        <v>17162</v>
      </c>
      <c r="B17167" s="3" t="str">
        <f>"00825549"</f>
        <v>00825549</v>
      </c>
    </row>
    <row r="17168" spans="1:2" x14ac:dyDescent="0.25">
      <c r="A17168" s="2">
        <v>17163</v>
      </c>
      <c r="B17168" s="3" t="str">
        <f>"00825554"</f>
        <v>00825554</v>
      </c>
    </row>
    <row r="17169" spans="1:2" x14ac:dyDescent="0.25">
      <c r="A17169" s="2">
        <v>17164</v>
      </c>
      <c r="B17169" s="3" t="str">
        <f>"00825580"</f>
        <v>00825580</v>
      </c>
    </row>
    <row r="17170" spans="1:2" x14ac:dyDescent="0.25">
      <c r="A17170" s="2">
        <v>17165</v>
      </c>
      <c r="B17170" s="3" t="str">
        <f>"00825583"</f>
        <v>00825583</v>
      </c>
    </row>
    <row r="17171" spans="1:2" x14ac:dyDescent="0.25">
      <c r="A17171" s="2">
        <v>17166</v>
      </c>
      <c r="B17171" s="3" t="str">
        <f>"00825587"</f>
        <v>00825587</v>
      </c>
    </row>
    <row r="17172" spans="1:2" x14ac:dyDescent="0.25">
      <c r="A17172" s="2">
        <v>17167</v>
      </c>
      <c r="B17172" s="3" t="str">
        <f>"00825689"</f>
        <v>00825689</v>
      </c>
    </row>
    <row r="17173" spans="1:2" x14ac:dyDescent="0.25">
      <c r="A17173" s="2">
        <v>17168</v>
      </c>
      <c r="B17173" s="3" t="str">
        <f>"00825692"</f>
        <v>00825692</v>
      </c>
    </row>
    <row r="17174" spans="1:2" x14ac:dyDescent="0.25">
      <c r="A17174" s="2">
        <v>17169</v>
      </c>
      <c r="B17174" s="3" t="str">
        <f>"00825700"</f>
        <v>00825700</v>
      </c>
    </row>
    <row r="17175" spans="1:2" x14ac:dyDescent="0.25">
      <c r="A17175" s="2">
        <v>17170</v>
      </c>
      <c r="B17175" s="3" t="str">
        <f>"00825716"</f>
        <v>00825716</v>
      </c>
    </row>
    <row r="17176" spans="1:2" x14ac:dyDescent="0.25">
      <c r="A17176" s="2">
        <v>17171</v>
      </c>
      <c r="B17176" s="3" t="str">
        <f>"00825757"</f>
        <v>00825757</v>
      </c>
    </row>
    <row r="17177" spans="1:2" x14ac:dyDescent="0.25">
      <c r="A17177" s="2">
        <v>17172</v>
      </c>
      <c r="B17177" s="3" t="str">
        <f>"00825802"</f>
        <v>00825802</v>
      </c>
    </row>
    <row r="17178" spans="1:2" x14ac:dyDescent="0.25">
      <c r="A17178" s="2">
        <v>17173</v>
      </c>
      <c r="B17178" s="3" t="str">
        <f>"00825869"</f>
        <v>00825869</v>
      </c>
    </row>
    <row r="17179" spans="1:2" x14ac:dyDescent="0.25">
      <c r="A17179" s="2">
        <v>17174</v>
      </c>
      <c r="B17179" s="3" t="str">
        <f>"00826017"</f>
        <v>00826017</v>
      </c>
    </row>
    <row r="17180" spans="1:2" x14ac:dyDescent="0.25">
      <c r="A17180" s="2">
        <v>17175</v>
      </c>
      <c r="B17180" s="3" t="str">
        <f>"00826112"</f>
        <v>00826112</v>
      </c>
    </row>
    <row r="17181" spans="1:2" x14ac:dyDescent="0.25">
      <c r="A17181" s="2">
        <v>17176</v>
      </c>
      <c r="B17181" s="3" t="str">
        <f>"00826114"</f>
        <v>00826114</v>
      </c>
    </row>
    <row r="17182" spans="1:2" x14ac:dyDescent="0.25">
      <c r="A17182" s="2">
        <v>17177</v>
      </c>
      <c r="B17182" s="3" t="str">
        <f>"00826158"</f>
        <v>00826158</v>
      </c>
    </row>
    <row r="17183" spans="1:2" x14ac:dyDescent="0.25">
      <c r="A17183" s="2">
        <v>17178</v>
      </c>
      <c r="B17183" s="3" t="str">
        <f>"00826244"</f>
        <v>00826244</v>
      </c>
    </row>
    <row r="17184" spans="1:2" x14ac:dyDescent="0.25">
      <c r="A17184" s="2">
        <v>17179</v>
      </c>
      <c r="B17184" s="3" t="str">
        <f>"00826258"</f>
        <v>00826258</v>
      </c>
    </row>
    <row r="17185" spans="1:2" x14ac:dyDescent="0.25">
      <c r="A17185" s="2">
        <v>17180</v>
      </c>
      <c r="B17185" s="3" t="str">
        <f>"00826357"</f>
        <v>00826357</v>
      </c>
    </row>
    <row r="17186" spans="1:2" x14ac:dyDescent="0.25">
      <c r="A17186" s="2">
        <v>17181</v>
      </c>
      <c r="B17186" s="3" t="str">
        <f>"00826376"</f>
        <v>00826376</v>
      </c>
    </row>
    <row r="17187" spans="1:2" x14ac:dyDescent="0.25">
      <c r="A17187" s="2">
        <v>17182</v>
      </c>
      <c r="B17187" s="3" t="str">
        <f>"00826381"</f>
        <v>00826381</v>
      </c>
    </row>
    <row r="17188" spans="1:2" x14ac:dyDescent="0.25">
      <c r="A17188" s="2">
        <v>17183</v>
      </c>
      <c r="B17188" s="3" t="str">
        <f>"00826639"</f>
        <v>00826639</v>
      </c>
    </row>
    <row r="17189" spans="1:2" x14ac:dyDescent="0.25">
      <c r="A17189" s="2">
        <v>17184</v>
      </c>
      <c r="B17189" s="3" t="str">
        <f>"00826671"</f>
        <v>00826671</v>
      </c>
    </row>
    <row r="17190" spans="1:2" x14ac:dyDescent="0.25">
      <c r="A17190" s="2">
        <v>17185</v>
      </c>
      <c r="B17190" s="3" t="str">
        <f>"00826799"</f>
        <v>00826799</v>
      </c>
    </row>
    <row r="17191" spans="1:2" x14ac:dyDescent="0.25">
      <c r="A17191" s="2">
        <v>17186</v>
      </c>
      <c r="B17191" s="3" t="str">
        <f>"00826810"</f>
        <v>00826810</v>
      </c>
    </row>
    <row r="17192" spans="1:2" x14ac:dyDescent="0.25">
      <c r="A17192" s="2">
        <v>17187</v>
      </c>
      <c r="B17192" s="3" t="str">
        <f>"00826828"</f>
        <v>00826828</v>
      </c>
    </row>
    <row r="17193" spans="1:2" x14ac:dyDescent="0.25">
      <c r="A17193" s="2">
        <v>17188</v>
      </c>
      <c r="B17193" s="3" t="str">
        <f>"00826913"</f>
        <v>00826913</v>
      </c>
    </row>
    <row r="17194" spans="1:2" x14ac:dyDescent="0.25">
      <c r="A17194" s="2">
        <v>17189</v>
      </c>
      <c r="B17194" s="3" t="str">
        <f>"00826939"</f>
        <v>00826939</v>
      </c>
    </row>
    <row r="17195" spans="1:2" x14ac:dyDescent="0.25">
      <c r="A17195" s="2">
        <v>17190</v>
      </c>
      <c r="B17195" s="3" t="str">
        <f>"00827072"</f>
        <v>00827072</v>
      </c>
    </row>
    <row r="17196" spans="1:2" x14ac:dyDescent="0.25">
      <c r="A17196" s="2">
        <v>17191</v>
      </c>
      <c r="B17196" s="3" t="str">
        <f>"00827083"</f>
        <v>00827083</v>
      </c>
    </row>
    <row r="17197" spans="1:2" x14ac:dyDescent="0.25">
      <c r="A17197" s="2">
        <v>17192</v>
      </c>
      <c r="B17197" s="3" t="str">
        <f>"00827307"</f>
        <v>00827307</v>
      </c>
    </row>
    <row r="17198" spans="1:2" x14ac:dyDescent="0.25">
      <c r="A17198" s="2">
        <v>17193</v>
      </c>
      <c r="B17198" s="3" t="str">
        <f>"00827317"</f>
        <v>00827317</v>
      </c>
    </row>
    <row r="17199" spans="1:2" x14ac:dyDescent="0.25">
      <c r="A17199" s="2">
        <v>17194</v>
      </c>
      <c r="B17199" s="3" t="str">
        <f>"00827353"</f>
        <v>00827353</v>
      </c>
    </row>
    <row r="17200" spans="1:2" x14ac:dyDescent="0.25">
      <c r="A17200" s="2">
        <v>17195</v>
      </c>
      <c r="B17200" s="3" t="str">
        <f>"00827373"</f>
        <v>00827373</v>
      </c>
    </row>
    <row r="17201" spans="1:2" x14ac:dyDescent="0.25">
      <c r="A17201" s="2">
        <v>17196</v>
      </c>
      <c r="B17201" s="3" t="str">
        <f>"00827406"</f>
        <v>00827406</v>
      </c>
    </row>
    <row r="17202" spans="1:2" x14ac:dyDescent="0.25">
      <c r="A17202" s="2">
        <v>17197</v>
      </c>
      <c r="B17202" s="3" t="str">
        <f>"00827458"</f>
        <v>00827458</v>
      </c>
    </row>
    <row r="17203" spans="1:2" x14ac:dyDescent="0.25">
      <c r="A17203" s="2">
        <v>17198</v>
      </c>
      <c r="B17203" s="3" t="str">
        <f>"00827514"</f>
        <v>00827514</v>
      </c>
    </row>
    <row r="17204" spans="1:2" x14ac:dyDescent="0.25">
      <c r="A17204" s="2">
        <v>17199</v>
      </c>
      <c r="B17204" s="3" t="str">
        <f>"00827557"</f>
        <v>00827557</v>
      </c>
    </row>
    <row r="17205" spans="1:2" x14ac:dyDescent="0.25">
      <c r="A17205" s="2">
        <v>17200</v>
      </c>
      <c r="B17205" s="3" t="str">
        <f>"00827619"</f>
        <v>00827619</v>
      </c>
    </row>
    <row r="17206" spans="1:2" x14ac:dyDescent="0.25">
      <c r="A17206" s="2">
        <v>17201</v>
      </c>
      <c r="B17206" s="3" t="str">
        <f>"00827712"</f>
        <v>00827712</v>
      </c>
    </row>
    <row r="17207" spans="1:2" x14ac:dyDescent="0.25">
      <c r="A17207" s="2">
        <v>17202</v>
      </c>
      <c r="B17207" s="3" t="str">
        <f>"00827716"</f>
        <v>00827716</v>
      </c>
    </row>
    <row r="17208" spans="1:2" x14ac:dyDescent="0.25">
      <c r="A17208" s="2">
        <v>17203</v>
      </c>
      <c r="B17208" s="3" t="str">
        <f>"00827775"</f>
        <v>00827775</v>
      </c>
    </row>
    <row r="17209" spans="1:2" x14ac:dyDescent="0.25">
      <c r="A17209" s="2">
        <v>17204</v>
      </c>
      <c r="B17209" s="3" t="str">
        <f>"00827853"</f>
        <v>00827853</v>
      </c>
    </row>
    <row r="17210" spans="1:2" x14ac:dyDescent="0.25">
      <c r="A17210" s="2">
        <v>17205</v>
      </c>
      <c r="B17210" s="3" t="str">
        <f>"00827878"</f>
        <v>00827878</v>
      </c>
    </row>
    <row r="17211" spans="1:2" x14ac:dyDescent="0.25">
      <c r="A17211" s="2">
        <v>17206</v>
      </c>
      <c r="B17211" s="3" t="str">
        <f>"00828015"</f>
        <v>00828015</v>
      </c>
    </row>
    <row r="17212" spans="1:2" x14ac:dyDescent="0.25">
      <c r="A17212" s="2">
        <v>17207</v>
      </c>
      <c r="B17212" s="3" t="str">
        <f>"00828106"</f>
        <v>00828106</v>
      </c>
    </row>
    <row r="17213" spans="1:2" x14ac:dyDescent="0.25">
      <c r="A17213" s="2">
        <v>17208</v>
      </c>
      <c r="B17213" s="3" t="str">
        <f>"00828162"</f>
        <v>00828162</v>
      </c>
    </row>
    <row r="17214" spans="1:2" x14ac:dyDescent="0.25">
      <c r="A17214" s="2">
        <v>17209</v>
      </c>
      <c r="B17214" s="3" t="str">
        <f>"00828164"</f>
        <v>00828164</v>
      </c>
    </row>
    <row r="17215" spans="1:2" x14ac:dyDescent="0.25">
      <c r="A17215" s="2">
        <v>17210</v>
      </c>
      <c r="B17215" s="3" t="str">
        <f>"00828325"</f>
        <v>00828325</v>
      </c>
    </row>
    <row r="17216" spans="1:2" x14ac:dyDescent="0.25">
      <c r="A17216" s="2">
        <v>17211</v>
      </c>
      <c r="B17216" s="3" t="str">
        <f>"00828332"</f>
        <v>00828332</v>
      </c>
    </row>
    <row r="17217" spans="1:2" x14ac:dyDescent="0.25">
      <c r="A17217" s="2">
        <v>17212</v>
      </c>
      <c r="B17217" s="3" t="str">
        <f>"00828389"</f>
        <v>00828389</v>
      </c>
    </row>
    <row r="17218" spans="1:2" x14ac:dyDescent="0.25">
      <c r="A17218" s="2">
        <v>17213</v>
      </c>
      <c r="B17218" s="3" t="str">
        <f>"00828441"</f>
        <v>00828441</v>
      </c>
    </row>
    <row r="17219" spans="1:2" x14ac:dyDescent="0.25">
      <c r="A17219" s="2">
        <v>17214</v>
      </c>
      <c r="B17219" s="3" t="str">
        <f>"00828519"</f>
        <v>00828519</v>
      </c>
    </row>
    <row r="17220" spans="1:2" x14ac:dyDescent="0.25">
      <c r="A17220" s="2">
        <v>17215</v>
      </c>
      <c r="B17220" s="3" t="str">
        <f>"00828555"</f>
        <v>00828555</v>
      </c>
    </row>
    <row r="17221" spans="1:2" x14ac:dyDescent="0.25">
      <c r="A17221" s="2">
        <v>17216</v>
      </c>
      <c r="B17221" s="3" t="str">
        <f>"00828658"</f>
        <v>00828658</v>
      </c>
    </row>
    <row r="17222" spans="1:2" x14ac:dyDescent="0.25">
      <c r="A17222" s="2">
        <v>17217</v>
      </c>
      <c r="B17222" s="3" t="str">
        <f>"00828716"</f>
        <v>00828716</v>
      </c>
    </row>
    <row r="17223" spans="1:2" x14ac:dyDescent="0.25">
      <c r="A17223" s="2">
        <v>17218</v>
      </c>
      <c r="B17223" s="3" t="str">
        <f>"00828772"</f>
        <v>00828772</v>
      </c>
    </row>
    <row r="17224" spans="1:2" x14ac:dyDescent="0.25">
      <c r="A17224" s="2">
        <v>17219</v>
      </c>
      <c r="B17224" s="3" t="str">
        <f>"00828861"</f>
        <v>00828861</v>
      </c>
    </row>
    <row r="17225" spans="1:2" x14ac:dyDescent="0.25">
      <c r="A17225" s="2">
        <v>17220</v>
      </c>
      <c r="B17225" s="3" t="str">
        <f>"00828883"</f>
        <v>00828883</v>
      </c>
    </row>
    <row r="17226" spans="1:2" x14ac:dyDescent="0.25">
      <c r="A17226" s="2">
        <v>17221</v>
      </c>
      <c r="B17226" s="3" t="str">
        <f>"00829060"</f>
        <v>00829060</v>
      </c>
    </row>
    <row r="17227" spans="1:2" x14ac:dyDescent="0.25">
      <c r="A17227" s="2">
        <v>17222</v>
      </c>
      <c r="B17227" s="3" t="str">
        <f>"00829083"</f>
        <v>00829083</v>
      </c>
    </row>
    <row r="17228" spans="1:2" x14ac:dyDescent="0.25">
      <c r="A17228" s="2">
        <v>17223</v>
      </c>
      <c r="B17228" s="3" t="str">
        <f>"00829108"</f>
        <v>00829108</v>
      </c>
    </row>
    <row r="17229" spans="1:2" x14ac:dyDescent="0.25">
      <c r="A17229" s="2">
        <v>17224</v>
      </c>
      <c r="B17229" s="3" t="str">
        <f>"00829198"</f>
        <v>00829198</v>
      </c>
    </row>
    <row r="17230" spans="1:2" x14ac:dyDescent="0.25">
      <c r="A17230" s="2">
        <v>17225</v>
      </c>
      <c r="B17230" s="3" t="str">
        <f>"00829220"</f>
        <v>00829220</v>
      </c>
    </row>
    <row r="17231" spans="1:2" x14ac:dyDescent="0.25">
      <c r="A17231" s="2">
        <v>17226</v>
      </c>
      <c r="B17231" s="3" t="str">
        <f>"00829257"</f>
        <v>00829257</v>
      </c>
    </row>
    <row r="17232" spans="1:2" x14ac:dyDescent="0.25">
      <c r="A17232" s="2">
        <v>17227</v>
      </c>
      <c r="B17232" s="3" t="str">
        <f>"00829307"</f>
        <v>00829307</v>
      </c>
    </row>
    <row r="17233" spans="1:2" x14ac:dyDescent="0.25">
      <c r="A17233" s="2">
        <v>17228</v>
      </c>
      <c r="B17233" s="3" t="str">
        <f>"00829313"</f>
        <v>00829313</v>
      </c>
    </row>
    <row r="17234" spans="1:2" x14ac:dyDescent="0.25">
      <c r="A17234" s="2">
        <v>17229</v>
      </c>
      <c r="B17234" s="3" t="str">
        <f>"00829360"</f>
        <v>00829360</v>
      </c>
    </row>
    <row r="17235" spans="1:2" x14ac:dyDescent="0.25">
      <c r="A17235" s="2">
        <v>17230</v>
      </c>
      <c r="B17235" s="3" t="str">
        <f>"00829466"</f>
        <v>00829466</v>
      </c>
    </row>
    <row r="17236" spans="1:2" x14ac:dyDescent="0.25">
      <c r="A17236" s="2">
        <v>17231</v>
      </c>
      <c r="B17236" s="3" t="str">
        <f>"00829568"</f>
        <v>00829568</v>
      </c>
    </row>
    <row r="17237" spans="1:2" x14ac:dyDescent="0.25">
      <c r="A17237" s="2">
        <v>17232</v>
      </c>
      <c r="B17237" s="3" t="str">
        <f>"00829574"</f>
        <v>00829574</v>
      </c>
    </row>
    <row r="17238" spans="1:2" x14ac:dyDescent="0.25">
      <c r="A17238" s="2">
        <v>17233</v>
      </c>
      <c r="B17238" s="3" t="str">
        <f>"00829691"</f>
        <v>00829691</v>
      </c>
    </row>
    <row r="17239" spans="1:2" x14ac:dyDescent="0.25">
      <c r="A17239" s="2">
        <v>17234</v>
      </c>
      <c r="B17239" s="3" t="str">
        <f>"00829720"</f>
        <v>00829720</v>
      </c>
    </row>
    <row r="17240" spans="1:2" x14ac:dyDescent="0.25">
      <c r="A17240" s="2">
        <v>17235</v>
      </c>
      <c r="B17240" s="3" t="str">
        <f>"00829735"</f>
        <v>00829735</v>
      </c>
    </row>
    <row r="17241" spans="1:2" x14ac:dyDescent="0.25">
      <c r="A17241" s="2">
        <v>17236</v>
      </c>
      <c r="B17241" s="3" t="str">
        <f>"00829754"</f>
        <v>00829754</v>
      </c>
    </row>
    <row r="17242" spans="1:2" x14ac:dyDescent="0.25">
      <c r="A17242" s="2">
        <v>17237</v>
      </c>
      <c r="B17242" s="3" t="str">
        <f>"00829759"</f>
        <v>00829759</v>
      </c>
    </row>
    <row r="17243" spans="1:2" x14ac:dyDescent="0.25">
      <c r="A17243" s="2">
        <v>17238</v>
      </c>
      <c r="B17243" s="3" t="str">
        <f>"00829864"</f>
        <v>00829864</v>
      </c>
    </row>
    <row r="17244" spans="1:2" x14ac:dyDescent="0.25">
      <c r="A17244" s="2">
        <v>17239</v>
      </c>
      <c r="B17244" s="3" t="str">
        <f>"00829902"</f>
        <v>00829902</v>
      </c>
    </row>
    <row r="17245" spans="1:2" x14ac:dyDescent="0.25">
      <c r="A17245" s="2">
        <v>17240</v>
      </c>
      <c r="B17245" s="3" t="str">
        <f>"00829954"</f>
        <v>00829954</v>
      </c>
    </row>
    <row r="17246" spans="1:2" x14ac:dyDescent="0.25">
      <c r="A17246" s="2">
        <v>17241</v>
      </c>
      <c r="B17246" s="3" t="str">
        <f>"00830071"</f>
        <v>00830071</v>
      </c>
    </row>
    <row r="17247" spans="1:2" x14ac:dyDescent="0.25">
      <c r="A17247" s="2">
        <v>17242</v>
      </c>
      <c r="B17247" s="3" t="str">
        <f>"00830092"</f>
        <v>00830092</v>
      </c>
    </row>
    <row r="17248" spans="1:2" x14ac:dyDescent="0.25">
      <c r="A17248" s="2">
        <v>17243</v>
      </c>
      <c r="B17248" s="3" t="str">
        <f>"00830095"</f>
        <v>00830095</v>
      </c>
    </row>
    <row r="17249" spans="1:2" x14ac:dyDescent="0.25">
      <c r="A17249" s="2">
        <v>17244</v>
      </c>
      <c r="B17249" s="3" t="str">
        <f>"00830096"</f>
        <v>00830096</v>
      </c>
    </row>
    <row r="17250" spans="1:2" x14ac:dyDescent="0.25">
      <c r="A17250" s="2">
        <v>17245</v>
      </c>
      <c r="B17250" s="3" t="str">
        <f>"00830118"</f>
        <v>00830118</v>
      </c>
    </row>
    <row r="17251" spans="1:2" x14ac:dyDescent="0.25">
      <c r="A17251" s="2">
        <v>17246</v>
      </c>
      <c r="B17251" s="3" t="str">
        <f>"00830186"</f>
        <v>00830186</v>
      </c>
    </row>
    <row r="17252" spans="1:2" x14ac:dyDescent="0.25">
      <c r="A17252" s="2">
        <v>17247</v>
      </c>
      <c r="B17252" s="3" t="str">
        <f>"00830200"</f>
        <v>00830200</v>
      </c>
    </row>
    <row r="17253" spans="1:2" x14ac:dyDescent="0.25">
      <c r="A17253" s="2">
        <v>17248</v>
      </c>
      <c r="B17253" s="3" t="str">
        <f>"00830213"</f>
        <v>00830213</v>
      </c>
    </row>
    <row r="17254" spans="1:2" x14ac:dyDescent="0.25">
      <c r="A17254" s="2">
        <v>17249</v>
      </c>
      <c r="B17254" s="3" t="str">
        <f>"00830560"</f>
        <v>00830560</v>
      </c>
    </row>
    <row r="17255" spans="1:2" x14ac:dyDescent="0.25">
      <c r="A17255" s="2">
        <v>17250</v>
      </c>
      <c r="B17255" s="3" t="str">
        <f>"00830607"</f>
        <v>00830607</v>
      </c>
    </row>
    <row r="17256" spans="1:2" x14ac:dyDescent="0.25">
      <c r="A17256" s="2">
        <v>17251</v>
      </c>
      <c r="B17256" s="3" t="str">
        <f>"00830628"</f>
        <v>00830628</v>
      </c>
    </row>
    <row r="17257" spans="1:2" x14ac:dyDescent="0.25">
      <c r="A17257" s="2">
        <v>17252</v>
      </c>
      <c r="B17257" s="3" t="str">
        <f>"00830702"</f>
        <v>00830702</v>
      </c>
    </row>
    <row r="17258" spans="1:2" x14ac:dyDescent="0.25">
      <c r="A17258" s="2">
        <v>17253</v>
      </c>
      <c r="B17258" s="3" t="str">
        <f>"00830726"</f>
        <v>00830726</v>
      </c>
    </row>
    <row r="17259" spans="1:2" x14ac:dyDescent="0.25">
      <c r="A17259" s="2">
        <v>17254</v>
      </c>
      <c r="B17259" s="3" t="str">
        <f>"00830747"</f>
        <v>00830747</v>
      </c>
    </row>
    <row r="17260" spans="1:2" x14ac:dyDescent="0.25">
      <c r="A17260" s="2">
        <v>17255</v>
      </c>
      <c r="B17260" s="3" t="str">
        <f>"00830748"</f>
        <v>00830748</v>
      </c>
    </row>
    <row r="17261" spans="1:2" x14ac:dyDescent="0.25">
      <c r="A17261" s="2">
        <v>17256</v>
      </c>
      <c r="B17261" s="3" t="str">
        <f>"00830841"</f>
        <v>00830841</v>
      </c>
    </row>
    <row r="17262" spans="1:2" x14ac:dyDescent="0.25">
      <c r="A17262" s="2">
        <v>17257</v>
      </c>
      <c r="B17262" s="3" t="str">
        <f>"00830874"</f>
        <v>00830874</v>
      </c>
    </row>
    <row r="17263" spans="1:2" x14ac:dyDescent="0.25">
      <c r="A17263" s="2">
        <v>17258</v>
      </c>
      <c r="B17263" s="3" t="str">
        <f>"00830889"</f>
        <v>00830889</v>
      </c>
    </row>
    <row r="17264" spans="1:2" x14ac:dyDescent="0.25">
      <c r="A17264" s="2">
        <v>17259</v>
      </c>
      <c r="B17264" s="3" t="str">
        <f>"00830973"</f>
        <v>00830973</v>
      </c>
    </row>
    <row r="17265" spans="1:2" x14ac:dyDescent="0.25">
      <c r="A17265" s="2">
        <v>17260</v>
      </c>
      <c r="B17265" s="3" t="str">
        <f>"00831040"</f>
        <v>00831040</v>
      </c>
    </row>
    <row r="17266" spans="1:2" x14ac:dyDescent="0.25">
      <c r="A17266" s="2">
        <v>17261</v>
      </c>
      <c r="B17266" s="3" t="str">
        <f>"00831041"</f>
        <v>00831041</v>
      </c>
    </row>
    <row r="17267" spans="1:2" x14ac:dyDescent="0.25">
      <c r="A17267" s="2">
        <v>17262</v>
      </c>
      <c r="B17267" s="3" t="str">
        <f>"00831073"</f>
        <v>00831073</v>
      </c>
    </row>
    <row r="17268" spans="1:2" x14ac:dyDescent="0.25">
      <c r="A17268" s="2">
        <v>17263</v>
      </c>
      <c r="B17268" s="3" t="str">
        <f>"00831090"</f>
        <v>00831090</v>
      </c>
    </row>
    <row r="17269" spans="1:2" x14ac:dyDescent="0.25">
      <c r="A17269" s="2">
        <v>17264</v>
      </c>
      <c r="B17269" s="3" t="str">
        <f>"00831100"</f>
        <v>00831100</v>
      </c>
    </row>
    <row r="17270" spans="1:2" x14ac:dyDescent="0.25">
      <c r="A17270" s="2">
        <v>17265</v>
      </c>
      <c r="B17270" s="3" t="str">
        <f>"00831166"</f>
        <v>00831166</v>
      </c>
    </row>
    <row r="17271" spans="1:2" x14ac:dyDescent="0.25">
      <c r="A17271" s="2">
        <v>17266</v>
      </c>
      <c r="B17271" s="3" t="str">
        <f>"00831219"</f>
        <v>00831219</v>
      </c>
    </row>
    <row r="17272" spans="1:2" x14ac:dyDescent="0.25">
      <c r="A17272" s="2">
        <v>17267</v>
      </c>
      <c r="B17272" s="3" t="str">
        <f>"00831245"</f>
        <v>00831245</v>
      </c>
    </row>
    <row r="17273" spans="1:2" x14ac:dyDescent="0.25">
      <c r="A17273" s="2">
        <v>17268</v>
      </c>
      <c r="B17273" s="3" t="str">
        <f>"00831264"</f>
        <v>00831264</v>
      </c>
    </row>
    <row r="17274" spans="1:2" x14ac:dyDescent="0.25">
      <c r="A17274" s="2">
        <v>17269</v>
      </c>
      <c r="B17274" s="3" t="str">
        <f>"00831314"</f>
        <v>00831314</v>
      </c>
    </row>
    <row r="17275" spans="1:2" x14ac:dyDescent="0.25">
      <c r="A17275" s="2">
        <v>17270</v>
      </c>
      <c r="B17275" s="3" t="str">
        <f>"00831337"</f>
        <v>00831337</v>
      </c>
    </row>
    <row r="17276" spans="1:2" x14ac:dyDescent="0.25">
      <c r="A17276" s="2">
        <v>17271</v>
      </c>
      <c r="B17276" s="3" t="str">
        <f>"00831344"</f>
        <v>00831344</v>
      </c>
    </row>
    <row r="17277" spans="1:2" x14ac:dyDescent="0.25">
      <c r="A17277" s="2">
        <v>17272</v>
      </c>
      <c r="B17277" s="3" t="str">
        <f>"00831365"</f>
        <v>00831365</v>
      </c>
    </row>
    <row r="17278" spans="1:2" x14ac:dyDescent="0.25">
      <c r="A17278" s="2">
        <v>17273</v>
      </c>
      <c r="B17278" s="3" t="str">
        <f>"00831383"</f>
        <v>00831383</v>
      </c>
    </row>
    <row r="17279" spans="1:2" x14ac:dyDescent="0.25">
      <c r="A17279" s="2">
        <v>17274</v>
      </c>
      <c r="B17279" s="3" t="str">
        <f>"00831419"</f>
        <v>00831419</v>
      </c>
    </row>
    <row r="17280" spans="1:2" x14ac:dyDescent="0.25">
      <c r="A17280" s="2">
        <v>17275</v>
      </c>
      <c r="B17280" s="3" t="str">
        <f>"00831434"</f>
        <v>00831434</v>
      </c>
    </row>
    <row r="17281" spans="1:2" x14ac:dyDescent="0.25">
      <c r="A17281" s="2">
        <v>17276</v>
      </c>
      <c r="B17281" s="3" t="str">
        <f>"00831463"</f>
        <v>00831463</v>
      </c>
    </row>
    <row r="17282" spans="1:2" x14ac:dyDescent="0.25">
      <c r="A17282" s="2">
        <v>17277</v>
      </c>
      <c r="B17282" s="3" t="str">
        <f>"00831572"</f>
        <v>00831572</v>
      </c>
    </row>
    <row r="17283" spans="1:2" x14ac:dyDescent="0.25">
      <c r="A17283" s="2">
        <v>17278</v>
      </c>
      <c r="B17283" s="3" t="str">
        <f>"00831592"</f>
        <v>00831592</v>
      </c>
    </row>
    <row r="17284" spans="1:2" x14ac:dyDescent="0.25">
      <c r="A17284" s="2">
        <v>17279</v>
      </c>
      <c r="B17284" s="3" t="str">
        <f>"00831638"</f>
        <v>00831638</v>
      </c>
    </row>
    <row r="17285" spans="1:2" x14ac:dyDescent="0.25">
      <c r="A17285" s="2">
        <v>17280</v>
      </c>
      <c r="B17285" s="3" t="str">
        <f>"00831664"</f>
        <v>00831664</v>
      </c>
    </row>
    <row r="17286" spans="1:2" x14ac:dyDescent="0.25">
      <c r="A17286" s="2">
        <v>17281</v>
      </c>
      <c r="B17286" s="3" t="str">
        <f>"00831823"</f>
        <v>00831823</v>
      </c>
    </row>
    <row r="17287" spans="1:2" x14ac:dyDescent="0.25">
      <c r="A17287" s="2">
        <v>17282</v>
      </c>
      <c r="B17287" s="3" t="str">
        <f>"00831842"</f>
        <v>00831842</v>
      </c>
    </row>
    <row r="17288" spans="1:2" x14ac:dyDescent="0.25">
      <c r="A17288" s="2">
        <v>17283</v>
      </c>
      <c r="B17288" s="3" t="str">
        <f>"00831949"</f>
        <v>00831949</v>
      </c>
    </row>
    <row r="17289" spans="1:2" x14ac:dyDescent="0.25">
      <c r="A17289" s="2">
        <v>17284</v>
      </c>
      <c r="B17289" s="3" t="str">
        <f>"00832059"</f>
        <v>00832059</v>
      </c>
    </row>
    <row r="17290" spans="1:2" x14ac:dyDescent="0.25">
      <c r="A17290" s="2">
        <v>17285</v>
      </c>
      <c r="B17290" s="3" t="str">
        <f>"00832093"</f>
        <v>00832093</v>
      </c>
    </row>
    <row r="17291" spans="1:2" x14ac:dyDescent="0.25">
      <c r="A17291" s="2">
        <v>17286</v>
      </c>
      <c r="B17291" s="3" t="str">
        <f>"00832155"</f>
        <v>00832155</v>
      </c>
    </row>
    <row r="17292" spans="1:2" x14ac:dyDescent="0.25">
      <c r="A17292" s="2">
        <v>17287</v>
      </c>
      <c r="B17292" s="3" t="str">
        <f>"00832277"</f>
        <v>00832277</v>
      </c>
    </row>
    <row r="17293" spans="1:2" x14ac:dyDescent="0.25">
      <c r="A17293" s="2">
        <v>17288</v>
      </c>
      <c r="B17293" s="3" t="str">
        <f>"00832476"</f>
        <v>00832476</v>
      </c>
    </row>
    <row r="17294" spans="1:2" x14ac:dyDescent="0.25">
      <c r="A17294" s="2">
        <v>17289</v>
      </c>
      <c r="B17294" s="3" t="str">
        <f>"00832529"</f>
        <v>00832529</v>
      </c>
    </row>
    <row r="17295" spans="1:2" x14ac:dyDescent="0.25">
      <c r="A17295" s="2">
        <v>17290</v>
      </c>
      <c r="B17295" s="3" t="str">
        <f>"00832577"</f>
        <v>00832577</v>
      </c>
    </row>
    <row r="17296" spans="1:2" x14ac:dyDescent="0.25">
      <c r="A17296" s="2">
        <v>17291</v>
      </c>
      <c r="B17296" s="3" t="str">
        <f>"00832627"</f>
        <v>00832627</v>
      </c>
    </row>
    <row r="17297" spans="1:2" x14ac:dyDescent="0.25">
      <c r="A17297" s="2">
        <v>17292</v>
      </c>
      <c r="B17297" s="3" t="str">
        <f>"00832721"</f>
        <v>00832721</v>
      </c>
    </row>
    <row r="17298" spans="1:2" x14ac:dyDescent="0.25">
      <c r="A17298" s="2">
        <v>17293</v>
      </c>
      <c r="B17298" s="3" t="str">
        <f>"00832738"</f>
        <v>00832738</v>
      </c>
    </row>
    <row r="17299" spans="1:2" x14ac:dyDescent="0.25">
      <c r="A17299" s="2">
        <v>17294</v>
      </c>
      <c r="B17299" s="3" t="str">
        <f>"00832758"</f>
        <v>00832758</v>
      </c>
    </row>
    <row r="17300" spans="1:2" x14ac:dyDescent="0.25">
      <c r="A17300" s="2">
        <v>17295</v>
      </c>
      <c r="B17300" s="3" t="str">
        <f>"00832780"</f>
        <v>00832780</v>
      </c>
    </row>
    <row r="17301" spans="1:2" x14ac:dyDescent="0.25">
      <c r="A17301" s="2">
        <v>17296</v>
      </c>
      <c r="B17301" s="3" t="str">
        <f>"00832785"</f>
        <v>00832785</v>
      </c>
    </row>
    <row r="17302" spans="1:2" x14ac:dyDescent="0.25">
      <c r="A17302" s="2">
        <v>17297</v>
      </c>
      <c r="B17302" s="3" t="str">
        <f>"00832789"</f>
        <v>00832789</v>
      </c>
    </row>
    <row r="17303" spans="1:2" x14ac:dyDescent="0.25">
      <c r="A17303" s="2">
        <v>17298</v>
      </c>
      <c r="B17303" s="3" t="str">
        <f>"00832798"</f>
        <v>00832798</v>
      </c>
    </row>
    <row r="17304" spans="1:2" x14ac:dyDescent="0.25">
      <c r="A17304" s="2">
        <v>17299</v>
      </c>
      <c r="B17304" s="3" t="str">
        <f>"00832820"</f>
        <v>00832820</v>
      </c>
    </row>
    <row r="17305" spans="1:2" x14ac:dyDescent="0.25">
      <c r="A17305" s="2">
        <v>17300</v>
      </c>
      <c r="B17305" s="3" t="str">
        <f>"00832874"</f>
        <v>00832874</v>
      </c>
    </row>
    <row r="17306" spans="1:2" x14ac:dyDescent="0.25">
      <c r="A17306" s="2">
        <v>17301</v>
      </c>
      <c r="B17306" s="3" t="str">
        <f>"00832901"</f>
        <v>00832901</v>
      </c>
    </row>
    <row r="17307" spans="1:2" x14ac:dyDescent="0.25">
      <c r="A17307" s="2">
        <v>17302</v>
      </c>
      <c r="B17307" s="3" t="str">
        <f>"00832907"</f>
        <v>00832907</v>
      </c>
    </row>
    <row r="17308" spans="1:2" x14ac:dyDescent="0.25">
      <c r="A17308" s="2">
        <v>17303</v>
      </c>
      <c r="B17308" s="3" t="str">
        <f>"00833020"</f>
        <v>00833020</v>
      </c>
    </row>
    <row r="17309" spans="1:2" x14ac:dyDescent="0.25">
      <c r="A17309" s="2">
        <v>17304</v>
      </c>
      <c r="B17309" s="3" t="str">
        <f>"00833033"</f>
        <v>00833033</v>
      </c>
    </row>
    <row r="17310" spans="1:2" x14ac:dyDescent="0.25">
      <c r="A17310" s="2">
        <v>17305</v>
      </c>
      <c r="B17310" s="3" t="str">
        <f>"00833062"</f>
        <v>00833062</v>
      </c>
    </row>
    <row r="17311" spans="1:2" x14ac:dyDescent="0.25">
      <c r="A17311" s="2">
        <v>17306</v>
      </c>
      <c r="B17311" s="3" t="str">
        <f>"00833121"</f>
        <v>00833121</v>
      </c>
    </row>
    <row r="17312" spans="1:2" x14ac:dyDescent="0.25">
      <c r="A17312" s="2">
        <v>17307</v>
      </c>
      <c r="B17312" s="3" t="str">
        <f>"00833200"</f>
        <v>00833200</v>
      </c>
    </row>
    <row r="17313" spans="1:2" x14ac:dyDescent="0.25">
      <c r="A17313" s="2">
        <v>17308</v>
      </c>
      <c r="B17313" s="3" t="str">
        <f>"00833243"</f>
        <v>00833243</v>
      </c>
    </row>
    <row r="17314" spans="1:2" x14ac:dyDescent="0.25">
      <c r="A17314" s="2">
        <v>17309</v>
      </c>
      <c r="B17314" s="3" t="str">
        <f>"00833285"</f>
        <v>00833285</v>
      </c>
    </row>
    <row r="17315" spans="1:2" x14ac:dyDescent="0.25">
      <c r="A17315" s="2">
        <v>17310</v>
      </c>
      <c r="B17315" s="3" t="str">
        <f>"00833296"</f>
        <v>00833296</v>
      </c>
    </row>
    <row r="17316" spans="1:2" x14ac:dyDescent="0.25">
      <c r="A17316" s="2">
        <v>17311</v>
      </c>
      <c r="B17316" s="3" t="str">
        <f>"00833331"</f>
        <v>00833331</v>
      </c>
    </row>
    <row r="17317" spans="1:2" x14ac:dyDescent="0.25">
      <c r="A17317" s="2">
        <v>17312</v>
      </c>
      <c r="B17317" s="3" t="str">
        <f>"00833358"</f>
        <v>00833358</v>
      </c>
    </row>
    <row r="17318" spans="1:2" x14ac:dyDescent="0.25">
      <c r="A17318" s="2">
        <v>17313</v>
      </c>
      <c r="B17318" s="3" t="str">
        <f>"00833359"</f>
        <v>00833359</v>
      </c>
    </row>
    <row r="17319" spans="1:2" x14ac:dyDescent="0.25">
      <c r="A17319" s="2">
        <v>17314</v>
      </c>
      <c r="B17319" s="3" t="str">
        <f>"00833407"</f>
        <v>00833407</v>
      </c>
    </row>
    <row r="17320" spans="1:2" x14ac:dyDescent="0.25">
      <c r="A17320" s="2">
        <v>17315</v>
      </c>
      <c r="B17320" s="3" t="str">
        <f>"00833443"</f>
        <v>00833443</v>
      </c>
    </row>
    <row r="17321" spans="1:2" x14ac:dyDescent="0.25">
      <c r="A17321" s="2">
        <v>17316</v>
      </c>
      <c r="B17321" s="3" t="str">
        <f>"00833481"</f>
        <v>00833481</v>
      </c>
    </row>
    <row r="17322" spans="1:2" x14ac:dyDescent="0.25">
      <c r="A17322" s="2">
        <v>17317</v>
      </c>
      <c r="B17322" s="3" t="str">
        <f>"00833491"</f>
        <v>00833491</v>
      </c>
    </row>
    <row r="17323" spans="1:2" x14ac:dyDescent="0.25">
      <c r="A17323" s="2">
        <v>17318</v>
      </c>
      <c r="B17323" s="3" t="str">
        <f>"00833501"</f>
        <v>00833501</v>
      </c>
    </row>
    <row r="17324" spans="1:2" x14ac:dyDescent="0.25">
      <c r="A17324" s="2">
        <v>17319</v>
      </c>
      <c r="B17324" s="3" t="str">
        <f>"00833503"</f>
        <v>00833503</v>
      </c>
    </row>
    <row r="17325" spans="1:2" x14ac:dyDescent="0.25">
      <c r="A17325" s="2">
        <v>17320</v>
      </c>
      <c r="B17325" s="3" t="str">
        <f>"00833579"</f>
        <v>00833579</v>
      </c>
    </row>
    <row r="17326" spans="1:2" x14ac:dyDescent="0.25">
      <c r="A17326" s="2">
        <v>17321</v>
      </c>
      <c r="B17326" s="3" t="str">
        <f>"00833646"</f>
        <v>00833646</v>
      </c>
    </row>
    <row r="17327" spans="1:2" x14ac:dyDescent="0.25">
      <c r="A17327" s="2">
        <v>17322</v>
      </c>
      <c r="B17327" s="3" t="str">
        <f>"00833659"</f>
        <v>00833659</v>
      </c>
    </row>
    <row r="17328" spans="1:2" x14ac:dyDescent="0.25">
      <c r="A17328" s="2">
        <v>17323</v>
      </c>
      <c r="B17328" s="3" t="str">
        <f>"00833730"</f>
        <v>00833730</v>
      </c>
    </row>
    <row r="17329" spans="1:2" x14ac:dyDescent="0.25">
      <c r="A17329" s="2">
        <v>17324</v>
      </c>
      <c r="B17329" s="3" t="str">
        <f>"00833735"</f>
        <v>00833735</v>
      </c>
    </row>
    <row r="17330" spans="1:2" x14ac:dyDescent="0.25">
      <c r="A17330" s="2">
        <v>17325</v>
      </c>
      <c r="B17330" s="3" t="str">
        <f>"00833758"</f>
        <v>00833758</v>
      </c>
    </row>
    <row r="17331" spans="1:2" x14ac:dyDescent="0.25">
      <c r="A17331" s="2">
        <v>17326</v>
      </c>
      <c r="B17331" s="3" t="str">
        <f>"00833766"</f>
        <v>00833766</v>
      </c>
    </row>
    <row r="17332" spans="1:2" x14ac:dyDescent="0.25">
      <c r="A17332" s="2">
        <v>17327</v>
      </c>
      <c r="B17332" s="3" t="str">
        <f>"00833787"</f>
        <v>00833787</v>
      </c>
    </row>
    <row r="17333" spans="1:2" x14ac:dyDescent="0.25">
      <c r="A17333" s="2">
        <v>17328</v>
      </c>
      <c r="B17333" s="3" t="str">
        <f>"00833860"</f>
        <v>00833860</v>
      </c>
    </row>
    <row r="17334" spans="1:2" x14ac:dyDescent="0.25">
      <c r="A17334" s="2">
        <v>17329</v>
      </c>
      <c r="B17334" s="3" t="str">
        <f>"00833873"</f>
        <v>00833873</v>
      </c>
    </row>
    <row r="17335" spans="1:2" x14ac:dyDescent="0.25">
      <c r="A17335" s="2">
        <v>17330</v>
      </c>
      <c r="B17335" s="3" t="str">
        <f>"00833875"</f>
        <v>00833875</v>
      </c>
    </row>
    <row r="17336" spans="1:2" x14ac:dyDescent="0.25">
      <c r="A17336" s="2">
        <v>17331</v>
      </c>
      <c r="B17336" s="3" t="str">
        <f>"00833910"</f>
        <v>00833910</v>
      </c>
    </row>
    <row r="17337" spans="1:2" x14ac:dyDescent="0.25">
      <c r="A17337" s="2">
        <v>17332</v>
      </c>
      <c r="B17337" s="3" t="str">
        <f>"00833973"</f>
        <v>00833973</v>
      </c>
    </row>
    <row r="17338" spans="1:2" x14ac:dyDescent="0.25">
      <c r="A17338" s="2">
        <v>17333</v>
      </c>
      <c r="B17338" s="3" t="str">
        <f>"00833987"</f>
        <v>00833987</v>
      </c>
    </row>
    <row r="17339" spans="1:2" x14ac:dyDescent="0.25">
      <c r="A17339" s="2">
        <v>17334</v>
      </c>
      <c r="B17339" s="3" t="str">
        <f>"00833990"</f>
        <v>00833990</v>
      </c>
    </row>
    <row r="17340" spans="1:2" x14ac:dyDescent="0.25">
      <c r="A17340" s="2">
        <v>17335</v>
      </c>
      <c r="B17340" s="3" t="str">
        <f>"00834016"</f>
        <v>00834016</v>
      </c>
    </row>
    <row r="17341" spans="1:2" x14ac:dyDescent="0.25">
      <c r="A17341" s="2">
        <v>17336</v>
      </c>
      <c r="B17341" s="3" t="str">
        <f>"00834060"</f>
        <v>00834060</v>
      </c>
    </row>
    <row r="17342" spans="1:2" x14ac:dyDescent="0.25">
      <c r="A17342" s="2">
        <v>17337</v>
      </c>
      <c r="B17342" s="3" t="str">
        <f>"00834068"</f>
        <v>00834068</v>
      </c>
    </row>
    <row r="17343" spans="1:2" x14ac:dyDescent="0.25">
      <c r="A17343" s="2">
        <v>17338</v>
      </c>
      <c r="B17343" s="3" t="str">
        <f>"00834069"</f>
        <v>00834069</v>
      </c>
    </row>
    <row r="17344" spans="1:2" x14ac:dyDescent="0.25">
      <c r="A17344" s="2">
        <v>17339</v>
      </c>
      <c r="B17344" s="3" t="str">
        <f>"00834076"</f>
        <v>00834076</v>
      </c>
    </row>
    <row r="17345" spans="1:2" x14ac:dyDescent="0.25">
      <c r="A17345" s="2">
        <v>17340</v>
      </c>
      <c r="B17345" s="3" t="str">
        <f>"00834117"</f>
        <v>00834117</v>
      </c>
    </row>
    <row r="17346" spans="1:2" x14ac:dyDescent="0.25">
      <c r="A17346" s="2">
        <v>17341</v>
      </c>
      <c r="B17346" s="3" t="str">
        <f>"00834189"</f>
        <v>00834189</v>
      </c>
    </row>
    <row r="17347" spans="1:2" x14ac:dyDescent="0.25">
      <c r="A17347" s="2">
        <v>17342</v>
      </c>
      <c r="B17347" s="3" t="str">
        <f>"00834258"</f>
        <v>00834258</v>
      </c>
    </row>
    <row r="17348" spans="1:2" x14ac:dyDescent="0.25">
      <c r="A17348" s="2">
        <v>17343</v>
      </c>
      <c r="B17348" s="3" t="str">
        <f>"00834270"</f>
        <v>00834270</v>
      </c>
    </row>
    <row r="17349" spans="1:2" x14ac:dyDescent="0.25">
      <c r="A17349" s="2">
        <v>17344</v>
      </c>
      <c r="B17349" s="3" t="str">
        <f>"00834292"</f>
        <v>00834292</v>
      </c>
    </row>
    <row r="17350" spans="1:2" x14ac:dyDescent="0.25">
      <c r="A17350" s="2">
        <v>17345</v>
      </c>
      <c r="B17350" s="3" t="str">
        <f>"00834295"</f>
        <v>00834295</v>
      </c>
    </row>
    <row r="17351" spans="1:2" x14ac:dyDescent="0.25">
      <c r="A17351" s="2">
        <v>17346</v>
      </c>
      <c r="B17351" s="3" t="str">
        <f>"00834320"</f>
        <v>00834320</v>
      </c>
    </row>
    <row r="17352" spans="1:2" x14ac:dyDescent="0.25">
      <c r="A17352" s="2">
        <v>17347</v>
      </c>
      <c r="B17352" s="3" t="str">
        <f>"00834321"</f>
        <v>00834321</v>
      </c>
    </row>
    <row r="17353" spans="1:2" x14ac:dyDescent="0.25">
      <c r="A17353" s="2">
        <v>17348</v>
      </c>
      <c r="B17353" s="3" t="str">
        <f>"00834322"</f>
        <v>00834322</v>
      </c>
    </row>
    <row r="17354" spans="1:2" x14ac:dyDescent="0.25">
      <c r="A17354" s="2">
        <v>17349</v>
      </c>
      <c r="B17354" s="3" t="str">
        <f>"00834350"</f>
        <v>00834350</v>
      </c>
    </row>
    <row r="17355" spans="1:2" x14ac:dyDescent="0.25">
      <c r="A17355" s="2">
        <v>17350</v>
      </c>
      <c r="B17355" s="3" t="str">
        <f>"00834369"</f>
        <v>00834369</v>
      </c>
    </row>
    <row r="17356" spans="1:2" x14ac:dyDescent="0.25">
      <c r="A17356" s="2">
        <v>17351</v>
      </c>
      <c r="B17356" s="3" t="str">
        <f>"00834414"</f>
        <v>00834414</v>
      </c>
    </row>
    <row r="17357" spans="1:2" x14ac:dyDescent="0.25">
      <c r="A17357" s="2">
        <v>17352</v>
      </c>
      <c r="B17357" s="3" t="str">
        <f>"00834417"</f>
        <v>00834417</v>
      </c>
    </row>
    <row r="17358" spans="1:2" x14ac:dyDescent="0.25">
      <c r="A17358" s="2">
        <v>17353</v>
      </c>
      <c r="B17358" s="3" t="str">
        <f>"00834484"</f>
        <v>00834484</v>
      </c>
    </row>
    <row r="17359" spans="1:2" x14ac:dyDescent="0.25">
      <c r="A17359" s="2">
        <v>17354</v>
      </c>
      <c r="B17359" s="3" t="str">
        <f>"00834522"</f>
        <v>00834522</v>
      </c>
    </row>
    <row r="17360" spans="1:2" x14ac:dyDescent="0.25">
      <c r="A17360" s="2">
        <v>17355</v>
      </c>
      <c r="B17360" s="3" t="str">
        <f>"00834546"</f>
        <v>00834546</v>
      </c>
    </row>
    <row r="17361" spans="1:2" x14ac:dyDescent="0.25">
      <c r="A17361" s="2">
        <v>17356</v>
      </c>
      <c r="B17361" s="3" t="str">
        <f>"00834593"</f>
        <v>00834593</v>
      </c>
    </row>
    <row r="17362" spans="1:2" x14ac:dyDescent="0.25">
      <c r="A17362" s="2">
        <v>17357</v>
      </c>
      <c r="B17362" s="3" t="str">
        <f>"00834636"</f>
        <v>00834636</v>
      </c>
    </row>
    <row r="17363" spans="1:2" x14ac:dyDescent="0.25">
      <c r="A17363" s="2">
        <v>17358</v>
      </c>
      <c r="B17363" s="3" t="str">
        <f>"00834701"</f>
        <v>00834701</v>
      </c>
    </row>
    <row r="17364" spans="1:2" x14ac:dyDescent="0.25">
      <c r="A17364" s="2">
        <v>17359</v>
      </c>
      <c r="B17364" s="3" t="str">
        <f>"00834704"</f>
        <v>00834704</v>
      </c>
    </row>
    <row r="17365" spans="1:2" x14ac:dyDescent="0.25">
      <c r="A17365" s="2">
        <v>17360</v>
      </c>
      <c r="B17365" s="3" t="str">
        <f>"00834722"</f>
        <v>00834722</v>
      </c>
    </row>
    <row r="17366" spans="1:2" x14ac:dyDescent="0.25">
      <c r="A17366" s="2">
        <v>17361</v>
      </c>
      <c r="B17366" s="3" t="str">
        <f>"00834760"</f>
        <v>00834760</v>
      </c>
    </row>
    <row r="17367" spans="1:2" x14ac:dyDescent="0.25">
      <c r="A17367" s="2">
        <v>17362</v>
      </c>
      <c r="B17367" s="3" t="str">
        <f>"00834772"</f>
        <v>00834772</v>
      </c>
    </row>
    <row r="17368" spans="1:2" x14ac:dyDescent="0.25">
      <c r="A17368" s="2">
        <v>17363</v>
      </c>
      <c r="B17368" s="3" t="str">
        <f>"00834797"</f>
        <v>00834797</v>
      </c>
    </row>
    <row r="17369" spans="1:2" x14ac:dyDescent="0.25">
      <c r="A17369" s="2">
        <v>17364</v>
      </c>
      <c r="B17369" s="3" t="str">
        <f>"00834803"</f>
        <v>00834803</v>
      </c>
    </row>
    <row r="17370" spans="1:2" x14ac:dyDescent="0.25">
      <c r="A17370" s="2">
        <v>17365</v>
      </c>
      <c r="B17370" s="3" t="str">
        <f>"00834864"</f>
        <v>00834864</v>
      </c>
    </row>
    <row r="17371" spans="1:2" x14ac:dyDescent="0.25">
      <c r="A17371" s="2">
        <v>17366</v>
      </c>
      <c r="B17371" s="3" t="str">
        <f>"00834873"</f>
        <v>00834873</v>
      </c>
    </row>
    <row r="17372" spans="1:2" x14ac:dyDescent="0.25">
      <c r="A17372" s="2">
        <v>17367</v>
      </c>
      <c r="B17372" s="3" t="str">
        <f>"00834935"</f>
        <v>00834935</v>
      </c>
    </row>
    <row r="17373" spans="1:2" x14ac:dyDescent="0.25">
      <c r="A17373" s="2">
        <v>17368</v>
      </c>
      <c r="B17373" s="3" t="str">
        <f>"00834952"</f>
        <v>00834952</v>
      </c>
    </row>
    <row r="17374" spans="1:2" x14ac:dyDescent="0.25">
      <c r="A17374" s="2">
        <v>17369</v>
      </c>
      <c r="B17374" s="3" t="str">
        <f>"00835078"</f>
        <v>00835078</v>
      </c>
    </row>
    <row r="17375" spans="1:2" x14ac:dyDescent="0.25">
      <c r="A17375" s="2">
        <v>17370</v>
      </c>
      <c r="B17375" s="3" t="str">
        <f>"00835087"</f>
        <v>00835087</v>
      </c>
    </row>
    <row r="17376" spans="1:2" x14ac:dyDescent="0.25">
      <c r="A17376" s="2">
        <v>17371</v>
      </c>
      <c r="B17376" s="3" t="str">
        <f>"00835102"</f>
        <v>00835102</v>
      </c>
    </row>
    <row r="17377" spans="1:2" x14ac:dyDescent="0.25">
      <c r="A17377" s="2">
        <v>17372</v>
      </c>
      <c r="B17377" s="3" t="str">
        <f>"00835143"</f>
        <v>00835143</v>
      </c>
    </row>
    <row r="17378" spans="1:2" x14ac:dyDescent="0.25">
      <c r="A17378" s="2">
        <v>17373</v>
      </c>
      <c r="B17378" s="3" t="str">
        <f>"00835168"</f>
        <v>00835168</v>
      </c>
    </row>
    <row r="17379" spans="1:2" x14ac:dyDescent="0.25">
      <c r="A17379" s="2">
        <v>17374</v>
      </c>
      <c r="B17379" s="3" t="str">
        <f>"00835203"</f>
        <v>00835203</v>
      </c>
    </row>
    <row r="17380" spans="1:2" x14ac:dyDescent="0.25">
      <c r="A17380" s="2">
        <v>17375</v>
      </c>
      <c r="B17380" s="3" t="str">
        <f>"00835260"</f>
        <v>00835260</v>
      </c>
    </row>
    <row r="17381" spans="1:2" x14ac:dyDescent="0.25">
      <c r="A17381" s="2">
        <v>17376</v>
      </c>
      <c r="B17381" s="3" t="str">
        <f>"00835261"</f>
        <v>00835261</v>
      </c>
    </row>
    <row r="17382" spans="1:2" x14ac:dyDescent="0.25">
      <c r="A17382" s="2">
        <v>17377</v>
      </c>
      <c r="B17382" s="3" t="str">
        <f>"00835302"</f>
        <v>00835302</v>
      </c>
    </row>
    <row r="17383" spans="1:2" x14ac:dyDescent="0.25">
      <c r="A17383" s="2">
        <v>17378</v>
      </c>
      <c r="B17383" s="3" t="str">
        <f>"00835343"</f>
        <v>00835343</v>
      </c>
    </row>
    <row r="17384" spans="1:2" x14ac:dyDescent="0.25">
      <c r="A17384" s="2">
        <v>17379</v>
      </c>
      <c r="B17384" s="3" t="str">
        <f>"00835347"</f>
        <v>00835347</v>
      </c>
    </row>
    <row r="17385" spans="1:2" x14ac:dyDescent="0.25">
      <c r="A17385" s="2">
        <v>17380</v>
      </c>
      <c r="B17385" s="3" t="str">
        <f>"00835366"</f>
        <v>00835366</v>
      </c>
    </row>
    <row r="17386" spans="1:2" x14ac:dyDescent="0.25">
      <c r="A17386" s="2">
        <v>17381</v>
      </c>
      <c r="B17386" s="3" t="str">
        <f>"00835383"</f>
        <v>00835383</v>
      </c>
    </row>
    <row r="17387" spans="1:2" x14ac:dyDescent="0.25">
      <c r="A17387" s="2">
        <v>17382</v>
      </c>
      <c r="B17387" s="3" t="str">
        <f>"00835445"</f>
        <v>00835445</v>
      </c>
    </row>
    <row r="17388" spans="1:2" x14ac:dyDescent="0.25">
      <c r="A17388" s="2">
        <v>17383</v>
      </c>
      <c r="B17388" s="3" t="str">
        <f>"00835527"</f>
        <v>00835527</v>
      </c>
    </row>
    <row r="17389" spans="1:2" x14ac:dyDescent="0.25">
      <c r="A17389" s="2">
        <v>17384</v>
      </c>
      <c r="B17389" s="3" t="str">
        <f>"00835534"</f>
        <v>00835534</v>
      </c>
    </row>
    <row r="17390" spans="1:2" x14ac:dyDescent="0.25">
      <c r="A17390" s="2">
        <v>17385</v>
      </c>
      <c r="B17390" s="3" t="str">
        <f>"00835597"</f>
        <v>00835597</v>
      </c>
    </row>
    <row r="17391" spans="1:2" x14ac:dyDescent="0.25">
      <c r="A17391" s="2">
        <v>17386</v>
      </c>
      <c r="B17391" s="3" t="str">
        <f>"00835719"</f>
        <v>00835719</v>
      </c>
    </row>
    <row r="17392" spans="1:2" x14ac:dyDescent="0.25">
      <c r="A17392" s="2">
        <v>17387</v>
      </c>
      <c r="B17392" s="3" t="str">
        <f>"00835777"</f>
        <v>00835777</v>
      </c>
    </row>
    <row r="17393" spans="1:2" x14ac:dyDescent="0.25">
      <c r="A17393" s="2">
        <v>17388</v>
      </c>
      <c r="B17393" s="3" t="str">
        <f>"00835782"</f>
        <v>00835782</v>
      </c>
    </row>
    <row r="17394" spans="1:2" x14ac:dyDescent="0.25">
      <c r="A17394" s="2">
        <v>17389</v>
      </c>
      <c r="B17394" s="3" t="str">
        <f>"00835809"</f>
        <v>00835809</v>
      </c>
    </row>
    <row r="17395" spans="1:2" x14ac:dyDescent="0.25">
      <c r="A17395" s="2">
        <v>17390</v>
      </c>
      <c r="B17395" s="3" t="str">
        <f>"00835832"</f>
        <v>00835832</v>
      </c>
    </row>
    <row r="17396" spans="1:2" x14ac:dyDescent="0.25">
      <c r="A17396" s="2">
        <v>17391</v>
      </c>
      <c r="B17396" s="3" t="str">
        <f>"00835853"</f>
        <v>00835853</v>
      </c>
    </row>
    <row r="17397" spans="1:2" x14ac:dyDescent="0.25">
      <c r="A17397" s="2">
        <v>17392</v>
      </c>
      <c r="B17397" s="3" t="str">
        <f>"00836011"</f>
        <v>00836011</v>
      </c>
    </row>
    <row r="17398" spans="1:2" x14ac:dyDescent="0.25">
      <c r="A17398" s="2">
        <v>17393</v>
      </c>
      <c r="B17398" s="3" t="str">
        <f>"00836021"</f>
        <v>00836021</v>
      </c>
    </row>
    <row r="17399" spans="1:2" x14ac:dyDescent="0.25">
      <c r="A17399" s="2">
        <v>17394</v>
      </c>
      <c r="B17399" s="3" t="str">
        <f>"00836219"</f>
        <v>00836219</v>
      </c>
    </row>
    <row r="17400" spans="1:2" x14ac:dyDescent="0.25">
      <c r="A17400" s="2">
        <v>17395</v>
      </c>
      <c r="B17400" s="3" t="str">
        <f>"00836286"</f>
        <v>00836286</v>
      </c>
    </row>
    <row r="17401" spans="1:2" x14ac:dyDescent="0.25">
      <c r="A17401" s="2">
        <v>17396</v>
      </c>
      <c r="B17401" s="3" t="str">
        <f>"00836415"</f>
        <v>00836415</v>
      </c>
    </row>
    <row r="17402" spans="1:2" x14ac:dyDescent="0.25">
      <c r="A17402" s="2">
        <v>17397</v>
      </c>
      <c r="B17402" s="3" t="str">
        <f>"00836417"</f>
        <v>00836417</v>
      </c>
    </row>
    <row r="17403" spans="1:2" x14ac:dyDescent="0.25">
      <c r="A17403" s="2">
        <v>17398</v>
      </c>
      <c r="B17403" s="3" t="str">
        <f>"00836485"</f>
        <v>00836485</v>
      </c>
    </row>
    <row r="17404" spans="1:2" x14ac:dyDescent="0.25">
      <c r="A17404" s="2">
        <v>17399</v>
      </c>
      <c r="B17404" s="3" t="str">
        <f>"00836559"</f>
        <v>00836559</v>
      </c>
    </row>
    <row r="17405" spans="1:2" x14ac:dyDescent="0.25">
      <c r="A17405" s="2">
        <v>17400</v>
      </c>
      <c r="B17405" s="3" t="str">
        <f>"00836676"</f>
        <v>00836676</v>
      </c>
    </row>
    <row r="17406" spans="1:2" x14ac:dyDescent="0.25">
      <c r="A17406" s="2">
        <v>17401</v>
      </c>
      <c r="B17406" s="3" t="str">
        <f>"00836709"</f>
        <v>00836709</v>
      </c>
    </row>
    <row r="17407" spans="1:2" x14ac:dyDescent="0.25">
      <c r="A17407" s="2">
        <v>17402</v>
      </c>
      <c r="B17407" s="3" t="str">
        <f>"00836785"</f>
        <v>00836785</v>
      </c>
    </row>
    <row r="17408" spans="1:2" x14ac:dyDescent="0.25">
      <c r="A17408" s="2">
        <v>17403</v>
      </c>
      <c r="B17408" s="3" t="str">
        <f>"00836818"</f>
        <v>00836818</v>
      </c>
    </row>
    <row r="17409" spans="1:2" x14ac:dyDescent="0.25">
      <c r="A17409" s="2">
        <v>17404</v>
      </c>
      <c r="B17409" s="3" t="str">
        <f>"00836835"</f>
        <v>00836835</v>
      </c>
    </row>
    <row r="17410" spans="1:2" x14ac:dyDescent="0.25">
      <c r="A17410" s="2">
        <v>17405</v>
      </c>
      <c r="B17410" s="3" t="str">
        <f>"00836844"</f>
        <v>00836844</v>
      </c>
    </row>
    <row r="17411" spans="1:2" x14ac:dyDescent="0.25">
      <c r="A17411" s="2">
        <v>17406</v>
      </c>
      <c r="B17411" s="3" t="str">
        <f>"00836862"</f>
        <v>00836862</v>
      </c>
    </row>
    <row r="17412" spans="1:2" x14ac:dyDescent="0.25">
      <c r="A17412" s="2">
        <v>17407</v>
      </c>
      <c r="B17412" s="3" t="str">
        <f>"00836890"</f>
        <v>00836890</v>
      </c>
    </row>
    <row r="17413" spans="1:2" x14ac:dyDescent="0.25">
      <c r="A17413" s="2">
        <v>17408</v>
      </c>
      <c r="B17413" s="3" t="str">
        <f>"00836900"</f>
        <v>00836900</v>
      </c>
    </row>
    <row r="17414" spans="1:2" x14ac:dyDescent="0.25">
      <c r="A17414" s="2">
        <v>17409</v>
      </c>
      <c r="B17414" s="3" t="str">
        <f>"00836951"</f>
        <v>00836951</v>
      </c>
    </row>
    <row r="17415" spans="1:2" x14ac:dyDescent="0.25">
      <c r="A17415" s="2">
        <v>17410</v>
      </c>
      <c r="B17415" s="3" t="str">
        <f>"00836987"</f>
        <v>00836987</v>
      </c>
    </row>
    <row r="17416" spans="1:2" x14ac:dyDescent="0.25">
      <c r="A17416" s="2">
        <v>17411</v>
      </c>
      <c r="B17416" s="3" t="str">
        <f>"00837152"</f>
        <v>00837152</v>
      </c>
    </row>
    <row r="17417" spans="1:2" x14ac:dyDescent="0.25">
      <c r="A17417" s="2">
        <v>17412</v>
      </c>
      <c r="B17417" s="3" t="str">
        <f>"00837158"</f>
        <v>00837158</v>
      </c>
    </row>
    <row r="17418" spans="1:2" x14ac:dyDescent="0.25">
      <c r="A17418" s="2">
        <v>17413</v>
      </c>
      <c r="B17418" s="3" t="str">
        <f>"00837194"</f>
        <v>00837194</v>
      </c>
    </row>
    <row r="17419" spans="1:2" x14ac:dyDescent="0.25">
      <c r="A17419" s="2">
        <v>17414</v>
      </c>
      <c r="B17419" s="3" t="str">
        <f>"00837204"</f>
        <v>00837204</v>
      </c>
    </row>
    <row r="17420" spans="1:2" x14ac:dyDescent="0.25">
      <c r="A17420" s="2">
        <v>17415</v>
      </c>
      <c r="B17420" s="3" t="str">
        <f>"00837442"</f>
        <v>00837442</v>
      </c>
    </row>
    <row r="17421" spans="1:2" x14ac:dyDescent="0.25">
      <c r="A17421" s="2">
        <v>17416</v>
      </c>
      <c r="B17421" s="3" t="str">
        <f>"00837455"</f>
        <v>00837455</v>
      </c>
    </row>
    <row r="17422" spans="1:2" x14ac:dyDescent="0.25">
      <c r="A17422" s="2">
        <v>17417</v>
      </c>
      <c r="B17422" s="3" t="str">
        <f>"00837494"</f>
        <v>00837494</v>
      </c>
    </row>
    <row r="17423" spans="1:2" x14ac:dyDescent="0.25">
      <c r="A17423" s="2">
        <v>17418</v>
      </c>
      <c r="B17423" s="3" t="str">
        <f>"00837513"</f>
        <v>00837513</v>
      </c>
    </row>
    <row r="17424" spans="1:2" x14ac:dyDescent="0.25">
      <c r="A17424" s="2">
        <v>17419</v>
      </c>
      <c r="B17424" s="3" t="str">
        <f>"00837520"</f>
        <v>00837520</v>
      </c>
    </row>
    <row r="17425" spans="1:2" x14ac:dyDescent="0.25">
      <c r="A17425" s="2">
        <v>17420</v>
      </c>
      <c r="B17425" s="3" t="str">
        <f>"00837555"</f>
        <v>00837555</v>
      </c>
    </row>
    <row r="17426" spans="1:2" x14ac:dyDescent="0.25">
      <c r="A17426" s="2">
        <v>17421</v>
      </c>
      <c r="B17426" s="3" t="str">
        <f>"00837584"</f>
        <v>00837584</v>
      </c>
    </row>
    <row r="17427" spans="1:2" x14ac:dyDescent="0.25">
      <c r="A17427" s="2">
        <v>17422</v>
      </c>
      <c r="B17427" s="3" t="str">
        <f>"00837655"</f>
        <v>00837655</v>
      </c>
    </row>
    <row r="17428" spans="1:2" x14ac:dyDescent="0.25">
      <c r="A17428" s="2">
        <v>17423</v>
      </c>
      <c r="B17428" s="3" t="str">
        <f>"00837673"</f>
        <v>00837673</v>
      </c>
    </row>
    <row r="17429" spans="1:2" x14ac:dyDescent="0.25">
      <c r="A17429" s="2">
        <v>17424</v>
      </c>
      <c r="B17429" s="3" t="str">
        <f>"00837694"</f>
        <v>00837694</v>
      </c>
    </row>
    <row r="17430" spans="1:2" x14ac:dyDescent="0.25">
      <c r="A17430" s="2">
        <v>17425</v>
      </c>
      <c r="B17430" s="3" t="str">
        <f>"00837699"</f>
        <v>00837699</v>
      </c>
    </row>
    <row r="17431" spans="1:2" x14ac:dyDescent="0.25">
      <c r="A17431" s="2">
        <v>17426</v>
      </c>
      <c r="B17431" s="3" t="str">
        <f>"00837704"</f>
        <v>00837704</v>
      </c>
    </row>
    <row r="17432" spans="1:2" x14ac:dyDescent="0.25">
      <c r="A17432" s="2">
        <v>17427</v>
      </c>
      <c r="B17432" s="3" t="str">
        <f>"00837705"</f>
        <v>00837705</v>
      </c>
    </row>
    <row r="17433" spans="1:2" x14ac:dyDescent="0.25">
      <c r="A17433" s="2">
        <v>17428</v>
      </c>
      <c r="B17433" s="3" t="str">
        <f>"00837707"</f>
        <v>00837707</v>
      </c>
    </row>
    <row r="17434" spans="1:2" x14ac:dyDescent="0.25">
      <c r="A17434" s="2">
        <v>17429</v>
      </c>
      <c r="B17434" s="3" t="str">
        <f>"00837715"</f>
        <v>00837715</v>
      </c>
    </row>
    <row r="17435" spans="1:2" x14ac:dyDescent="0.25">
      <c r="A17435" s="2">
        <v>17430</v>
      </c>
      <c r="B17435" s="3" t="str">
        <f>"00837717"</f>
        <v>00837717</v>
      </c>
    </row>
    <row r="17436" spans="1:2" x14ac:dyDescent="0.25">
      <c r="A17436" s="2">
        <v>17431</v>
      </c>
      <c r="B17436" s="3" t="str">
        <f>"00837722"</f>
        <v>00837722</v>
      </c>
    </row>
    <row r="17437" spans="1:2" x14ac:dyDescent="0.25">
      <c r="A17437" s="2">
        <v>17432</v>
      </c>
      <c r="B17437" s="3" t="str">
        <f>"00837786"</f>
        <v>00837786</v>
      </c>
    </row>
    <row r="17438" spans="1:2" x14ac:dyDescent="0.25">
      <c r="A17438" s="2">
        <v>17433</v>
      </c>
      <c r="B17438" s="3" t="str">
        <f>"00837825"</f>
        <v>00837825</v>
      </c>
    </row>
    <row r="17439" spans="1:2" x14ac:dyDescent="0.25">
      <c r="A17439" s="2">
        <v>17434</v>
      </c>
      <c r="B17439" s="3" t="str">
        <f>"00837841"</f>
        <v>00837841</v>
      </c>
    </row>
    <row r="17440" spans="1:2" x14ac:dyDescent="0.25">
      <c r="A17440" s="2">
        <v>17435</v>
      </c>
      <c r="B17440" s="3" t="str">
        <f>"00837872"</f>
        <v>00837872</v>
      </c>
    </row>
    <row r="17441" spans="1:2" x14ac:dyDescent="0.25">
      <c r="A17441" s="2">
        <v>17436</v>
      </c>
      <c r="B17441" s="3" t="str">
        <f>"00837959"</f>
        <v>00837959</v>
      </c>
    </row>
    <row r="17442" spans="1:2" x14ac:dyDescent="0.25">
      <c r="A17442" s="2">
        <v>17437</v>
      </c>
      <c r="B17442" s="3" t="str">
        <f>"00837982"</f>
        <v>00837982</v>
      </c>
    </row>
    <row r="17443" spans="1:2" x14ac:dyDescent="0.25">
      <c r="A17443" s="2">
        <v>17438</v>
      </c>
      <c r="B17443" s="3" t="str">
        <f>"00837997"</f>
        <v>00837997</v>
      </c>
    </row>
    <row r="17444" spans="1:2" x14ac:dyDescent="0.25">
      <c r="A17444" s="2">
        <v>17439</v>
      </c>
      <c r="B17444" s="3" t="str">
        <f>"00838017"</f>
        <v>00838017</v>
      </c>
    </row>
    <row r="17445" spans="1:2" x14ac:dyDescent="0.25">
      <c r="A17445" s="2">
        <v>17440</v>
      </c>
      <c r="B17445" s="3" t="str">
        <f>"00838025"</f>
        <v>00838025</v>
      </c>
    </row>
    <row r="17446" spans="1:2" x14ac:dyDescent="0.25">
      <c r="A17446" s="2">
        <v>17441</v>
      </c>
      <c r="B17446" s="3" t="str">
        <f>"00838054"</f>
        <v>00838054</v>
      </c>
    </row>
    <row r="17447" spans="1:2" x14ac:dyDescent="0.25">
      <c r="A17447" s="2">
        <v>17442</v>
      </c>
      <c r="B17447" s="3" t="str">
        <f>"00838126"</f>
        <v>00838126</v>
      </c>
    </row>
    <row r="17448" spans="1:2" x14ac:dyDescent="0.25">
      <c r="A17448" s="2">
        <v>17443</v>
      </c>
      <c r="B17448" s="3" t="str">
        <f>"00838134"</f>
        <v>00838134</v>
      </c>
    </row>
    <row r="17449" spans="1:2" x14ac:dyDescent="0.25">
      <c r="A17449" s="2">
        <v>17444</v>
      </c>
      <c r="B17449" s="3" t="str">
        <f>"00838165"</f>
        <v>00838165</v>
      </c>
    </row>
    <row r="17450" spans="1:2" x14ac:dyDescent="0.25">
      <c r="A17450" s="2">
        <v>17445</v>
      </c>
      <c r="B17450" s="3" t="str">
        <f>"00838194"</f>
        <v>00838194</v>
      </c>
    </row>
    <row r="17451" spans="1:2" x14ac:dyDescent="0.25">
      <c r="A17451" s="2">
        <v>17446</v>
      </c>
      <c r="B17451" s="3" t="str">
        <f>"00838215"</f>
        <v>00838215</v>
      </c>
    </row>
    <row r="17452" spans="1:2" x14ac:dyDescent="0.25">
      <c r="A17452" s="2">
        <v>17447</v>
      </c>
      <c r="B17452" s="3" t="str">
        <f>"00838249"</f>
        <v>00838249</v>
      </c>
    </row>
    <row r="17453" spans="1:2" x14ac:dyDescent="0.25">
      <c r="A17453" s="2">
        <v>17448</v>
      </c>
      <c r="B17453" s="3" t="str">
        <f>"00838272"</f>
        <v>00838272</v>
      </c>
    </row>
    <row r="17454" spans="1:2" x14ac:dyDescent="0.25">
      <c r="A17454" s="2">
        <v>17449</v>
      </c>
      <c r="B17454" s="3" t="str">
        <f>"00838423"</f>
        <v>00838423</v>
      </c>
    </row>
    <row r="17455" spans="1:2" x14ac:dyDescent="0.25">
      <c r="A17455" s="2">
        <v>17450</v>
      </c>
      <c r="B17455" s="3" t="str">
        <f>"00838424"</f>
        <v>00838424</v>
      </c>
    </row>
    <row r="17456" spans="1:2" x14ac:dyDescent="0.25">
      <c r="A17456" s="2">
        <v>17451</v>
      </c>
      <c r="B17456" s="3" t="str">
        <f>"00838496"</f>
        <v>00838496</v>
      </c>
    </row>
    <row r="17457" spans="1:2" x14ac:dyDescent="0.25">
      <c r="A17457" s="2">
        <v>17452</v>
      </c>
      <c r="B17457" s="3" t="str">
        <f>"00838520"</f>
        <v>00838520</v>
      </c>
    </row>
    <row r="17458" spans="1:2" x14ac:dyDescent="0.25">
      <c r="A17458" s="2">
        <v>17453</v>
      </c>
      <c r="B17458" s="3" t="str">
        <f>"00838537"</f>
        <v>00838537</v>
      </c>
    </row>
    <row r="17459" spans="1:2" x14ac:dyDescent="0.25">
      <c r="A17459" s="2">
        <v>17454</v>
      </c>
      <c r="B17459" s="3" t="str">
        <f>"00838551"</f>
        <v>00838551</v>
      </c>
    </row>
    <row r="17460" spans="1:2" x14ac:dyDescent="0.25">
      <c r="A17460" s="2">
        <v>17455</v>
      </c>
      <c r="B17460" s="3" t="str">
        <f>"00838552"</f>
        <v>00838552</v>
      </c>
    </row>
    <row r="17461" spans="1:2" x14ac:dyDescent="0.25">
      <c r="A17461" s="2">
        <v>17456</v>
      </c>
      <c r="B17461" s="3" t="str">
        <f>"00838560"</f>
        <v>00838560</v>
      </c>
    </row>
    <row r="17462" spans="1:2" x14ac:dyDescent="0.25">
      <c r="A17462" s="2">
        <v>17457</v>
      </c>
      <c r="B17462" s="3" t="str">
        <f>"00838604"</f>
        <v>00838604</v>
      </c>
    </row>
    <row r="17463" spans="1:2" x14ac:dyDescent="0.25">
      <c r="A17463" s="2">
        <v>17458</v>
      </c>
      <c r="B17463" s="3" t="str">
        <f>"00838616"</f>
        <v>00838616</v>
      </c>
    </row>
    <row r="17464" spans="1:2" x14ac:dyDescent="0.25">
      <c r="A17464" s="2">
        <v>17459</v>
      </c>
      <c r="B17464" s="3" t="str">
        <f>"00838659"</f>
        <v>00838659</v>
      </c>
    </row>
    <row r="17465" spans="1:2" x14ac:dyDescent="0.25">
      <c r="A17465" s="2">
        <v>17460</v>
      </c>
      <c r="B17465" s="3" t="str">
        <f>"00838676"</f>
        <v>00838676</v>
      </c>
    </row>
    <row r="17466" spans="1:2" x14ac:dyDescent="0.25">
      <c r="A17466" s="2">
        <v>17461</v>
      </c>
      <c r="B17466" s="3" t="str">
        <f>"00838769"</f>
        <v>00838769</v>
      </c>
    </row>
    <row r="17467" spans="1:2" x14ac:dyDescent="0.25">
      <c r="A17467" s="2">
        <v>17462</v>
      </c>
      <c r="B17467" s="3" t="str">
        <f>"00838778"</f>
        <v>00838778</v>
      </c>
    </row>
    <row r="17468" spans="1:2" x14ac:dyDescent="0.25">
      <c r="A17468" s="2">
        <v>17463</v>
      </c>
      <c r="B17468" s="3" t="str">
        <f>"00838907"</f>
        <v>00838907</v>
      </c>
    </row>
    <row r="17469" spans="1:2" x14ac:dyDescent="0.25">
      <c r="A17469" s="2">
        <v>17464</v>
      </c>
      <c r="B17469" s="3" t="str">
        <f>"00838926"</f>
        <v>00838926</v>
      </c>
    </row>
    <row r="17470" spans="1:2" x14ac:dyDescent="0.25">
      <c r="A17470" s="2">
        <v>17465</v>
      </c>
      <c r="B17470" s="3" t="str">
        <f>"00838928"</f>
        <v>00838928</v>
      </c>
    </row>
    <row r="17471" spans="1:2" x14ac:dyDescent="0.25">
      <c r="A17471" s="2">
        <v>17466</v>
      </c>
      <c r="B17471" s="3" t="str">
        <f>"00838995"</f>
        <v>00838995</v>
      </c>
    </row>
    <row r="17472" spans="1:2" x14ac:dyDescent="0.25">
      <c r="A17472" s="2">
        <v>17467</v>
      </c>
      <c r="B17472" s="3" t="str">
        <f>"00839043"</f>
        <v>00839043</v>
      </c>
    </row>
    <row r="17473" spans="1:2" x14ac:dyDescent="0.25">
      <c r="A17473" s="2">
        <v>17468</v>
      </c>
      <c r="B17473" s="3" t="str">
        <f>"00839062"</f>
        <v>00839062</v>
      </c>
    </row>
    <row r="17474" spans="1:2" x14ac:dyDescent="0.25">
      <c r="A17474" s="2">
        <v>17469</v>
      </c>
      <c r="B17474" s="3" t="str">
        <f>"00839082"</f>
        <v>00839082</v>
      </c>
    </row>
    <row r="17475" spans="1:2" x14ac:dyDescent="0.25">
      <c r="A17475" s="2">
        <v>17470</v>
      </c>
      <c r="B17475" s="3" t="str">
        <f>"00839280"</f>
        <v>00839280</v>
      </c>
    </row>
    <row r="17476" spans="1:2" x14ac:dyDescent="0.25">
      <c r="A17476" s="2">
        <v>17471</v>
      </c>
      <c r="B17476" s="3" t="str">
        <f>"00839287"</f>
        <v>00839287</v>
      </c>
    </row>
    <row r="17477" spans="1:2" x14ac:dyDescent="0.25">
      <c r="A17477" s="2">
        <v>17472</v>
      </c>
      <c r="B17477" s="3" t="str">
        <f>"00839347"</f>
        <v>00839347</v>
      </c>
    </row>
    <row r="17478" spans="1:2" x14ac:dyDescent="0.25">
      <c r="A17478" s="2">
        <v>17473</v>
      </c>
      <c r="B17478" s="3" t="str">
        <f>"00839421"</f>
        <v>00839421</v>
      </c>
    </row>
    <row r="17479" spans="1:2" x14ac:dyDescent="0.25">
      <c r="A17479" s="2">
        <v>17474</v>
      </c>
      <c r="B17479" s="3" t="str">
        <f>"00839430"</f>
        <v>00839430</v>
      </c>
    </row>
    <row r="17480" spans="1:2" x14ac:dyDescent="0.25">
      <c r="A17480" s="2">
        <v>17475</v>
      </c>
      <c r="B17480" s="3" t="str">
        <f>"00839506"</f>
        <v>00839506</v>
      </c>
    </row>
    <row r="17481" spans="1:2" x14ac:dyDescent="0.25">
      <c r="A17481" s="2">
        <v>17476</v>
      </c>
      <c r="B17481" s="3" t="str">
        <f>"00839507"</f>
        <v>00839507</v>
      </c>
    </row>
    <row r="17482" spans="1:2" x14ac:dyDescent="0.25">
      <c r="A17482" s="2">
        <v>17477</v>
      </c>
      <c r="B17482" s="3" t="str">
        <f>"00839519"</f>
        <v>00839519</v>
      </c>
    </row>
    <row r="17483" spans="1:2" x14ac:dyDescent="0.25">
      <c r="A17483" s="2">
        <v>17478</v>
      </c>
      <c r="B17483" s="3" t="str">
        <f>"00839627"</f>
        <v>00839627</v>
      </c>
    </row>
    <row r="17484" spans="1:2" x14ac:dyDescent="0.25">
      <c r="A17484" s="2">
        <v>17479</v>
      </c>
      <c r="B17484" s="3" t="str">
        <f>"00839652"</f>
        <v>00839652</v>
      </c>
    </row>
    <row r="17485" spans="1:2" x14ac:dyDescent="0.25">
      <c r="A17485" s="2">
        <v>17480</v>
      </c>
      <c r="B17485" s="3" t="str">
        <f>"00839704"</f>
        <v>00839704</v>
      </c>
    </row>
    <row r="17486" spans="1:2" x14ac:dyDescent="0.25">
      <c r="A17486" s="2">
        <v>17481</v>
      </c>
      <c r="B17486" s="3" t="str">
        <f>"00839711"</f>
        <v>00839711</v>
      </c>
    </row>
    <row r="17487" spans="1:2" x14ac:dyDescent="0.25">
      <c r="A17487" s="2">
        <v>17482</v>
      </c>
      <c r="B17487" s="3" t="str">
        <f>"00839940"</f>
        <v>00839940</v>
      </c>
    </row>
    <row r="17488" spans="1:2" x14ac:dyDescent="0.25">
      <c r="A17488" s="2">
        <v>17483</v>
      </c>
      <c r="B17488" s="3" t="str">
        <f>"00839960"</f>
        <v>00839960</v>
      </c>
    </row>
    <row r="17489" spans="1:2" x14ac:dyDescent="0.25">
      <c r="A17489" s="2">
        <v>17484</v>
      </c>
      <c r="B17489" s="3" t="str">
        <f>"00840009"</f>
        <v>00840009</v>
      </c>
    </row>
    <row r="17490" spans="1:2" x14ac:dyDescent="0.25">
      <c r="A17490" s="2">
        <v>17485</v>
      </c>
      <c r="B17490" s="3" t="str">
        <f>"00840117"</f>
        <v>00840117</v>
      </c>
    </row>
    <row r="17491" spans="1:2" x14ac:dyDescent="0.25">
      <c r="A17491" s="2">
        <v>17486</v>
      </c>
      <c r="B17491" s="3" t="str">
        <f>"00840180"</f>
        <v>00840180</v>
      </c>
    </row>
    <row r="17492" spans="1:2" x14ac:dyDescent="0.25">
      <c r="A17492" s="2">
        <v>17487</v>
      </c>
      <c r="B17492" s="3" t="str">
        <f>"00840230"</f>
        <v>00840230</v>
      </c>
    </row>
    <row r="17493" spans="1:2" x14ac:dyDescent="0.25">
      <c r="A17493" s="2">
        <v>17488</v>
      </c>
      <c r="B17493" s="3" t="str">
        <f>"00840237"</f>
        <v>00840237</v>
      </c>
    </row>
    <row r="17494" spans="1:2" x14ac:dyDescent="0.25">
      <c r="A17494" s="2">
        <v>17489</v>
      </c>
      <c r="B17494" s="3" t="str">
        <f>"00840268"</f>
        <v>00840268</v>
      </c>
    </row>
    <row r="17495" spans="1:2" x14ac:dyDescent="0.25">
      <c r="A17495" s="2">
        <v>17490</v>
      </c>
      <c r="B17495" s="3" t="str">
        <f>"00840311"</f>
        <v>00840311</v>
      </c>
    </row>
    <row r="17496" spans="1:2" x14ac:dyDescent="0.25">
      <c r="A17496" s="2">
        <v>17491</v>
      </c>
      <c r="B17496" s="3" t="str">
        <f>"00840340"</f>
        <v>00840340</v>
      </c>
    </row>
    <row r="17497" spans="1:2" x14ac:dyDescent="0.25">
      <c r="A17497" s="2">
        <v>17492</v>
      </c>
      <c r="B17497" s="3" t="str">
        <f>"00840435"</f>
        <v>00840435</v>
      </c>
    </row>
    <row r="17498" spans="1:2" x14ac:dyDescent="0.25">
      <c r="A17498" s="2">
        <v>17493</v>
      </c>
      <c r="B17498" s="3" t="str">
        <f>"00840437"</f>
        <v>00840437</v>
      </c>
    </row>
    <row r="17499" spans="1:2" x14ac:dyDescent="0.25">
      <c r="A17499" s="2">
        <v>17494</v>
      </c>
      <c r="B17499" s="3" t="str">
        <f>"00840458"</f>
        <v>00840458</v>
      </c>
    </row>
    <row r="17500" spans="1:2" x14ac:dyDescent="0.25">
      <c r="A17500" s="2">
        <v>17495</v>
      </c>
      <c r="B17500" s="3" t="str">
        <f>"00840497"</f>
        <v>00840497</v>
      </c>
    </row>
    <row r="17501" spans="1:2" x14ac:dyDescent="0.25">
      <c r="A17501" s="2">
        <v>17496</v>
      </c>
      <c r="B17501" s="3" t="str">
        <f>"00840500"</f>
        <v>00840500</v>
      </c>
    </row>
    <row r="17502" spans="1:2" x14ac:dyDescent="0.25">
      <c r="A17502" s="2">
        <v>17497</v>
      </c>
      <c r="B17502" s="3" t="str">
        <f>"00840515"</f>
        <v>00840515</v>
      </c>
    </row>
    <row r="17503" spans="1:2" x14ac:dyDescent="0.25">
      <c r="A17503" s="2">
        <v>17498</v>
      </c>
      <c r="B17503" s="3" t="str">
        <f>"00840573"</f>
        <v>00840573</v>
      </c>
    </row>
    <row r="17504" spans="1:2" x14ac:dyDescent="0.25">
      <c r="A17504" s="2">
        <v>17499</v>
      </c>
      <c r="B17504" s="3" t="str">
        <f>"00840578"</f>
        <v>00840578</v>
      </c>
    </row>
    <row r="17505" spans="1:2" x14ac:dyDescent="0.25">
      <c r="A17505" s="2">
        <v>17500</v>
      </c>
      <c r="B17505" s="3" t="str">
        <f>"00840646"</f>
        <v>00840646</v>
      </c>
    </row>
    <row r="17506" spans="1:2" x14ac:dyDescent="0.25">
      <c r="A17506" s="2">
        <v>17501</v>
      </c>
      <c r="B17506" s="3" t="str">
        <f>"00840647"</f>
        <v>00840647</v>
      </c>
    </row>
    <row r="17507" spans="1:2" x14ac:dyDescent="0.25">
      <c r="A17507" s="2">
        <v>17502</v>
      </c>
      <c r="B17507" s="3" t="str">
        <f>"00840726"</f>
        <v>00840726</v>
      </c>
    </row>
    <row r="17508" spans="1:2" x14ac:dyDescent="0.25">
      <c r="A17508" s="2">
        <v>17503</v>
      </c>
      <c r="B17508" s="3" t="str">
        <f>"00840769"</f>
        <v>00840769</v>
      </c>
    </row>
    <row r="17509" spans="1:2" x14ac:dyDescent="0.25">
      <c r="A17509" s="2">
        <v>17504</v>
      </c>
      <c r="B17509" s="3" t="str">
        <f>"00840808"</f>
        <v>00840808</v>
      </c>
    </row>
    <row r="17510" spans="1:2" x14ac:dyDescent="0.25">
      <c r="A17510" s="2">
        <v>17505</v>
      </c>
      <c r="B17510" s="3" t="str">
        <f>"00840839"</f>
        <v>00840839</v>
      </c>
    </row>
    <row r="17511" spans="1:2" x14ac:dyDescent="0.25">
      <c r="A17511" s="2">
        <v>17506</v>
      </c>
      <c r="B17511" s="3" t="str">
        <f>"00840860"</f>
        <v>00840860</v>
      </c>
    </row>
    <row r="17512" spans="1:2" x14ac:dyDescent="0.25">
      <c r="A17512" s="2">
        <v>17507</v>
      </c>
      <c r="B17512" s="3" t="str">
        <f>"00840862"</f>
        <v>00840862</v>
      </c>
    </row>
    <row r="17513" spans="1:2" x14ac:dyDescent="0.25">
      <c r="A17513" s="2">
        <v>17508</v>
      </c>
      <c r="B17513" s="3" t="str">
        <f>"00840957"</f>
        <v>00840957</v>
      </c>
    </row>
    <row r="17514" spans="1:2" x14ac:dyDescent="0.25">
      <c r="A17514" s="2">
        <v>17509</v>
      </c>
      <c r="B17514" s="3" t="str">
        <f>"00840994"</f>
        <v>00840994</v>
      </c>
    </row>
    <row r="17515" spans="1:2" x14ac:dyDescent="0.25">
      <c r="A17515" s="2">
        <v>17510</v>
      </c>
      <c r="B17515" s="3" t="str">
        <f>"00841004"</f>
        <v>00841004</v>
      </c>
    </row>
    <row r="17516" spans="1:2" x14ac:dyDescent="0.25">
      <c r="A17516" s="2">
        <v>17511</v>
      </c>
      <c r="B17516" s="3" t="str">
        <f>"00841018"</f>
        <v>00841018</v>
      </c>
    </row>
    <row r="17517" spans="1:2" x14ac:dyDescent="0.25">
      <c r="A17517" s="2">
        <v>17512</v>
      </c>
      <c r="B17517" s="3" t="str">
        <f>"00841101"</f>
        <v>00841101</v>
      </c>
    </row>
    <row r="17518" spans="1:2" x14ac:dyDescent="0.25">
      <c r="A17518" s="2">
        <v>17513</v>
      </c>
      <c r="B17518" s="3" t="str">
        <f>"00841103"</f>
        <v>00841103</v>
      </c>
    </row>
    <row r="17519" spans="1:2" x14ac:dyDescent="0.25">
      <c r="A17519" s="2">
        <v>17514</v>
      </c>
      <c r="B17519" s="3" t="str">
        <f>"00841170"</f>
        <v>00841170</v>
      </c>
    </row>
    <row r="17520" spans="1:2" x14ac:dyDescent="0.25">
      <c r="A17520" s="2">
        <v>17515</v>
      </c>
      <c r="B17520" s="3" t="str">
        <f>"00841175"</f>
        <v>00841175</v>
      </c>
    </row>
    <row r="17521" spans="1:2" x14ac:dyDescent="0.25">
      <c r="A17521" s="2">
        <v>17516</v>
      </c>
      <c r="B17521" s="3" t="str">
        <f>"00841187"</f>
        <v>00841187</v>
      </c>
    </row>
    <row r="17522" spans="1:2" x14ac:dyDescent="0.25">
      <c r="A17522" s="2">
        <v>17517</v>
      </c>
      <c r="B17522" s="3" t="str">
        <f>"00841207"</f>
        <v>00841207</v>
      </c>
    </row>
    <row r="17523" spans="1:2" x14ac:dyDescent="0.25">
      <c r="A17523" s="2">
        <v>17518</v>
      </c>
      <c r="B17523" s="3" t="str">
        <f>"00841227"</f>
        <v>00841227</v>
      </c>
    </row>
    <row r="17524" spans="1:2" x14ac:dyDescent="0.25">
      <c r="A17524" s="2">
        <v>17519</v>
      </c>
      <c r="B17524" s="3" t="str">
        <f>"00841238"</f>
        <v>00841238</v>
      </c>
    </row>
    <row r="17525" spans="1:2" x14ac:dyDescent="0.25">
      <c r="A17525" s="2">
        <v>17520</v>
      </c>
      <c r="B17525" s="3" t="str">
        <f>"00841255"</f>
        <v>00841255</v>
      </c>
    </row>
    <row r="17526" spans="1:2" x14ac:dyDescent="0.25">
      <c r="A17526" s="2">
        <v>17521</v>
      </c>
      <c r="B17526" s="3" t="str">
        <f>"00841335"</f>
        <v>00841335</v>
      </c>
    </row>
    <row r="17527" spans="1:2" x14ac:dyDescent="0.25">
      <c r="A17527" s="2">
        <v>17522</v>
      </c>
      <c r="B17527" s="3" t="str">
        <f>"00841358"</f>
        <v>00841358</v>
      </c>
    </row>
    <row r="17528" spans="1:2" x14ac:dyDescent="0.25">
      <c r="A17528" s="2">
        <v>17523</v>
      </c>
      <c r="B17528" s="3" t="str">
        <f>"00841435"</f>
        <v>00841435</v>
      </c>
    </row>
    <row r="17529" spans="1:2" x14ac:dyDescent="0.25">
      <c r="A17529" s="2">
        <v>17524</v>
      </c>
      <c r="B17529" s="3" t="str">
        <f>"00841459"</f>
        <v>00841459</v>
      </c>
    </row>
    <row r="17530" spans="1:2" x14ac:dyDescent="0.25">
      <c r="A17530" s="2">
        <v>17525</v>
      </c>
      <c r="B17530" s="3" t="str">
        <f>"00841462"</f>
        <v>00841462</v>
      </c>
    </row>
    <row r="17531" spans="1:2" x14ac:dyDescent="0.25">
      <c r="A17531" s="2">
        <v>17526</v>
      </c>
      <c r="B17531" s="3" t="str">
        <f>"00841513"</f>
        <v>00841513</v>
      </c>
    </row>
    <row r="17532" spans="1:2" x14ac:dyDescent="0.25">
      <c r="A17532" s="2">
        <v>17527</v>
      </c>
      <c r="B17532" s="3" t="str">
        <f>"00841531"</f>
        <v>00841531</v>
      </c>
    </row>
    <row r="17533" spans="1:2" x14ac:dyDescent="0.25">
      <c r="A17533" s="2">
        <v>17528</v>
      </c>
      <c r="B17533" s="3" t="str">
        <f>"00841535"</f>
        <v>00841535</v>
      </c>
    </row>
    <row r="17534" spans="1:2" x14ac:dyDescent="0.25">
      <c r="A17534" s="2">
        <v>17529</v>
      </c>
      <c r="B17534" s="3" t="str">
        <f>"00841537"</f>
        <v>00841537</v>
      </c>
    </row>
    <row r="17535" spans="1:2" x14ac:dyDescent="0.25">
      <c r="A17535" s="2">
        <v>17530</v>
      </c>
      <c r="B17535" s="3" t="str">
        <f>"00841547"</f>
        <v>00841547</v>
      </c>
    </row>
    <row r="17536" spans="1:2" x14ac:dyDescent="0.25">
      <c r="A17536" s="2">
        <v>17531</v>
      </c>
      <c r="B17536" s="3" t="str">
        <f>"00841574"</f>
        <v>00841574</v>
      </c>
    </row>
    <row r="17537" spans="1:2" x14ac:dyDescent="0.25">
      <c r="A17537" s="2">
        <v>17532</v>
      </c>
      <c r="B17537" s="3" t="str">
        <f>"00841582"</f>
        <v>00841582</v>
      </c>
    </row>
    <row r="17538" spans="1:2" x14ac:dyDescent="0.25">
      <c r="A17538" s="2">
        <v>17533</v>
      </c>
      <c r="B17538" s="3" t="str">
        <f>"00841614"</f>
        <v>00841614</v>
      </c>
    </row>
    <row r="17539" spans="1:2" x14ac:dyDescent="0.25">
      <c r="A17539" s="2">
        <v>17534</v>
      </c>
      <c r="B17539" s="3" t="str">
        <f>"00841649"</f>
        <v>00841649</v>
      </c>
    </row>
    <row r="17540" spans="1:2" x14ac:dyDescent="0.25">
      <c r="A17540" s="2">
        <v>17535</v>
      </c>
      <c r="B17540" s="3" t="str">
        <f>"00841756"</f>
        <v>00841756</v>
      </c>
    </row>
    <row r="17541" spans="1:2" x14ac:dyDescent="0.25">
      <c r="A17541" s="2">
        <v>17536</v>
      </c>
      <c r="B17541" s="3" t="str">
        <f>"00841842"</f>
        <v>00841842</v>
      </c>
    </row>
    <row r="17542" spans="1:2" x14ac:dyDescent="0.25">
      <c r="A17542" s="2">
        <v>17537</v>
      </c>
      <c r="B17542" s="3" t="str">
        <f>"00841843"</f>
        <v>00841843</v>
      </c>
    </row>
    <row r="17543" spans="1:2" x14ac:dyDescent="0.25">
      <c r="A17543" s="2">
        <v>17538</v>
      </c>
      <c r="B17543" s="3" t="str">
        <f>"00841846"</f>
        <v>00841846</v>
      </c>
    </row>
    <row r="17544" spans="1:2" x14ac:dyDescent="0.25">
      <c r="A17544" s="2">
        <v>17539</v>
      </c>
      <c r="B17544" s="3" t="str">
        <f>"00841895"</f>
        <v>00841895</v>
      </c>
    </row>
    <row r="17545" spans="1:2" x14ac:dyDescent="0.25">
      <c r="A17545" s="2">
        <v>17540</v>
      </c>
      <c r="B17545" s="3" t="str">
        <f>"00841955"</f>
        <v>00841955</v>
      </c>
    </row>
    <row r="17546" spans="1:2" x14ac:dyDescent="0.25">
      <c r="A17546" s="2">
        <v>17541</v>
      </c>
      <c r="B17546" s="3" t="str">
        <f>"00841995"</f>
        <v>00841995</v>
      </c>
    </row>
    <row r="17547" spans="1:2" x14ac:dyDescent="0.25">
      <c r="A17547" s="2">
        <v>17542</v>
      </c>
      <c r="B17547" s="3" t="str">
        <f>"00842007"</f>
        <v>00842007</v>
      </c>
    </row>
    <row r="17548" spans="1:2" x14ac:dyDescent="0.25">
      <c r="A17548" s="2">
        <v>17543</v>
      </c>
      <c r="B17548" s="3" t="str">
        <f>"00842047"</f>
        <v>00842047</v>
      </c>
    </row>
    <row r="17549" spans="1:2" x14ac:dyDescent="0.25">
      <c r="A17549" s="2">
        <v>17544</v>
      </c>
      <c r="B17549" s="3" t="str">
        <f>"00842074"</f>
        <v>00842074</v>
      </c>
    </row>
    <row r="17550" spans="1:2" x14ac:dyDescent="0.25">
      <c r="A17550" s="2">
        <v>17545</v>
      </c>
      <c r="B17550" s="3" t="str">
        <f>"00842092"</f>
        <v>00842092</v>
      </c>
    </row>
    <row r="17551" spans="1:2" x14ac:dyDescent="0.25">
      <c r="A17551" s="2">
        <v>17546</v>
      </c>
      <c r="B17551" s="3" t="str">
        <f>"00842144"</f>
        <v>00842144</v>
      </c>
    </row>
    <row r="17552" spans="1:2" x14ac:dyDescent="0.25">
      <c r="A17552" s="2">
        <v>17547</v>
      </c>
      <c r="B17552" s="3" t="str">
        <f>"00842150"</f>
        <v>00842150</v>
      </c>
    </row>
    <row r="17553" spans="1:2" x14ac:dyDescent="0.25">
      <c r="A17553" s="2">
        <v>17548</v>
      </c>
      <c r="B17553" s="3" t="str">
        <f>"00842169"</f>
        <v>00842169</v>
      </c>
    </row>
    <row r="17554" spans="1:2" x14ac:dyDescent="0.25">
      <c r="A17554" s="2">
        <v>17549</v>
      </c>
      <c r="B17554" s="3" t="str">
        <f>"00842191"</f>
        <v>00842191</v>
      </c>
    </row>
    <row r="17555" spans="1:2" x14ac:dyDescent="0.25">
      <c r="A17555" s="2">
        <v>17550</v>
      </c>
      <c r="B17555" s="3" t="str">
        <f>"00842192"</f>
        <v>00842192</v>
      </c>
    </row>
    <row r="17556" spans="1:2" x14ac:dyDescent="0.25">
      <c r="A17556" s="2">
        <v>17551</v>
      </c>
      <c r="B17556" s="3" t="str">
        <f>"00842213"</f>
        <v>00842213</v>
      </c>
    </row>
    <row r="17557" spans="1:2" x14ac:dyDescent="0.25">
      <c r="A17557" s="2">
        <v>17552</v>
      </c>
      <c r="B17557" s="3" t="str">
        <f>"00842224"</f>
        <v>00842224</v>
      </c>
    </row>
    <row r="17558" spans="1:2" x14ac:dyDescent="0.25">
      <c r="A17558" s="2">
        <v>17553</v>
      </c>
      <c r="B17558" s="3" t="str">
        <f>"00842402"</f>
        <v>00842402</v>
      </c>
    </row>
    <row r="17559" spans="1:2" x14ac:dyDescent="0.25">
      <c r="A17559" s="2">
        <v>17554</v>
      </c>
      <c r="B17559" s="3" t="str">
        <f>"00842427"</f>
        <v>00842427</v>
      </c>
    </row>
    <row r="17560" spans="1:2" x14ac:dyDescent="0.25">
      <c r="A17560" s="2">
        <v>17555</v>
      </c>
      <c r="B17560" s="3" t="str">
        <f>"00842444"</f>
        <v>00842444</v>
      </c>
    </row>
    <row r="17561" spans="1:2" x14ac:dyDescent="0.25">
      <c r="A17561" s="2">
        <v>17556</v>
      </c>
      <c r="B17561" s="3" t="str">
        <f>"00842448"</f>
        <v>00842448</v>
      </c>
    </row>
    <row r="17562" spans="1:2" x14ac:dyDescent="0.25">
      <c r="A17562" s="2">
        <v>17557</v>
      </c>
      <c r="B17562" s="3" t="str">
        <f>"00842506"</f>
        <v>00842506</v>
      </c>
    </row>
    <row r="17563" spans="1:2" x14ac:dyDescent="0.25">
      <c r="A17563" s="2">
        <v>17558</v>
      </c>
      <c r="B17563" s="3" t="str">
        <f>"00842528"</f>
        <v>00842528</v>
      </c>
    </row>
    <row r="17564" spans="1:2" x14ac:dyDescent="0.25">
      <c r="A17564" s="2">
        <v>17559</v>
      </c>
      <c r="B17564" s="3" t="str">
        <f>"00842530"</f>
        <v>00842530</v>
      </c>
    </row>
    <row r="17565" spans="1:2" x14ac:dyDescent="0.25">
      <c r="A17565" s="2">
        <v>17560</v>
      </c>
      <c r="B17565" s="3" t="str">
        <f>"00842542"</f>
        <v>00842542</v>
      </c>
    </row>
    <row r="17566" spans="1:2" x14ac:dyDescent="0.25">
      <c r="A17566" s="2">
        <v>17561</v>
      </c>
      <c r="B17566" s="3" t="str">
        <f>"00842552"</f>
        <v>00842552</v>
      </c>
    </row>
    <row r="17567" spans="1:2" x14ac:dyDescent="0.25">
      <c r="A17567" s="2">
        <v>17562</v>
      </c>
      <c r="B17567" s="3" t="str">
        <f>"00842596"</f>
        <v>00842596</v>
      </c>
    </row>
    <row r="17568" spans="1:2" x14ac:dyDescent="0.25">
      <c r="A17568" s="2">
        <v>17563</v>
      </c>
      <c r="B17568" s="3" t="str">
        <f>"00842625"</f>
        <v>00842625</v>
      </c>
    </row>
    <row r="17569" spans="1:2" x14ac:dyDescent="0.25">
      <c r="A17569" s="2">
        <v>17564</v>
      </c>
      <c r="B17569" s="3" t="str">
        <f>"00842666"</f>
        <v>00842666</v>
      </c>
    </row>
    <row r="17570" spans="1:2" x14ac:dyDescent="0.25">
      <c r="A17570" s="2">
        <v>17565</v>
      </c>
      <c r="B17570" s="3" t="str">
        <f>"00842693"</f>
        <v>00842693</v>
      </c>
    </row>
    <row r="17571" spans="1:2" x14ac:dyDescent="0.25">
      <c r="A17571" s="2">
        <v>17566</v>
      </c>
      <c r="B17571" s="3" t="str">
        <f>"00842706"</f>
        <v>00842706</v>
      </c>
    </row>
    <row r="17572" spans="1:2" x14ac:dyDescent="0.25">
      <c r="A17572" s="2">
        <v>17567</v>
      </c>
      <c r="B17572" s="3" t="str">
        <f>"00842745"</f>
        <v>00842745</v>
      </c>
    </row>
    <row r="17573" spans="1:2" x14ac:dyDescent="0.25">
      <c r="A17573" s="2">
        <v>17568</v>
      </c>
      <c r="B17573" s="3" t="str">
        <f>"00842757"</f>
        <v>00842757</v>
      </c>
    </row>
    <row r="17574" spans="1:2" x14ac:dyDescent="0.25">
      <c r="A17574" s="2">
        <v>17569</v>
      </c>
      <c r="B17574" s="3" t="str">
        <f>"00842788"</f>
        <v>00842788</v>
      </c>
    </row>
    <row r="17575" spans="1:2" x14ac:dyDescent="0.25">
      <c r="A17575" s="2">
        <v>17570</v>
      </c>
      <c r="B17575" s="3" t="str">
        <f>"00842795"</f>
        <v>00842795</v>
      </c>
    </row>
    <row r="17576" spans="1:2" x14ac:dyDescent="0.25">
      <c r="A17576" s="2">
        <v>17571</v>
      </c>
      <c r="B17576" s="3" t="str">
        <f>"00842801"</f>
        <v>00842801</v>
      </c>
    </row>
    <row r="17577" spans="1:2" x14ac:dyDescent="0.25">
      <c r="A17577" s="2">
        <v>17572</v>
      </c>
      <c r="B17577" s="3" t="str">
        <f>"00842802"</f>
        <v>00842802</v>
      </c>
    </row>
    <row r="17578" spans="1:2" x14ac:dyDescent="0.25">
      <c r="A17578" s="2">
        <v>17573</v>
      </c>
      <c r="B17578" s="3" t="str">
        <f>"00842819"</f>
        <v>00842819</v>
      </c>
    </row>
    <row r="17579" spans="1:2" x14ac:dyDescent="0.25">
      <c r="A17579" s="2">
        <v>17574</v>
      </c>
      <c r="B17579" s="3" t="str">
        <f>"00842822"</f>
        <v>00842822</v>
      </c>
    </row>
    <row r="17580" spans="1:2" x14ac:dyDescent="0.25">
      <c r="A17580" s="2">
        <v>17575</v>
      </c>
      <c r="B17580" s="3" t="str">
        <f>"00842844"</f>
        <v>00842844</v>
      </c>
    </row>
    <row r="17581" spans="1:2" x14ac:dyDescent="0.25">
      <c r="A17581" s="2">
        <v>17576</v>
      </c>
      <c r="B17581" s="3" t="str">
        <f>"00842852"</f>
        <v>00842852</v>
      </c>
    </row>
    <row r="17582" spans="1:2" x14ac:dyDescent="0.25">
      <c r="A17582" s="2">
        <v>17577</v>
      </c>
      <c r="B17582" s="3" t="str">
        <f>"00842937"</f>
        <v>00842937</v>
      </c>
    </row>
    <row r="17583" spans="1:2" x14ac:dyDescent="0.25">
      <c r="A17583" s="2">
        <v>17578</v>
      </c>
      <c r="B17583" s="3" t="str">
        <f>"00842942"</f>
        <v>00842942</v>
      </c>
    </row>
    <row r="17584" spans="1:2" x14ac:dyDescent="0.25">
      <c r="A17584" s="2">
        <v>17579</v>
      </c>
      <c r="B17584" s="3" t="str">
        <f>"00842979"</f>
        <v>00842979</v>
      </c>
    </row>
    <row r="17585" spans="1:2" x14ac:dyDescent="0.25">
      <c r="A17585" s="2">
        <v>17580</v>
      </c>
      <c r="B17585" s="3" t="str">
        <f>"00843013"</f>
        <v>00843013</v>
      </c>
    </row>
    <row r="17586" spans="1:2" x14ac:dyDescent="0.25">
      <c r="A17586" s="2">
        <v>17581</v>
      </c>
      <c r="B17586" s="3" t="str">
        <f>"00843078"</f>
        <v>00843078</v>
      </c>
    </row>
    <row r="17587" spans="1:2" x14ac:dyDescent="0.25">
      <c r="A17587" s="2">
        <v>17582</v>
      </c>
      <c r="B17587" s="3" t="str">
        <f>"00843084"</f>
        <v>00843084</v>
      </c>
    </row>
    <row r="17588" spans="1:2" x14ac:dyDescent="0.25">
      <c r="A17588" s="2">
        <v>17583</v>
      </c>
      <c r="B17588" s="3" t="str">
        <f>"00843145"</f>
        <v>00843145</v>
      </c>
    </row>
    <row r="17589" spans="1:2" x14ac:dyDescent="0.25">
      <c r="A17589" s="2">
        <v>17584</v>
      </c>
      <c r="B17589" s="3" t="str">
        <f>"00843146"</f>
        <v>00843146</v>
      </c>
    </row>
    <row r="17590" spans="1:2" x14ac:dyDescent="0.25">
      <c r="A17590" s="2">
        <v>17585</v>
      </c>
      <c r="B17590" s="3" t="str">
        <f>"00843166"</f>
        <v>00843166</v>
      </c>
    </row>
    <row r="17591" spans="1:2" x14ac:dyDescent="0.25">
      <c r="A17591" s="2">
        <v>17586</v>
      </c>
      <c r="B17591" s="3" t="str">
        <f>"00843222"</f>
        <v>00843222</v>
      </c>
    </row>
    <row r="17592" spans="1:2" x14ac:dyDescent="0.25">
      <c r="A17592" s="2">
        <v>17587</v>
      </c>
      <c r="B17592" s="3" t="str">
        <f>"00843313"</f>
        <v>00843313</v>
      </c>
    </row>
    <row r="17593" spans="1:2" x14ac:dyDescent="0.25">
      <c r="A17593" s="2">
        <v>17588</v>
      </c>
      <c r="B17593" s="3" t="str">
        <f>"00843322"</f>
        <v>00843322</v>
      </c>
    </row>
    <row r="17594" spans="1:2" x14ac:dyDescent="0.25">
      <c r="A17594" s="2">
        <v>17589</v>
      </c>
      <c r="B17594" s="3" t="str">
        <f>"00843347"</f>
        <v>00843347</v>
      </c>
    </row>
    <row r="17595" spans="1:2" x14ac:dyDescent="0.25">
      <c r="A17595" s="2">
        <v>17590</v>
      </c>
      <c r="B17595" s="3" t="str">
        <f>"00843363"</f>
        <v>00843363</v>
      </c>
    </row>
    <row r="17596" spans="1:2" x14ac:dyDescent="0.25">
      <c r="A17596" s="2">
        <v>17591</v>
      </c>
      <c r="B17596" s="3" t="str">
        <f>"00843390"</f>
        <v>00843390</v>
      </c>
    </row>
    <row r="17597" spans="1:2" x14ac:dyDescent="0.25">
      <c r="A17597" s="2">
        <v>17592</v>
      </c>
      <c r="B17597" s="3" t="str">
        <f>"00843403"</f>
        <v>00843403</v>
      </c>
    </row>
    <row r="17598" spans="1:2" x14ac:dyDescent="0.25">
      <c r="A17598" s="2">
        <v>17593</v>
      </c>
      <c r="B17598" s="3" t="str">
        <f>"00843430"</f>
        <v>00843430</v>
      </c>
    </row>
    <row r="17599" spans="1:2" x14ac:dyDescent="0.25">
      <c r="A17599" s="2">
        <v>17594</v>
      </c>
      <c r="B17599" s="3" t="str">
        <f>"00843495"</f>
        <v>00843495</v>
      </c>
    </row>
    <row r="17600" spans="1:2" x14ac:dyDescent="0.25">
      <c r="A17600" s="2">
        <v>17595</v>
      </c>
      <c r="B17600" s="3" t="str">
        <f>"00843653"</f>
        <v>00843653</v>
      </c>
    </row>
    <row r="17601" spans="1:2" x14ac:dyDescent="0.25">
      <c r="A17601" s="2">
        <v>17596</v>
      </c>
      <c r="B17601" s="3" t="str">
        <f>"00843669"</f>
        <v>00843669</v>
      </c>
    </row>
    <row r="17602" spans="1:2" x14ac:dyDescent="0.25">
      <c r="A17602" s="2">
        <v>17597</v>
      </c>
      <c r="B17602" s="3" t="str">
        <f>"00843685"</f>
        <v>00843685</v>
      </c>
    </row>
    <row r="17603" spans="1:2" x14ac:dyDescent="0.25">
      <c r="A17603" s="2">
        <v>17598</v>
      </c>
      <c r="B17603" s="3" t="str">
        <f>"00843748"</f>
        <v>00843748</v>
      </c>
    </row>
    <row r="17604" spans="1:2" x14ac:dyDescent="0.25">
      <c r="A17604" s="2">
        <v>17599</v>
      </c>
      <c r="B17604" s="3" t="str">
        <f>"00843764"</f>
        <v>00843764</v>
      </c>
    </row>
    <row r="17605" spans="1:2" x14ac:dyDescent="0.25">
      <c r="A17605" s="2">
        <v>17600</v>
      </c>
      <c r="B17605" s="3" t="str">
        <f>"00843826"</f>
        <v>00843826</v>
      </c>
    </row>
    <row r="17606" spans="1:2" x14ac:dyDescent="0.25">
      <c r="A17606" s="2">
        <v>17601</v>
      </c>
      <c r="B17606" s="3" t="str">
        <f>"00843835"</f>
        <v>00843835</v>
      </c>
    </row>
    <row r="17607" spans="1:2" x14ac:dyDescent="0.25">
      <c r="A17607" s="2">
        <v>17602</v>
      </c>
      <c r="B17607" s="3" t="str">
        <f>"00843856"</f>
        <v>00843856</v>
      </c>
    </row>
    <row r="17608" spans="1:2" x14ac:dyDescent="0.25">
      <c r="A17608" s="2">
        <v>17603</v>
      </c>
      <c r="B17608" s="3" t="str">
        <f>"00843950"</f>
        <v>00843950</v>
      </c>
    </row>
    <row r="17609" spans="1:2" x14ac:dyDescent="0.25">
      <c r="A17609" s="2">
        <v>17604</v>
      </c>
      <c r="B17609" s="3" t="str">
        <f>"00843966"</f>
        <v>00843966</v>
      </c>
    </row>
    <row r="17610" spans="1:2" x14ac:dyDescent="0.25">
      <c r="A17610" s="2">
        <v>17605</v>
      </c>
      <c r="B17610" s="3" t="str">
        <f>"00844035"</f>
        <v>00844035</v>
      </c>
    </row>
    <row r="17611" spans="1:2" x14ac:dyDescent="0.25">
      <c r="A17611" s="2">
        <v>17606</v>
      </c>
      <c r="B17611" s="3" t="str">
        <f>"00844058"</f>
        <v>00844058</v>
      </c>
    </row>
    <row r="17612" spans="1:2" x14ac:dyDescent="0.25">
      <c r="A17612" s="2">
        <v>17607</v>
      </c>
      <c r="B17612" s="3" t="str">
        <f>"00844069"</f>
        <v>00844069</v>
      </c>
    </row>
    <row r="17613" spans="1:2" x14ac:dyDescent="0.25">
      <c r="A17613" s="2">
        <v>17608</v>
      </c>
      <c r="B17613" s="3" t="str">
        <f>"00844082"</f>
        <v>00844082</v>
      </c>
    </row>
    <row r="17614" spans="1:2" x14ac:dyDescent="0.25">
      <c r="A17614" s="2">
        <v>17609</v>
      </c>
      <c r="B17614" s="3" t="str">
        <f>"00844090"</f>
        <v>00844090</v>
      </c>
    </row>
    <row r="17615" spans="1:2" x14ac:dyDescent="0.25">
      <c r="A17615" s="2">
        <v>17610</v>
      </c>
      <c r="B17615" s="3" t="str">
        <f>"00844102"</f>
        <v>00844102</v>
      </c>
    </row>
    <row r="17616" spans="1:2" x14ac:dyDescent="0.25">
      <c r="A17616" s="2">
        <v>17611</v>
      </c>
      <c r="B17616" s="3" t="str">
        <f>"00844163"</f>
        <v>00844163</v>
      </c>
    </row>
    <row r="17617" spans="1:2" x14ac:dyDescent="0.25">
      <c r="A17617" s="2">
        <v>17612</v>
      </c>
      <c r="B17617" s="3" t="str">
        <f>"00844226"</f>
        <v>00844226</v>
      </c>
    </row>
    <row r="17618" spans="1:2" x14ac:dyDescent="0.25">
      <c r="A17618" s="2">
        <v>17613</v>
      </c>
      <c r="B17618" s="3" t="str">
        <f>"00844319"</f>
        <v>00844319</v>
      </c>
    </row>
    <row r="17619" spans="1:2" x14ac:dyDescent="0.25">
      <c r="A17619" s="2">
        <v>17614</v>
      </c>
      <c r="B17619" s="3" t="str">
        <f>"00844331"</f>
        <v>00844331</v>
      </c>
    </row>
    <row r="17620" spans="1:2" x14ac:dyDescent="0.25">
      <c r="A17620" s="2">
        <v>17615</v>
      </c>
      <c r="B17620" s="3" t="str">
        <f>"00844364"</f>
        <v>00844364</v>
      </c>
    </row>
    <row r="17621" spans="1:2" x14ac:dyDescent="0.25">
      <c r="A17621" s="2">
        <v>17616</v>
      </c>
      <c r="B17621" s="3" t="str">
        <f>"00844367"</f>
        <v>00844367</v>
      </c>
    </row>
    <row r="17622" spans="1:2" x14ac:dyDescent="0.25">
      <c r="A17622" s="2">
        <v>17617</v>
      </c>
      <c r="B17622" s="3" t="str">
        <f>"00844514"</f>
        <v>00844514</v>
      </c>
    </row>
    <row r="17623" spans="1:2" x14ac:dyDescent="0.25">
      <c r="A17623" s="2">
        <v>17618</v>
      </c>
      <c r="B17623" s="3" t="str">
        <f>"00844529"</f>
        <v>00844529</v>
      </c>
    </row>
    <row r="17624" spans="1:2" x14ac:dyDescent="0.25">
      <c r="A17624" s="2">
        <v>17619</v>
      </c>
      <c r="B17624" s="3" t="str">
        <f>"00844609"</f>
        <v>00844609</v>
      </c>
    </row>
    <row r="17625" spans="1:2" x14ac:dyDescent="0.25">
      <c r="A17625" s="2">
        <v>17620</v>
      </c>
      <c r="B17625" s="3" t="str">
        <f>"00844675"</f>
        <v>00844675</v>
      </c>
    </row>
    <row r="17626" spans="1:2" x14ac:dyDescent="0.25">
      <c r="A17626" s="2">
        <v>17621</v>
      </c>
      <c r="B17626" s="3" t="str">
        <f>"00844733"</f>
        <v>00844733</v>
      </c>
    </row>
    <row r="17627" spans="1:2" x14ac:dyDescent="0.25">
      <c r="A17627" s="2">
        <v>17622</v>
      </c>
      <c r="B17627" s="3" t="str">
        <f>"00844813"</f>
        <v>00844813</v>
      </c>
    </row>
    <row r="17628" spans="1:2" x14ac:dyDescent="0.25">
      <c r="A17628" s="2">
        <v>17623</v>
      </c>
      <c r="B17628" s="3" t="str">
        <f>"00844843"</f>
        <v>00844843</v>
      </c>
    </row>
    <row r="17629" spans="1:2" x14ac:dyDescent="0.25">
      <c r="A17629" s="2">
        <v>17624</v>
      </c>
      <c r="B17629" s="3" t="str">
        <f>"00844890"</f>
        <v>00844890</v>
      </c>
    </row>
    <row r="17630" spans="1:2" x14ac:dyDescent="0.25">
      <c r="A17630" s="2">
        <v>17625</v>
      </c>
      <c r="B17630" s="3" t="str">
        <f>"00844894"</f>
        <v>00844894</v>
      </c>
    </row>
    <row r="17631" spans="1:2" x14ac:dyDescent="0.25">
      <c r="A17631" s="2">
        <v>17626</v>
      </c>
      <c r="B17631" s="3" t="str">
        <f>"00844982"</f>
        <v>00844982</v>
      </c>
    </row>
    <row r="17632" spans="1:2" x14ac:dyDescent="0.25">
      <c r="A17632" s="2">
        <v>17627</v>
      </c>
      <c r="B17632" s="3" t="str">
        <f>"00844985"</f>
        <v>00844985</v>
      </c>
    </row>
    <row r="17633" spans="1:2" x14ac:dyDescent="0.25">
      <c r="A17633" s="2">
        <v>17628</v>
      </c>
      <c r="B17633" s="3" t="str">
        <f>"00845004"</f>
        <v>00845004</v>
      </c>
    </row>
    <row r="17634" spans="1:2" x14ac:dyDescent="0.25">
      <c r="A17634" s="2">
        <v>17629</v>
      </c>
      <c r="B17634" s="3" t="str">
        <f>"00845054"</f>
        <v>00845054</v>
      </c>
    </row>
    <row r="17635" spans="1:2" x14ac:dyDescent="0.25">
      <c r="A17635" s="2">
        <v>17630</v>
      </c>
      <c r="B17635" s="3" t="str">
        <f>"00845195"</f>
        <v>00845195</v>
      </c>
    </row>
    <row r="17636" spans="1:2" x14ac:dyDescent="0.25">
      <c r="A17636" s="2">
        <v>17631</v>
      </c>
      <c r="B17636" s="3" t="str">
        <f>"00845199"</f>
        <v>00845199</v>
      </c>
    </row>
    <row r="17637" spans="1:2" x14ac:dyDescent="0.25">
      <c r="A17637" s="2">
        <v>17632</v>
      </c>
      <c r="B17637" s="3" t="str">
        <f>"00845210"</f>
        <v>00845210</v>
      </c>
    </row>
    <row r="17638" spans="1:2" x14ac:dyDescent="0.25">
      <c r="A17638" s="2">
        <v>17633</v>
      </c>
      <c r="B17638" s="3" t="str">
        <f>"00845234"</f>
        <v>00845234</v>
      </c>
    </row>
    <row r="17639" spans="1:2" x14ac:dyDescent="0.25">
      <c r="A17639" s="2">
        <v>17634</v>
      </c>
      <c r="B17639" s="3" t="str">
        <f>"00845283"</f>
        <v>00845283</v>
      </c>
    </row>
    <row r="17640" spans="1:2" x14ac:dyDescent="0.25">
      <c r="A17640" s="2">
        <v>17635</v>
      </c>
      <c r="B17640" s="3" t="str">
        <f>"00845297"</f>
        <v>00845297</v>
      </c>
    </row>
    <row r="17641" spans="1:2" x14ac:dyDescent="0.25">
      <c r="A17641" s="2">
        <v>17636</v>
      </c>
      <c r="B17641" s="3" t="str">
        <f>"00845302"</f>
        <v>00845302</v>
      </c>
    </row>
    <row r="17642" spans="1:2" x14ac:dyDescent="0.25">
      <c r="A17642" s="2">
        <v>17637</v>
      </c>
      <c r="B17642" s="3" t="str">
        <f>"00845369"</f>
        <v>00845369</v>
      </c>
    </row>
    <row r="17643" spans="1:2" x14ac:dyDescent="0.25">
      <c r="A17643" s="2">
        <v>17638</v>
      </c>
      <c r="B17643" s="3" t="str">
        <f>"00845372"</f>
        <v>00845372</v>
      </c>
    </row>
    <row r="17644" spans="1:2" x14ac:dyDescent="0.25">
      <c r="A17644" s="2">
        <v>17639</v>
      </c>
      <c r="B17644" s="3" t="str">
        <f>"00845382"</f>
        <v>00845382</v>
      </c>
    </row>
    <row r="17645" spans="1:2" x14ac:dyDescent="0.25">
      <c r="A17645" s="2">
        <v>17640</v>
      </c>
      <c r="B17645" s="3" t="str">
        <f>"00845460"</f>
        <v>00845460</v>
      </c>
    </row>
    <row r="17646" spans="1:2" x14ac:dyDescent="0.25">
      <c r="A17646" s="2">
        <v>17641</v>
      </c>
      <c r="B17646" s="3" t="str">
        <f>"00845499"</f>
        <v>00845499</v>
      </c>
    </row>
    <row r="17647" spans="1:2" x14ac:dyDescent="0.25">
      <c r="A17647" s="2">
        <v>17642</v>
      </c>
      <c r="B17647" s="3" t="str">
        <f>"00845544"</f>
        <v>00845544</v>
      </c>
    </row>
    <row r="17648" spans="1:2" x14ac:dyDescent="0.25">
      <c r="A17648" s="2">
        <v>17643</v>
      </c>
      <c r="B17648" s="3" t="str">
        <f>"00845643"</f>
        <v>00845643</v>
      </c>
    </row>
    <row r="17649" spans="1:2" x14ac:dyDescent="0.25">
      <c r="A17649" s="2">
        <v>17644</v>
      </c>
      <c r="B17649" s="3" t="str">
        <f>"00845762"</f>
        <v>00845762</v>
      </c>
    </row>
    <row r="17650" spans="1:2" x14ac:dyDescent="0.25">
      <c r="A17650" s="2">
        <v>17645</v>
      </c>
      <c r="B17650" s="3" t="str">
        <f>"00845883"</f>
        <v>00845883</v>
      </c>
    </row>
    <row r="17651" spans="1:2" x14ac:dyDescent="0.25">
      <c r="A17651" s="2">
        <v>17646</v>
      </c>
      <c r="B17651" s="3" t="str">
        <f>"00845886"</f>
        <v>00845886</v>
      </c>
    </row>
    <row r="17652" spans="1:2" x14ac:dyDescent="0.25">
      <c r="A17652" s="2">
        <v>17647</v>
      </c>
      <c r="B17652" s="3" t="str">
        <f>"00845893"</f>
        <v>00845893</v>
      </c>
    </row>
    <row r="17653" spans="1:2" x14ac:dyDescent="0.25">
      <c r="A17653" s="2">
        <v>17648</v>
      </c>
      <c r="B17653" s="3" t="str">
        <f>"00845931"</f>
        <v>00845931</v>
      </c>
    </row>
    <row r="17654" spans="1:2" x14ac:dyDescent="0.25">
      <c r="A17654" s="2">
        <v>17649</v>
      </c>
      <c r="B17654" s="3" t="str">
        <f>"00846023"</f>
        <v>00846023</v>
      </c>
    </row>
    <row r="17655" spans="1:2" x14ac:dyDescent="0.25">
      <c r="A17655" s="2">
        <v>17650</v>
      </c>
      <c r="B17655" s="3" t="str">
        <f>"00846043"</f>
        <v>00846043</v>
      </c>
    </row>
    <row r="17656" spans="1:2" x14ac:dyDescent="0.25">
      <c r="A17656" s="2">
        <v>17651</v>
      </c>
      <c r="B17656" s="3" t="str">
        <f>"00846057"</f>
        <v>00846057</v>
      </c>
    </row>
    <row r="17657" spans="1:2" x14ac:dyDescent="0.25">
      <c r="A17657" s="2">
        <v>17652</v>
      </c>
      <c r="B17657" s="3" t="str">
        <f>"00846062"</f>
        <v>00846062</v>
      </c>
    </row>
    <row r="17658" spans="1:2" x14ac:dyDescent="0.25">
      <c r="A17658" s="2">
        <v>17653</v>
      </c>
      <c r="B17658" s="3" t="str">
        <f>"00846211"</f>
        <v>00846211</v>
      </c>
    </row>
    <row r="17659" spans="1:2" x14ac:dyDescent="0.25">
      <c r="A17659" s="2">
        <v>17654</v>
      </c>
      <c r="B17659" s="3" t="str">
        <f>"00846228"</f>
        <v>00846228</v>
      </c>
    </row>
    <row r="17660" spans="1:2" x14ac:dyDescent="0.25">
      <c r="A17660" s="2">
        <v>17655</v>
      </c>
      <c r="B17660" s="3" t="str">
        <f>"00846270"</f>
        <v>00846270</v>
      </c>
    </row>
    <row r="17661" spans="1:2" x14ac:dyDescent="0.25">
      <c r="A17661" s="2">
        <v>17656</v>
      </c>
      <c r="B17661" s="3" t="str">
        <f>"00846271"</f>
        <v>00846271</v>
      </c>
    </row>
    <row r="17662" spans="1:2" x14ac:dyDescent="0.25">
      <c r="A17662" s="2">
        <v>17657</v>
      </c>
      <c r="B17662" s="3" t="str">
        <f>"00846301"</f>
        <v>00846301</v>
      </c>
    </row>
    <row r="17663" spans="1:2" x14ac:dyDescent="0.25">
      <c r="A17663" s="2">
        <v>17658</v>
      </c>
      <c r="B17663" s="3" t="str">
        <f>"00846316"</f>
        <v>00846316</v>
      </c>
    </row>
    <row r="17664" spans="1:2" x14ac:dyDescent="0.25">
      <c r="A17664" s="2">
        <v>17659</v>
      </c>
      <c r="B17664" s="3" t="str">
        <f>"00846395"</f>
        <v>00846395</v>
      </c>
    </row>
    <row r="17665" spans="1:2" x14ac:dyDescent="0.25">
      <c r="A17665" s="2">
        <v>17660</v>
      </c>
      <c r="B17665" s="3" t="str">
        <f>"00846424"</f>
        <v>00846424</v>
      </c>
    </row>
    <row r="17666" spans="1:2" x14ac:dyDescent="0.25">
      <c r="A17666" s="2">
        <v>17661</v>
      </c>
      <c r="B17666" s="3" t="str">
        <f>"00846503"</f>
        <v>00846503</v>
      </c>
    </row>
    <row r="17667" spans="1:2" x14ac:dyDescent="0.25">
      <c r="A17667" s="2">
        <v>17662</v>
      </c>
      <c r="B17667" s="3" t="str">
        <f>"00846525"</f>
        <v>00846525</v>
      </c>
    </row>
    <row r="17668" spans="1:2" x14ac:dyDescent="0.25">
      <c r="A17668" s="2">
        <v>17663</v>
      </c>
      <c r="B17668" s="3" t="str">
        <f>"00846531"</f>
        <v>00846531</v>
      </c>
    </row>
    <row r="17669" spans="1:2" x14ac:dyDescent="0.25">
      <c r="A17669" s="2">
        <v>17664</v>
      </c>
      <c r="B17669" s="3" t="str">
        <f>"00846553"</f>
        <v>00846553</v>
      </c>
    </row>
    <row r="17670" spans="1:2" x14ac:dyDescent="0.25">
      <c r="A17670" s="2">
        <v>17665</v>
      </c>
      <c r="B17670" s="3" t="str">
        <f>"00846555"</f>
        <v>00846555</v>
      </c>
    </row>
    <row r="17671" spans="1:2" x14ac:dyDescent="0.25">
      <c r="A17671" s="2">
        <v>17666</v>
      </c>
      <c r="B17671" s="3" t="str">
        <f>"00846592"</f>
        <v>00846592</v>
      </c>
    </row>
    <row r="17672" spans="1:2" x14ac:dyDescent="0.25">
      <c r="A17672" s="2">
        <v>17667</v>
      </c>
      <c r="B17672" s="3" t="str">
        <f>"00846635"</f>
        <v>00846635</v>
      </c>
    </row>
    <row r="17673" spans="1:2" x14ac:dyDescent="0.25">
      <c r="A17673" s="2">
        <v>17668</v>
      </c>
      <c r="B17673" s="3" t="str">
        <f>"00846654"</f>
        <v>00846654</v>
      </c>
    </row>
    <row r="17674" spans="1:2" x14ac:dyDescent="0.25">
      <c r="A17674" s="2">
        <v>17669</v>
      </c>
      <c r="B17674" s="3" t="str">
        <f>"00846675"</f>
        <v>00846675</v>
      </c>
    </row>
    <row r="17675" spans="1:2" x14ac:dyDescent="0.25">
      <c r="A17675" s="2">
        <v>17670</v>
      </c>
      <c r="B17675" s="3" t="str">
        <f>"00846689"</f>
        <v>00846689</v>
      </c>
    </row>
    <row r="17676" spans="1:2" x14ac:dyDescent="0.25">
      <c r="A17676" s="2">
        <v>17671</v>
      </c>
      <c r="B17676" s="3" t="str">
        <f>"00846714"</f>
        <v>00846714</v>
      </c>
    </row>
    <row r="17677" spans="1:2" x14ac:dyDescent="0.25">
      <c r="A17677" s="2">
        <v>17672</v>
      </c>
      <c r="B17677" s="3" t="str">
        <f>"00846721"</f>
        <v>00846721</v>
      </c>
    </row>
    <row r="17678" spans="1:2" x14ac:dyDescent="0.25">
      <c r="A17678" s="2">
        <v>17673</v>
      </c>
      <c r="B17678" s="3" t="str">
        <f>"00846750"</f>
        <v>00846750</v>
      </c>
    </row>
    <row r="17679" spans="1:2" x14ac:dyDescent="0.25">
      <c r="A17679" s="2">
        <v>17674</v>
      </c>
      <c r="B17679" s="3" t="str">
        <f>"00846762"</f>
        <v>00846762</v>
      </c>
    </row>
    <row r="17680" spans="1:2" x14ac:dyDescent="0.25">
      <c r="A17680" s="2">
        <v>17675</v>
      </c>
      <c r="B17680" s="3" t="str">
        <f>"00846780"</f>
        <v>00846780</v>
      </c>
    </row>
    <row r="17681" spans="1:2" x14ac:dyDescent="0.25">
      <c r="A17681" s="2">
        <v>17676</v>
      </c>
      <c r="B17681" s="3" t="str">
        <f>"00846831"</f>
        <v>00846831</v>
      </c>
    </row>
    <row r="17682" spans="1:2" x14ac:dyDescent="0.25">
      <c r="A17682" s="2">
        <v>17677</v>
      </c>
      <c r="B17682" s="3" t="str">
        <f>"00846849"</f>
        <v>00846849</v>
      </c>
    </row>
    <row r="17683" spans="1:2" x14ac:dyDescent="0.25">
      <c r="A17683" s="2">
        <v>17678</v>
      </c>
      <c r="B17683" s="3" t="str">
        <f>"00846934"</f>
        <v>00846934</v>
      </c>
    </row>
    <row r="17684" spans="1:2" x14ac:dyDescent="0.25">
      <c r="A17684" s="2">
        <v>17679</v>
      </c>
      <c r="B17684" s="3" t="str">
        <f>"00847040"</f>
        <v>00847040</v>
      </c>
    </row>
    <row r="17685" spans="1:2" x14ac:dyDescent="0.25">
      <c r="A17685" s="2">
        <v>17680</v>
      </c>
      <c r="B17685" s="3" t="str">
        <f>"00847059"</f>
        <v>00847059</v>
      </c>
    </row>
    <row r="17686" spans="1:2" x14ac:dyDescent="0.25">
      <c r="A17686" s="2">
        <v>17681</v>
      </c>
      <c r="B17686" s="3" t="str">
        <f>"00847060"</f>
        <v>00847060</v>
      </c>
    </row>
    <row r="17687" spans="1:2" x14ac:dyDescent="0.25">
      <c r="A17687" s="2">
        <v>17682</v>
      </c>
      <c r="B17687" s="3" t="str">
        <f>"00847068"</f>
        <v>00847068</v>
      </c>
    </row>
    <row r="17688" spans="1:2" x14ac:dyDescent="0.25">
      <c r="A17688" s="2">
        <v>17683</v>
      </c>
      <c r="B17688" s="3" t="str">
        <f>"00847151"</f>
        <v>00847151</v>
      </c>
    </row>
    <row r="17689" spans="1:2" x14ac:dyDescent="0.25">
      <c r="A17689" s="2">
        <v>17684</v>
      </c>
      <c r="B17689" s="3" t="str">
        <f>"00847233"</f>
        <v>00847233</v>
      </c>
    </row>
    <row r="17690" spans="1:2" x14ac:dyDescent="0.25">
      <c r="A17690" s="2">
        <v>17685</v>
      </c>
      <c r="B17690" s="3" t="str">
        <f>"00847245"</f>
        <v>00847245</v>
      </c>
    </row>
    <row r="17691" spans="1:2" x14ac:dyDescent="0.25">
      <c r="A17691" s="2">
        <v>17686</v>
      </c>
      <c r="B17691" s="3" t="str">
        <f>"00847278"</f>
        <v>00847278</v>
      </c>
    </row>
    <row r="17692" spans="1:2" x14ac:dyDescent="0.25">
      <c r="A17692" s="2">
        <v>17687</v>
      </c>
      <c r="B17692" s="3" t="str">
        <f>"00847282"</f>
        <v>00847282</v>
      </c>
    </row>
    <row r="17693" spans="1:2" x14ac:dyDescent="0.25">
      <c r="A17693" s="2">
        <v>17688</v>
      </c>
      <c r="B17693" s="3" t="str">
        <f>"00847298"</f>
        <v>00847298</v>
      </c>
    </row>
    <row r="17694" spans="1:2" x14ac:dyDescent="0.25">
      <c r="A17694" s="2">
        <v>17689</v>
      </c>
      <c r="B17694" s="3" t="str">
        <f>"00847303"</f>
        <v>00847303</v>
      </c>
    </row>
    <row r="17695" spans="1:2" x14ac:dyDescent="0.25">
      <c r="A17695" s="2">
        <v>17690</v>
      </c>
      <c r="B17695" s="3" t="str">
        <f>"00847312"</f>
        <v>00847312</v>
      </c>
    </row>
    <row r="17696" spans="1:2" x14ac:dyDescent="0.25">
      <c r="A17696" s="2">
        <v>17691</v>
      </c>
      <c r="B17696" s="3" t="str">
        <f>"00847329"</f>
        <v>00847329</v>
      </c>
    </row>
    <row r="17697" spans="1:2" x14ac:dyDescent="0.25">
      <c r="A17697" s="2">
        <v>17692</v>
      </c>
      <c r="B17697" s="3" t="str">
        <f>"00847337"</f>
        <v>00847337</v>
      </c>
    </row>
    <row r="17698" spans="1:2" x14ac:dyDescent="0.25">
      <c r="A17698" s="2">
        <v>17693</v>
      </c>
      <c r="B17698" s="3" t="str">
        <f>"00847391"</f>
        <v>00847391</v>
      </c>
    </row>
    <row r="17699" spans="1:2" x14ac:dyDescent="0.25">
      <c r="A17699" s="2">
        <v>17694</v>
      </c>
      <c r="B17699" s="3" t="str">
        <f>"00847425"</f>
        <v>00847425</v>
      </c>
    </row>
    <row r="17700" spans="1:2" x14ac:dyDescent="0.25">
      <c r="A17700" s="2">
        <v>17695</v>
      </c>
      <c r="B17700" s="3" t="str">
        <f>"00847476"</f>
        <v>00847476</v>
      </c>
    </row>
    <row r="17701" spans="1:2" x14ac:dyDescent="0.25">
      <c r="A17701" s="2">
        <v>17696</v>
      </c>
      <c r="B17701" s="3" t="str">
        <f>"00847494"</f>
        <v>00847494</v>
      </c>
    </row>
    <row r="17702" spans="1:2" x14ac:dyDescent="0.25">
      <c r="A17702" s="2">
        <v>17697</v>
      </c>
      <c r="B17702" s="3" t="str">
        <f>"00847585"</f>
        <v>00847585</v>
      </c>
    </row>
    <row r="17703" spans="1:2" x14ac:dyDescent="0.25">
      <c r="A17703" s="2">
        <v>17698</v>
      </c>
      <c r="B17703" s="3" t="str">
        <f>"00847624"</f>
        <v>00847624</v>
      </c>
    </row>
    <row r="17704" spans="1:2" x14ac:dyDescent="0.25">
      <c r="A17704" s="2">
        <v>17699</v>
      </c>
      <c r="B17704" s="3" t="str">
        <f>"00847629"</f>
        <v>00847629</v>
      </c>
    </row>
    <row r="17705" spans="1:2" x14ac:dyDescent="0.25">
      <c r="A17705" s="2">
        <v>17700</v>
      </c>
      <c r="B17705" s="3" t="str">
        <f>"00847642"</f>
        <v>00847642</v>
      </c>
    </row>
    <row r="17706" spans="1:2" x14ac:dyDescent="0.25">
      <c r="A17706" s="2">
        <v>17701</v>
      </c>
      <c r="B17706" s="3" t="str">
        <f>"00847662"</f>
        <v>00847662</v>
      </c>
    </row>
    <row r="17707" spans="1:2" x14ac:dyDescent="0.25">
      <c r="A17707" s="2">
        <v>17702</v>
      </c>
      <c r="B17707" s="3" t="str">
        <f>"00847717"</f>
        <v>00847717</v>
      </c>
    </row>
    <row r="17708" spans="1:2" x14ac:dyDescent="0.25">
      <c r="A17708" s="2">
        <v>17703</v>
      </c>
      <c r="B17708" s="3" t="str">
        <f>"00847720"</f>
        <v>00847720</v>
      </c>
    </row>
    <row r="17709" spans="1:2" x14ac:dyDescent="0.25">
      <c r="A17709" s="2">
        <v>17704</v>
      </c>
      <c r="B17709" s="3" t="str">
        <f>"00847736"</f>
        <v>00847736</v>
      </c>
    </row>
    <row r="17710" spans="1:2" x14ac:dyDescent="0.25">
      <c r="A17710" s="2">
        <v>17705</v>
      </c>
      <c r="B17710" s="3" t="str">
        <f>"00847738"</f>
        <v>00847738</v>
      </c>
    </row>
    <row r="17711" spans="1:2" x14ac:dyDescent="0.25">
      <c r="A17711" s="2">
        <v>17706</v>
      </c>
      <c r="B17711" s="3" t="str">
        <f>"00847762"</f>
        <v>00847762</v>
      </c>
    </row>
    <row r="17712" spans="1:2" x14ac:dyDescent="0.25">
      <c r="A17712" s="2">
        <v>17707</v>
      </c>
      <c r="B17712" s="3" t="str">
        <f>"00847784"</f>
        <v>00847784</v>
      </c>
    </row>
    <row r="17713" spans="1:2" x14ac:dyDescent="0.25">
      <c r="A17713" s="2">
        <v>17708</v>
      </c>
      <c r="B17713" s="3" t="str">
        <f>"00847807"</f>
        <v>00847807</v>
      </c>
    </row>
    <row r="17714" spans="1:2" x14ac:dyDescent="0.25">
      <c r="A17714" s="2">
        <v>17709</v>
      </c>
      <c r="B17714" s="3" t="str">
        <f>"00847830"</f>
        <v>00847830</v>
      </c>
    </row>
    <row r="17715" spans="1:2" x14ac:dyDescent="0.25">
      <c r="A17715" s="2">
        <v>17710</v>
      </c>
      <c r="B17715" s="3" t="str">
        <f>"00847837"</f>
        <v>00847837</v>
      </c>
    </row>
    <row r="17716" spans="1:2" x14ac:dyDescent="0.25">
      <c r="A17716" s="2">
        <v>17711</v>
      </c>
      <c r="B17716" s="3" t="str">
        <f>"00847847"</f>
        <v>00847847</v>
      </c>
    </row>
    <row r="17717" spans="1:2" x14ac:dyDescent="0.25">
      <c r="A17717" s="2">
        <v>17712</v>
      </c>
      <c r="B17717" s="3" t="str">
        <f>"00847868"</f>
        <v>00847868</v>
      </c>
    </row>
    <row r="17718" spans="1:2" x14ac:dyDescent="0.25">
      <c r="A17718" s="2">
        <v>17713</v>
      </c>
      <c r="B17718" s="3" t="str">
        <f>"00847893"</f>
        <v>00847893</v>
      </c>
    </row>
    <row r="17719" spans="1:2" x14ac:dyDescent="0.25">
      <c r="A17719" s="2">
        <v>17714</v>
      </c>
      <c r="B17719" s="3" t="str">
        <f>"00847894"</f>
        <v>00847894</v>
      </c>
    </row>
    <row r="17720" spans="1:2" x14ac:dyDescent="0.25">
      <c r="A17720" s="2">
        <v>17715</v>
      </c>
      <c r="B17720" s="3" t="str">
        <f>"00847905"</f>
        <v>00847905</v>
      </c>
    </row>
    <row r="17721" spans="1:2" x14ac:dyDescent="0.25">
      <c r="A17721" s="2">
        <v>17716</v>
      </c>
      <c r="B17721" s="3" t="str">
        <f>"00847962"</f>
        <v>00847962</v>
      </c>
    </row>
    <row r="17722" spans="1:2" x14ac:dyDescent="0.25">
      <c r="A17722" s="2">
        <v>17717</v>
      </c>
      <c r="B17722" s="3" t="str">
        <f>"00847981"</f>
        <v>00847981</v>
      </c>
    </row>
    <row r="17723" spans="1:2" x14ac:dyDescent="0.25">
      <c r="A17723" s="2">
        <v>17718</v>
      </c>
      <c r="B17723" s="3" t="str">
        <f>"00847989"</f>
        <v>00847989</v>
      </c>
    </row>
    <row r="17724" spans="1:2" x14ac:dyDescent="0.25">
      <c r="A17724" s="2">
        <v>17719</v>
      </c>
      <c r="B17724" s="3" t="str">
        <f>"00847999"</f>
        <v>00847999</v>
      </c>
    </row>
    <row r="17725" spans="1:2" x14ac:dyDescent="0.25">
      <c r="A17725" s="2">
        <v>17720</v>
      </c>
      <c r="B17725" s="3" t="str">
        <f>"00848055"</f>
        <v>00848055</v>
      </c>
    </row>
    <row r="17726" spans="1:2" x14ac:dyDescent="0.25">
      <c r="A17726" s="2">
        <v>17721</v>
      </c>
      <c r="B17726" s="3" t="str">
        <f>"00848081"</f>
        <v>00848081</v>
      </c>
    </row>
    <row r="17727" spans="1:2" x14ac:dyDescent="0.25">
      <c r="A17727" s="2">
        <v>17722</v>
      </c>
      <c r="B17727" s="3" t="str">
        <f>"00848100"</f>
        <v>00848100</v>
      </c>
    </row>
    <row r="17728" spans="1:2" x14ac:dyDescent="0.25">
      <c r="A17728" s="2">
        <v>17723</v>
      </c>
      <c r="B17728" s="3" t="str">
        <f>"00848109"</f>
        <v>00848109</v>
      </c>
    </row>
    <row r="17729" spans="1:2" x14ac:dyDescent="0.25">
      <c r="A17729" s="2">
        <v>17724</v>
      </c>
      <c r="B17729" s="3" t="str">
        <f>"00848223"</f>
        <v>00848223</v>
      </c>
    </row>
    <row r="17730" spans="1:2" x14ac:dyDescent="0.25">
      <c r="A17730" s="2">
        <v>17725</v>
      </c>
      <c r="B17730" s="3" t="str">
        <f>"00848328"</f>
        <v>00848328</v>
      </c>
    </row>
    <row r="17731" spans="1:2" x14ac:dyDescent="0.25">
      <c r="A17731" s="2">
        <v>17726</v>
      </c>
      <c r="B17731" s="3" t="str">
        <f>"00848348"</f>
        <v>00848348</v>
      </c>
    </row>
    <row r="17732" spans="1:2" x14ac:dyDescent="0.25">
      <c r="A17732" s="2">
        <v>17727</v>
      </c>
      <c r="B17732" s="3" t="str">
        <f>"00848466"</f>
        <v>00848466</v>
      </c>
    </row>
    <row r="17733" spans="1:2" x14ac:dyDescent="0.25">
      <c r="A17733" s="2">
        <v>17728</v>
      </c>
      <c r="B17733" s="3" t="str">
        <f>"00848467"</f>
        <v>00848467</v>
      </c>
    </row>
    <row r="17734" spans="1:2" x14ac:dyDescent="0.25">
      <c r="A17734" s="2">
        <v>17729</v>
      </c>
      <c r="B17734" s="3" t="str">
        <f>"00848476"</f>
        <v>00848476</v>
      </c>
    </row>
    <row r="17735" spans="1:2" x14ac:dyDescent="0.25">
      <c r="A17735" s="2">
        <v>17730</v>
      </c>
      <c r="B17735" s="3" t="str">
        <f>"00848502"</f>
        <v>00848502</v>
      </c>
    </row>
    <row r="17736" spans="1:2" x14ac:dyDescent="0.25">
      <c r="A17736" s="2">
        <v>17731</v>
      </c>
      <c r="B17736" s="3" t="str">
        <f>"00848534"</f>
        <v>00848534</v>
      </c>
    </row>
    <row r="17737" spans="1:2" x14ac:dyDescent="0.25">
      <c r="A17737" s="2">
        <v>17732</v>
      </c>
      <c r="B17737" s="3" t="str">
        <f>"00848538"</f>
        <v>00848538</v>
      </c>
    </row>
    <row r="17738" spans="1:2" x14ac:dyDescent="0.25">
      <c r="A17738" s="2">
        <v>17733</v>
      </c>
      <c r="B17738" s="3" t="str">
        <f>"00848541"</f>
        <v>00848541</v>
      </c>
    </row>
    <row r="17739" spans="1:2" x14ac:dyDescent="0.25">
      <c r="A17739" s="2">
        <v>17734</v>
      </c>
      <c r="B17739" s="3" t="str">
        <f>"00848549"</f>
        <v>00848549</v>
      </c>
    </row>
    <row r="17740" spans="1:2" x14ac:dyDescent="0.25">
      <c r="A17740" s="2">
        <v>17735</v>
      </c>
      <c r="B17740" s="3" t="str">
        <f>"00848558"</f>
        <v>00848558</v>
      </c>
    </row>
    <row r="17741" spans="1:2" x14ac:dyDescent="0.25">
      <c r="A17741" s="2">
        <v>17736</v>
      </c>
      <c r="B17741" s="3" t="str">
        <f>"00848571"</f>
        <v>00848571</v>
      </c>
    </row>
    <row r="17742" spans="1:2" x14ac:dyDescent="0.25">
      <c r="A17742" s="2">
        <v>17737</v>
      </c>
      <c r="B17742" s="3" t="str">
        <f>"00848590"</f>
        <v>00848590</v>
      </c>
    </row>
    <row r="17743" spans="1:2" x14ac:dyDescent="0.25">
      <c r="A17743" s="2">
        <v>17738</v>
      </c>
      <c r="B17743" s="3" t="str">
        <f>"00848604"</f>
        <v>00848604</v>
      </c>
    </row>
    <row r="17744" spans="1:2" x14ac:dyDescent="0.25">
      <c r="A17744" s="2">
        <v>17739</v>
      </c>
      <c r="B17744" s="3" t="str">
        <f>"00848609"</f>
        <v>00848609</v>
      </c>
    </row>
    <row r="17745" spans="1:2" x14ac:dyDescent="0.25">
      <c r="A17745" s="2">
        <v>17740</v>
      </c>
      <c r="B17745" s="3" t="str">
        <f>"00848673"</f>
        <v>00848673</v>
      </c>
    </row>
    <row r="17746" spans="1:2" x14ac:dyDescent="0.25">
      <c r="A17746" s="2">
        <v>17741</v>
      </c>
      <c r="B17746" s="3" t="str">
        <f>"00848702"</f>
        <v>00848702</v>
      </c>
    </row>
    <row r="17747" spans="1:2" x14ac:dyDescent="0.25">
      <c r="A17747" s="2">
        <v>17742</v>
      </c>
      <c r="B17747" s="3" t="str">
        <f>"00848713"</f>
        <v>00848713</v>
      </c>
    </row>
    <row r="17748" spans="1:2" x14ac:dyDescent="0.25">
      <c r="A17748" s="2">
        <v>17743</v>
      </c>
      <c r="B17748" s="3" t="str">
        <f>"00848716"</f>
        <v>00848716</v>
      </c>
    </row>
    <row r="17749" spans="1:2" x14ac:dyDescent="0.25">
      <c r="A17749" s="2">
        <v>17744</v>
      </c>
      <c r="B17749" s="3" t="str">
        <f>"00848742"</f>
        <v>00848742</v>
      </c>
    </row>
    <row r="17750" spans="1:2" x14ac:dyDescent="0.25">
      <c r="A17750" s="2">
        <v>17745</v>
      </c>
      <c r="B17750" s="3" t="str">
        <f>"00848806"</f>
        <v>00848806</v>
      </c>
    </row>
    <row r="17751" spans="1:2" x14ac:dyDescent="0.25">
      <c r="A17751" s="2">
        <v>17746</v>
      </c>
      <c r="B17751" s="3" t="str">
        <f>"00848828"</f>
        <v>00848828</v>
      </c>
    </row>
    <row r="17752" spans="1:2" x14ac:dyDescent="0.25">
      <c r="A17752" s="2">
        <v>17747</v>
      </c>
      <c r="B17752" s="3" t="str">
        <f>"00848841"</f>
        <v>00848841</v>
      </c>
    </row>
    <row r="17753" spans="1:2" x14ac:dyDescent="0.25">
      <c r="A17753" s="2">
        <v>17748</v>
      </c>
      <c r="B17753" s="3" t="str">
        <f>"00848863"</f>
        <v>00848863</v>
      </c>
    </row>
    <row r="17754" spans="1:2" x14ac:dyDescent="0.25">
      <c r="A17754" s="2">
        <v>17749</v>
      </c>
      <c r="B17754" s="3" t="str">
        <f>"00848873"</f>
        <v>00848873</v>
      </c>
    </row>
    <row r="17755" spans="1:2" x14ac:dyDescent="0.25">
      <c r="A17755" s="2">
        <v>17750</v>
      </c>
      <c r="B17755" s="3" t="str">
        <f>"00848939"</f>
        <v>00848939</v>
      </c>
    </row>
    <row r="17756" spans="1:2" x14ac:dyDescent="0.25">
      <c r="A17756" s="2">
        <v>17751</v>
      </c>
      <c r="B17756" s="3" t="str">
        <f>"00848986"</f>
        <v>00848986</v>
      </c>
    </row>
    <row r="17757" spans="1:2" x14ac:dyDescent="0.25">
      <c r="A17757" s="2">
        <v>17752</v>
      </c>
      <c r="B17757" s="3" t="str">
        <f>"00848996"</f>
        <v>00848996</v>
      </c>
    </row>
    <row r="17758" spans="1:2" x14ac:dyDescent="0.25">
      <c r="A17758" s="2">
        <v>17753</v>
      </c>
      <c r="B17758" s="3" t="str">
        <f>"00849021"</f>
        <v>00849021</v>
      </c>
    </row>
    <row r="17759" spans="1:2" x14ac:dyDescent="0.25">
      <c r="A17759" s="2">
        <v>17754</v>
      </c>
      <c r="B17759" s="3" t="str">
        <f>"00849050"</f>
        <v>00849050</v>
      </c>
    </row>
    <row r="17760" spans="1:2" x14ac:dyDescent="0.25">
      <c r="A17760" s="2">
        <v>17755</v>
      </c>
      <c r="B17760" s="3" t="str">
        <f>"00849053"</f>
        <v>00849053</v>
      </c>
    </row>
    <row r="17761" spans="1:2" x14ac:dyDescent="0.25">
      <c r="A17761" s="2">
        <v>17756</v>
      </c>
      <c r="B17761" s="3" t="str">
        <f>"00849078"</f>
        <v>00849078</v>
      </c>
    </row>
    <row r="17762" spans="1:2" x14ac:dyDescent="0.25">
      <c r="A17762" s="2">
        <v>17757</v>
      </c>
      <c r="B17762" s="3" t="str">
        <f>"00849082"</f>
        <v>00849082</v>
      </c>
    </row>
    <row r="17763" spans="1:2" x14ac:dyDescent="0.25">
      <c r="A17763" s="2">
        <v>17758</v>
      </c>
      <c r="B17763" s="3" t="str">
        <f>"00849126"</f>
        <v>00849126</v>
      </c>
    </row>
    <row r="17764" spans="1:2" x14ac:dyDescent="0.25">
      <c r="A17764" s="2">
        <v>17759</v>
      </c>
      <c r="B17764" s="3" t="str">
        <f>"00849210"</f>
        <v>00849210</v>
      </c>
    </row>
    <row r="17765" spans="1:2" x14ac:dyDescent="0.25">
      <c r="A17765" s="2">
        <v>17760</v>
      </c>
      <c r="B17765" s="3" t="str">
        <f>"00849228"</f>
        <v>00849228</v>
      </c>
    </row>
    <row r="17766" spans="1:2" x14ac:dyDescent="0.25">
      <c r="A17766" s="2">
        <v>17761</v>
      </c>
      <c r="B17766" s="3" t="str">
        <f>"00849233"</f>
        <v>00849233</v>
      </c>
    </row>
    <row r="17767" spans="1:2" x14ac:dyDescent="0.25">
      <c r="A17767" s="2">
        <v>17762</v>
      </c>
      <c r="B17767" s="3" t="str">
        <f>"00849247"</f>
        <v>00849247</v>
      </c>
    </row>
    <row r="17768" spans="1:2" x14ac:dyDescent="0.25">
      <c r="A17768" s="2">
        <v>17763</v>
      </c>
      <c r="B17768" s="3" t="str">
        <f>"00849292"</f>
        <v>00849292</v>
      </c>
    </row>
    <row r="17769" spans="1:2" x14ac:dyDescent="0.25">
      <c r="A17769" s="2">
        <v>17764</v>
      </c>
      <c r="B17769" s="3" t="str">
        <f>"00849394"</f>
        <v>00849394</v>
      </c>
    </row>
    <row r="17770" spans="1:2" x14ac:dyDescent="0.25">
      <c r="A17770" s="2">
        <v>17765</v>
      </c>
      <c r="B17770" s="3" t="str">
        <f>"00849404"</f>
        <v>00849404</v>
      </c>
    </row>
    <row r="17771" spans="1:2" x14ac:dyDescent="0.25">
      <c r="A17771" s="2">
        <v>17766</v>
      </c>
      <c r="B17771" s="3" t="str">
        <f>"00849406"</f>
        <v>00849406</v>
      </c>
    </row>
    <row r="17772" spans="1:2" x14ac:dyDescent="0.25">
      <c r="A17772" s="2">
        <v>17767</v>
      </c>
      <c r="B17772" s="3" t="str">
        <f>"00849420"</f>
        <v>00849420</v>
      </c>
    </row>
    <row r="17773" spans="1:2" x14ac:dyDescent="0.25">
      <c r="A17773" s="2">
        <v>17768</v>
      </c>
      <c r="B17773" s="3" t="str">
        <f>"00849507"</f>
        <v>00849507</v>
      </c>
    </row>
    <row r="17774" spans="1:2" x14ac:dyDescent="0.25">
      <c r="A17774" s="2">
        <v>17769</v>
      </c>
      <c r="B17774" s="3" t="str">
        <f>"00849560"</f>
        <v>00849560</v>
      </c>
    </row>
    <row r="17775" spans="1:2" x14ac:dyDescent="0.25">
      <c r="A17775" s="2">
        <v>17770</v>
      </c>
      <c r="B17775" s="3" t="str">
        <f>"00849572"</f>
        <v>00849572</v>
      </c>
    </row>
    <row r="17776" spans="1:2" x14ac:dyDescent="0.25">
      <c r="A17776" s="2">
        <v>17771</v>
      </c>
      <c r="B17776" s="3" t="str">
        <f>"00849582"</f>
        <v>00849582</v>
      </c>
    </row>
    <row r="17777" spans="1:2" x14ac:dyDescent="0.25">
      <c r="A17777" s="2">
        <v>17772</v>
      </c>
      <c r="B17777" s="3" t="str">
        <f>"00849625"</f>
        <v>00849625</v>
      </c>
    </row>
    <row r="17778" spans="1:2" x14ac:dyDescent="0.25">
      <c r="A17778" s="2">
        <v>17773</v>
      </c>
      <c r="B17778" s="3" t="str">
        <f>"00849652"</f>
        <v>00849652</v>
      </c>
    </row>
    <row r="17779" spans="1:2" x14ac:dyDescent="0.25">
      <c r="A17779" s="2">
        <v>17774</v>
      </c>
      <c r="B17779" s="3" t="str">
        <f>"00849668"</f>
        <v>00849668</v>
      </c>
    </row>
    <row r="17780" spans="1:2" x14ac:dyDescent="0.25">
      <c r="A17780" s="2">
        <v>17775</v>
      </c>
      <c r="B17780" s="3" t="str">
        <f>"00849671"</f>
        <v>00849671</v>
      </c>
    </row>
    <row r="17781" spans="1:2" x14ac:dyDescent="0.25">
      <c r="A17781" s="2">
        <v>17776</v>
      </c>
      <c r="B17781" s="3" t="str">
        <f>"00849672"</f>
        <v>00849672</v>
      </c>
    </row>
    <row r="17782" spans="1:2" x14ac:dyDescent="0.25">
      <c r="A17782" s="2">
        <v>17777</v>
      </c>
      <c r="B17782" s="3" t="str">
        <f>"00849745"</f>
        <v>00849745</v>
      </c>
    </row>
    <row r="17783" spans="1:2" x14ac:dyDescent="0.25">
      <c r="A17783" s="2">
        <v>17778</v>
      </c>
      <c r="B17783" s="3" t="str">
        <f>"00849751"</f>
        <v>00849751</v>
      </c>
    </row>
    <row r="17784" spans="1:2" x14ac:dyDescent="0.25">
      <c r="A17784" s="2">
        <v>17779</v>
      </c>
      <c r="B17784" s="3" t="str">
        <f>"00849776"</f>
        <v>00849776</v>
      </c>
    </row>
    <row r="17785" spans="1:2" x14ac:dyDescent="0.25">
      <c r="A17785" s="2">
        <v>17780</v>
      </c>
      <c r="B17785" s="3" t="str">
        <f>"00849837"</f>
        <v>00849837</v>
      </c>
    </row>
    <row r="17786" spans="1:2" x14ac:dyDescent="0.25">
      <c r="A17786" s="2">
        <v>17781</v>
      </c>
      <c r="B17786" s="3" t="str">
        <f>"00849957"</f>
        <v>00849957</v>
      </c>
    </row>
    <row r="17787" spans="1:2" x14ac:dyDescent="0.25">
      <c r="A17787" s="2">
        <v>17782</v>
      </c>
      <c r="B17787" s="3" t="str">
        <f>"00849967"</f>
        <v>00849967</v>
      </c>
    </row>
    <row r="17788" spans="1:2" x14ac:dyDescent="0.25">
      <c r="A17788" s="2">
        <v>17783</v>
      </c>
      <c r="B17788" s="3" t="str">
        <f>"00849975"</f>
        <v>00849975</v>
      </c>
    </row>
    <row r="17789" spans="1:2" x14ac:dyDescent="0.25">
      <c r="A17789" s="2">
        <v>17784</v>
      </c>
      <c r="B17789" s="3" t="str">
        <f>"00850023"</f>
        <v>00850023</v>
      </c>
    </row>
    <row r="17790" spans="1:2" x14ac:dyDescent="0.25">
      <c r="A17790" s="2">
        <v>17785</v>
      </c>
      <c r="B17790" s="3" t="str">
        <f>"00850047"</f>
        <v>00850047</v>
      </c>
    </row>
    <row r="17791" spans="1:2" x14ac:dyDescent="0.25">
      <c r="A17791" s="2">
        <v>17786</v>
      </c>
      <c r="B17791" s="3" t="str">
        <f>"00850079"</f>
        <v>00850079</v>
      </c>
    </row>
    <row r="17792" spans="1:2" x14ac:dyDescent="0.25">
      <c r="A17792" s="2">
        <v>17787</v>
      </c>
      <c r="B17792" s="3" t="str">
        <f>"00850165"</f>
        <v>00850165</v>
      </c>
    </row>
    <row r="17793" spans="1:2" x14ac:dyDescent="0.25">
      <c r="A17793" s="2">
        <v>17788</v>
      </c>
      <c r="B17793" s="3" t="str">
        <f>"00850180"</f>
        <v>00850180</v>
      </c>
    </row>
    <row r="17794" spans="1:2" x14ac:dyDescent="0.25">
      <c r="A17794" s="2">
        <v>17789</v>
      </c>
      <c r="B17794" s="3" t="str">
        <f>"00850241"</f>
        <v>00850241</v>
      </c>
    </row>
    <row r="17795" spans="1:2" x14ac:dyDescent="0.25">
      <c r="A17795" s="2">
        <v>17790</v>
      </c>
      <c r="B17795" s="3" t="str">
        <f>"00850268"</f>
        <v>00850268</v>
      </c>
    </row>
    <row r="17796" spans="1:2" x14ac:dyDescent="0.25">
      <c r="A17796" s="2">
        <v>17791</v>
      </c>
      <c r="B17796" s="3" t="str">
        <f>"00850296"</f>
        <v>00850296</v>
      </c>
    </row>
    <row r="17797" spans="1:2" x14ac:dyDescent="0.25">
      <c r="A17797" s="2">
        <v>17792</v>
      </c>
      <c r="B17797" s="3" t="str">
        <f>"00850314"</f>
        <v>00850314</v>
      </c>
    </row>
    <row r="17798" spans="1:2" x14ac:dyDescent="0.25">
      <c r="A17798" s="2">
        <v>17793</v>
      </c>
      <c r="B17798" s="3" t="str">
        <f>"00850370"</f>
        <v>00850370</v>
      </c>
    </row>
    <row r="17799" spans="1:2" x14ac:dyDescent="0.25">
      <c r="A17799" s="2">
        <v>17794</v>
      </c>
      <c r="B17799" s="3" t="str">
        <f>"00850500"</f>
        <v>00850500</v>
      </c>
    </row>
    <row r="17800" spans="1:2" x14ac:dyDescent="0.25">
      <c r="A17800" s="2">
        <v>17795</v>
      </c>
      <c r="B17800" s="3" t="str">
        <f>"00850544"</f>
        <v>00850544</v>
      </c>
    </row>
    <row r="17801" spans="1:2" x14ac:dyDescent="0.25">
      <c r="A17801" s="2">
        <v>17796</v>
      </c>
      <c r="B17801" s="3" t="str">
        <f>"00850578"</f>
        <v>00850578</v>
      </c>
    </row>
    <row r="17802" spans="1:2" x14ac:dyDescent="0.25">
      <c r="A17802" s="2">
        <v>17797</v>
      </c>
      <c r="B17802" s="3" t="str">
        <f>"00850591"</f>
        <v>00850591</v>
      </c>
    </row>
    <row r="17803" spans="1:2" x14ac:dyDescent="0.25">
      <c r="A17803" s="2">
        <v>17798</v>
      </c>
      <c r="B17803" s="3" t="str">
        <f>"00850637"</f>
        <v>00850637</v>
      </c>
    </row>
    <row r="17804" spans="1:2" x14ac:dyDescent="0.25">
      <c r="A17804" s="2">
        <v>17799</v>
      </c>
      <c r="B17804" s="3" t="str">
        <f>"00850751"</f>
        <v>00850751</v>
      </c>
    </row>
    <row r="17805" spans="1:2" x14ac:dyDescent="0.25">
      <c r="A17805" s="2">
        <v>17800</v>
      </c>
      <c r="B17805" s="3" t="str">
        <f>"00850759"</f>
        <v>00850759</v>
      </c>
    </row>
    <row r="17806" spans="1:2" x14ac:dyDescent="0.25">
      <c r="A17806" s="2">
        <v>17801</v>
      </c>
      <c r="B17806" s="3" t="str">
        <f>"00850772"</f>
        <v>00850772</v>
      </c>
    </row>
    <row r="17807" spans="1:2" x14ac:dyDescent="0.25">
      <c r="A17807" s="2">
        <v>17802</v>
      </c>
      <c r="B17807" s="3" t="str">
        <f>"00850837"</f>
        <v>00850837</v>
      </c>
    </row>
    <row r="17808" spans="1:2" x14ac:dyDescent="0.25">
      <c r="A17808" s="2">
        <v>17803</v>
      </c>
      <c r="B17808" s="3" t="str">
        <f>"00850851"</f>
        <v>00850851</v>
      </c>
    </row>
    <row r="17809" spans="1:2" x14ac:dyDescent="0.25">
      <c r="A17809" s="2">
        <v>17804</v>
      </c>
      <c r="B17809" s="3" t="str">
        <f>"00850882"</f>
        <v>00850882</v>
      </c>
    </row>
    <row r="17810" spans="1:2" x14ac:dyDescent="0.25">
      <c r="A17810" s="2">
        <v>17805</v>
      </c>
      <c r="B17810" s="3" t="str">
        <f>"00850919"</f>
        <v>00850919</v>
      </c>
    </row>
    <row r="17811" spans="1:2" x14ac:dyDescent="0.25">
      <c r="A17811" s="2">
        <v>17806</v>
      </c>
      <c r="B17811" s="3" t="str">
        <f>"00851013"</f>
        <v>00851013</v>
      </c>
    </row>
    <row r="17812" spans="1:2" x14ac:dyDescent="0.25">
      <c r="A17812" s="2">
        <v>17807</v>
      </c>
      <c r="B17812" s="3" t="str">
        <f>"00851024"</f>
        <v>00851024</v>
      </c>
    </row>
    <row r="17813" spans="1:2" x14ac:dyDescent="0.25">
      <c r="A17813" s="2">
        <v>17808</v>
      </c>
      <c r="B17813" s="3" t="str">
        <f>"00851054"</f>
        <v>00851054</v>
      </c>
    </row>
    <row r="17814" spans="1:2" x14ac:dyDescent="0.25">
      <c r="A17814" s="2">
        <v>17809</v>
      </c>
      <c r="B17814" s="3" t="str">
        <f>"00851105"</f>
        <v>00851105</v>
      </c>
    </row>
    <row r="17815" spans="1:2" x14ac:dyDescent="0.25">
      <c r="A17815" s="2">
        <v>17810</v>
      </c>
      <c r="B17815" s="3" t="str">
        <f>"00851153"</f>
        <v>00851153</v>
      </c>
    </row>
    <row r="17816" spans="1:2" x14ac:dyDescent="0.25">
      <c r="A17816" s="2">
        <v>17811</v>
      </c>
      <c r="B17816" s="3" t="str">
        <f>"00851193"</f>
        <v>00851193</v>
      </c>
    </row>
    <row r="17817" spans="1:2" x14ac:dyDescent="0.25">
      <c r="A17817" s="2">
        <v>17812</v>
      </c>
      <c r="B17817" s="3" t="str">
        <f>"00851318"</f>
        <v>00851318</v>
      </c>
    </row>
    <row r="17818" spans="1:2" x14ac:dyDescent="0.25">
      <c r="A17818" s="2">
        <v>17813</v>
      </c>
      <c r="B17818" s="3" t="str">
        <f>"00851379"</f>
        <v>00851379</v>
      </c>
    </row>
    <row r="17819" spans="1:2" x14ac:dyDescent="0.25">
      <c r="A17819" s="2">
        <v>17814</v>
      </c>
      <c r="B17819" s="3" t="str">
        <f>"00851520"</f>
        <v>00851520</v>
      </c>
    </row>
    <row r="17820" spans="1:2" x14ac:dyDescent="0.25">
      <c r="A17820" s="2">
        <v>17815</v>
      </c>
      <c r="B17820" s="3" t="str">
        <f>"00851592"</f>
        <v>00851592</v>
      </c>
    </row>
    <row r="17821" spans="1:2" x14ac:dyDescent="0.25">
      <c r="A17821" s="2">
        <v>17816</v>
      </c>
      <c r="B17821" s="3" t="str">
        <f>"00851706"</f>
        <v>00851706</v>
      </c>
    </row>
    <row r="17822" spans="1:2" x14ac:dyDescent="0.25">
      <c r="A17822" s="2">
        <v>17817</v>
      </c>
      <c r="B17822" s="3" t="str">
        <f>"00851805"</f>
        <v>00851805</v>
      </c>
    </row>
    <row r="17823" spans="1:2" x14ac:dyDescent="0.25">
      <c r="A17823" s="2">
        <v>17818</v>
      </c>
      <c r="B17823" s="3" t="str">
        <f>"00851833"</f>
        <v>00851833</v>
      </c>
    </row>
    <row r="17824" spans="1:2" x14ac:dyDescent="0.25">
      <c r="A17824" s="2">
        <v>17819</v>
      </c>
      <c r="B17824" s="3" t="str">
        <f>"00851935"</f>
        <v>00851935</v>
      </c>
    </row>
    <row r="17825" spans="1:2" x14ac:dyDescent="0.25">
      <c r="A17825" s="2">
        <v>17820</v>
      </c>
      <c r="B17825" s="3" t="str">
        <f>"00851974"</f>
        <v>00851974</v>
      </c>
    </row>
    <row r="17826" spans="1:2" x14ac:dyDescent="0.25">
      <c r="A17826" s="2">
        <v>17821</v>
      </c>
      <c r="B17826" s="3" t="str">
        <f>"00852037"</f>
        <v>00852037</v>
      </c>
    </row>
    <row r="17827" spans="1:2" x14ac:dyDescent="0.25">
      <c r="A17827" s="2">
        <v>17822</v>
      </c>
      <c r="B17827" s="3" t="str">
        <f>"00852153"</f>
        <v>00852153</v>
      </c>
    </row>
    <row r="17828" spans="1:2" x14ac:dyDescent="0.25">
      <c r="A17828" s="2">
        <v>17823</v>
      </c>
      <c r="B17828" s="3" t="str">
        <f>"00852170"</f>
        <v>00852170</v>
      </c>
    </row>
    <row r="17829" spans="1:2" x14ac:dyDescent="0.25">
      <c r="A17829" s="2">
        <v>17824</v>
      </c>
      <c r="B17829" s="3" t="str">
        <f>"00852173"</f>
        <v>00852173</v>
      </c>
    </row>
    <row r="17830" spans="1:2" x14ac:dyDescent="0.25">
      <c r="A17830" s="2">
        <v>17825</v>
      </c>
      <c r="B17830" s="3" t="str">
        <f>"00852224"</f>
        <v>00852224</v>
      </c>
    </row>
    <row r="17831" spans="1:2" x14ac:dyDescent="0.25">
      <c r="A17831" s="2">
        <v>17826</v>
      </c>
      <c r="B17831" s="3" t="str">
        <f>"00852334"</f>
        <v>00852334</v>
      </c>
    </row>
    <row r="17832" spans="1:2" x14ac:dyDescent="0.25">
      <c r="A17832" s="2">
        <v>17827</v>
      </c>
      <c r="B17832" s="3" t="str">
        <f>"00852341"</f>
        <v>00852341</v>
      </c>
    </row>
    <row r="17833" spans="1:2" x14ac:dyDescent="0.25">
      <c r="A17833" s="2">
        <v>17828</v>
      </c>
      <c r="B17833" s="3" t="str">
        <f>"00852368"</f>
        <v>00852368</v>
      </c>
    </row>
    <row r="17834" spans="1:2" x14ac:dyDescent="0.25">
      <c r="A17834" s="2">
        <v>17829</v>
      </c>
      <c r="B17834" s="3" t="str">
        <f>"00852378"</f>
        <v>00852378</v>
      </c>
    </row>
    <row r="17835" spans="1:2" x14ac:dyDescent="0.25">
      <c r="A17835" s="2">
        <v>17830</v>
      </c>
      <c r="B17835" s="3" t="str">
        <f>"00852541"</f>
        <v>00852541</v>
      </c>
    </row>
    <row r="17836" spans="1:2" x14ac:dyDescent="0.25">
      <c r="A17836" s="2">
        <v>17831</v>
      </c>
      <c r="B17836" s="3" t="str">
        <f>"00852643"</f>
        <v>00852643</v>
      </c>
    </row>
    <row r="17837" spans="1:2" x14ac:dyDescent="0.25">
      <c r="A17837" s="2">
        <v>17832</v>
      </c>
      <c r="B17837" s="3" t="str">
        <f>"00852650"</f>
        <v>00852650</v>
      </c>
    </row>
    <row r="17838" spans="1:2" x14ac:dyDescent="0.25">
      <c r="A17838" s="2">
        <v>17833</v>
      </c>
      <c r="B17838" s="3" t="str">
        <f>"00852678"</f>
        <v>00852678</v>
      </c>
    </row>
    <row r="17839" spans="1:2" x14ac:dyDescent="0.25">
      <c r="A17839" s="2">
        <v>17834</v>
      </c>
      <c r="B17839" s="3" t="str">
        <f>"00852737"</f>
        <v>00852737</v>
      </c>
    </row>
    <row r="17840" spans="1:2" x14ac:dyDescent="0.25">
      <c r="A17840" s="2">
        <v>17835</v>
      </c>
      <c r="B17840" s="3" t="str">
        <f>"00852781"</f>
        <v>00852781</v>
      </c>
    </row>
    <row r="17841" spans="1:2" x14ac:dyDescent="0.25">
      <c r="A17841" s="2">
        <v>17836</v>
      </c>
      <c r="B17841" s="3" t="str">
        <f>"00852938"</f>
        <v>00852938</v>
      </c>
    </row>
    <row r="17842" spans="1:2" x14ac:dyDescent="0.25">
      <c r="A17842" s="2">
        <v>17837</v>
      </c>
      <c r="B17842" s="3" t="str">
        <f>"00853052"</f>
        <v>00853052</v>
      </c>
    </row>
    <row r="17843" spans="1:2" x14ac:dyDescent="0.25">
      <c r="A17843" s="2">
        <v>17838</v>
      </c>
      <c r="B17843" s="3" t="str">
        <f>"00853053"</f>
        <v>00853053</v>
      </c>
    </row>
    <row r="17844" spans="1:2" x14ac:dyDescent="0.25">
      <c r="A17844" s="2">
        <v>17839</v>
      </c>
      <c r="B17844" s="3" t="str">
        <f>"00853104"</f>
        <v>00853104</v>
      </c>
    </row>
    <row r="17845" spans="1:2" x14ac:dyDescent="0.25">
      <c r="A17845" s="2">
        <v>17840</v>
      </c>
      <c r="B17845" s="3" t="str">
        <f>"00853156"</f>
        <v>00853156</v>
      </c>
    </row>
    <row r="17846" spans="1:2" x14ac:dyDescent="0.25">
      <c r="A17846" s="2">
        <v>17841</v>
      </c>
      <c r="B17846" s="3" t="str">
        <f>"00853343"</f>
        <v>00853343</v>
      </c>
    </row>
    <row r="17847" spans="1:2" x14ac:dyDescent="0.25">
      <c r="A17847" s="2">
        <v>17842</v>
      </c>
      <c r="B17847" s="3" t="str">
        <f>"00853358"</f>
        <v>00853358</v>
      </c>
    </row>
    <row r="17848" spans="1:2" x14ac:dyDescent="0.25">
      <c r="A17848" s="2">
        <v>17843</v>
      </c>
      <c r="B17848" s="3" t="str">
        <f>"00853392"</f>
        <v>00853392</v>
      </c>
    </row>
    <row r="17849" spans="1:2" x14ac:dyDescent="0.25">
      <c r="A17849" s="2">
        <v>17844</v>
      </c>
      <c r="B17849" s="3" t="str">
        <f>"00853421"</f>
        <v>00853421</v>
      </c>
    </row>
    <row r="17850" spans="1:2" x14ac:dyDescent="0.25">
      <c r="A17850" s="2">
        <v>17845</v>
      </c>
      <c r="B17850" s="3" t="str">
        <f>"00853427"</f>
        <v>00853427</v>
      </c>
    </row>
    <row r="17851" spans="1:2" x14ac:dyDescent="0.25">
      <c r="A17851" s="2">
        <v>17846</v>
      </c>
      <c r="B17851" s="3" t="str">
        <f>"00853500"</f>
        <v>00853500</v>
      </c>
    </row>
    <row r="17852" spans="1:2" x14ac:dyDescent="0.25">
      <c r="A17852" s="2">
        <v>17847</v>
      </c>
      <c r="B17852" s="3" t="str">
        <f>"00853570"</f>
        <v>00853570</v>
      </c>
    </row>
    <row r="17853" spans="1:2" x14ac:dyDescent="0.25">
      <c r="A17853" s="2">
        <v>17848</v>
      </c>
      <c r="B17853" s="3" t="str">
        <f>"00853605"</f>
        <v>00853605</v>
      </c>
    </row>
    <row r="17854" spans="1:2" x14ac:dyDescent="0.25">
      <c r="A17854" s="2">
        <v>17849</v>
      </c>
      <c r="B17854" s="3" t="str">
        <f>"00853634"</f>
        <v>00853634</v>
      </c>
    </row>
    <row r="17855" spans="1:2" x14ac:dyDescent="0.25">
      <c r="A17855" s="2">
        <v>17850</v>
      </c>
      <c r="B17855" s="3" t="str">
        <f>"00853677"</f>
        <v>00853677</v>
      </c>
    </row>
    <row r="17856" spans="1:2" x14ac:dyDescent="0.25">
      <c r="A17856" s="2">
        <v>17851</v>
      </c>
      <c r="B17856" s="3" t="str">
        <f>"00853855"</f>
        <v>00853855</v>
      </c>
    </row>
    <row r="17857" spans="1:2" x14ac:dyDescent="0.25">
      <c r="A17857" s="2">
        <v>17852</v>
      </c>
      <c r="B17857" s="3" t="str">
        <f>"00853895"</f>
        <v>00853895</v>
      </c>
    </row>
    <row r="17858" spans="1:2" x14ac:dyDescent="0.25">
      <c r="A17858" s="2">
        <v>17853</v>
      </c>
      <c r="B17858" s="3" t="str">
        <f>"00854208"</f>
        <v>00854208</v>
      </c>
    </row>
    <row r="17859" spans="1:2" x14ac:dyDescent="0.25">
      <c r="A17859" s="2">
        <v>17854</v>
      </c>
      <c r="B17859" s="3" t="str">
        <f>"00854342"</f>
        <v>00854342</v>
      </c>
    </row>
    <row r="17860" spans="1:2" x14ac:dyDescent="0.25">
      <c r="A17860" s="2">
        <v>17855</v>
      </c>
      <c r="B17860" s="3" t="str">
        <f>"00854349"</f>
        <v>00854349</v>
      </c>
    </row>
    <row r="17861" spans="1:2" x14ac:dyDescent="0.25">
      <c r="A17861" s="2">
        <v>17856</v>
      </c>
      <c r="B17861" s="3" t="str">
        <f>"00854384"</f>
        <v>00854384</v>
      </c>
    </row>
    <row r="17862" spans="1:2" x14ac:dyDescent="0.25">
      <c r="A17862" s="2">
        <v>17857</v>
      </c>
      <c r="B17862" s="3" t="str">
        <f>"00854474"</f>
        <v>00854474</v>
      </c>
    </row>
    <row r="17863" spans="1:2" x14ac:dyDescent="0.25">
      <c r="A17863" s="2">
        <v>17858</v>
      </c>
      <c r="B17863" s="3" t="str">
        <f>"00854551"</f>
        <v>00854551</v>
      </c>
    </row>
    <row r="17864" spans="1:2" x14ac:dyDescent="0.25">
      <c r="A17864" s="2">
        <v>17859</v>
      </c>
      <c r="B17864" s="3" t="str">
        <f>"00854649"</f>
        <v>00854649</v>
      </c>
    </row>
    <row r="17865" spans="1:2" x14ac:dyDescent="0.25">
      <c r="A17865" s="2">
        <v>17860</v>
      </c>
      <c r="B17865" s="3" t="str">
        <f>"00854825"</f>
        <v>00854825</v>
      </c>
    </row>
    <row r="17866" spans="1:2" x14ac:dyDescent="0.25">
      <c r="A17866" s="2">
        <v>17861</v>
      </c>
      <c r="B17866" s="3" t="str">
        <f>"00854839"</f>
        <v>00854839</v>
      </c>
    </row>
    <row r="17867" spans="1:2" x14ac:dyDescent="0.25">
      <c r="A17867" s="2">
        <v>17862</v>
      </c>
      <c r="B17867" s="3" t="str">
        <f>"00855004"</f>
        <v>00855004</v>
      </c>
    </row>
    <row r="17868" spans="1:2" x14ac:dyDescent="0.25">
      <c r="A17868" s="2">
        <v>17863</v>
      </c>
      <c r="B17868" s="3" t="str">
        <f>"00855017"</f>
        <v>00855017</v>
      </c>
    </row>
    <row r="17869" spans="1:2" x14ac:dyDescent="0.25">
      <c r="A17869" s="2">
        <v>17864</v>
      </c>
      <c r="B17869" s="3" t="str">
        <f>"00855101"</f>
        <v>00855101</v>
      </c>
    </row>
    <row r="17870" spans="1:2" x14ac:dyDescent="0.25">
      <c r="A17870" s="2">
        <v>17865</v>
      </c>
      <c r="B17870" s="3" t="str">
        <f>"00855153"</f>
        <v>00855153</v>
      </c>
    </row>
    <row r="17871" spans="1:2" x14ac:dyDescent="0.25">
      <c r="A17871" s="2">
        <v>17866</v>
      </c>
      <c r="B17871" s="3" t="str">
        <f>"00855477"</f>
        <v>00855477</v>
      </c>
    </row>
    <row r="17872" spans="1:2" x14ac:dyDescent="0.25">
      <c r="A17872" s="2">
        <v>17867</v>
      </c>
      <c r="B17872" s="3" t="str">
        <f>"00855627"</f>
        <v>00855627</v>
      </c>
    </row>
    <row r="17873" spans="1:2" x14ac:dyDescent="0.25">
      <c r="A17873" s="2">
        <v>17868</v>
      </c>
      <c r="B17873" s="3" t="str">
        <f>"00855701"</f>
        <v>00855701</v>
      </c>
    </row>
    <row r="17874" spans="1:2" x14ac:dyDescent="0.25">
      <c r="A17874" s="2">
        <v>17869</v>
      </c>
      <c r="B17874" s="3" t="str">
        <f>"00855816"</f>
        <v>00855816</v>
      </c>
    </row>
    <row r="17875" spans="1:2" x14ac:dyDescent="0.25">
      <c r="A17875" s="2">
        <v>17870</v>
      </c>
      <c r="B17875" s="3" t="str">
        <f>"00855831"</f>
        <v>00855831</v>
      </c>
    </row>
    <row r="17876" spans="1:2" x14ac:dyDescent="0.25">
      <c r="A17876" s="2">
        <v>17871</v>
      </c>
      <c r="B17876" s="3" t="str">
        <f>"00855857"</f>
        <v>00855857</v>
      </c>
    </row>
    <row r="17877" spans="1:2" x14ac:dyDescent="0.25">
      <c r="A17877" s="2">
        <v>17872</v>
      </c>
      <c r="B17877" s="3" t="str">
        <f>"00855865"</f>
        <v>00855865</v>
      </c>
    </row>
    <row r="17878" spans="1:2" x14ac:dyDescent="0.25">
      <c r="A17878" s="2">
        <v>17873</v>
      </c>
      <c r="B17878" s="3" t="str">
        <f>"00855894"</f>
        <v>00855894</v>
      </c>
    </row>
    <row r="17879" spans="1:2" x14ac:dyDescent="0.25">
      <c r="A17879" s="2">
        <v>17874</v>
      </c>
      <c r="B17879" s="3" t="str">
        <f>"00856231"</f>
        <v>00856231</v>
      </c>
    </row>
    <row r="17880" spans="1:2" x14ac:dyDescent="0.25">
      <c r="A17880" s="2">
        <v>17875</v>
      </c>
      <c r="B17880" s="3" t="str">
        <f>"00856268"</f>
        <v>00856268</v>
      </c>
    </row>
    <row r="17881" spans="1:2" x14ac:dyDescent="0.25">
      <c r="A17881" s="2">
        <v>17876</v>
      </c>
      <c r="B17881" s="3" t="str">
        <f>"00856505"</f>
        <v>00856505</v>
      </c>
    </row>
    <row r="17882" spans="1:2" x14ac:dyDescent="0.25">
      <c r="A17882" s="2">
        <v>17877</v>
      </c>
      <c r="B17882" s="3" t="str">
        <f>"00856552"</f>
        <v>00856552</v>
      </c>
    </row>
    <row r="17883" spans="1:2" x14ac:dyDescent="0.25">
      <c r="A17883" s="2">
        <v>17878</v>
      </c>
      <c r="B17883" s="3" t="str">
        <f>"00856627"</f>
        <v>00856627</v>
      </c>
    </row>
    <row r="17884" spans="1:2" x14ac:dyDescent="0.25">
      <c r="A17884" s="2">
        <v>17879</v>
      </c>
      <c r="B17884" s="3" t="str">
        <f>"00856825"</f>
        <v>00856825</v>
      </c>
    </row>
    <row r="17885" spans="1:2" x14ac:dyDescent="0.25">
      <c r="A17885" s="2">
        <v>17880</v>
      </c>
      <c r="B17885" s="3" t="str">
        <f>"00856946"</f>
        <v>00856946</v>
      </c>
    </row>
    <row r="17886" spans="1:2" x14ac:dyDescent="0.25">
      <c r="A17886" s="2">
        <v>17881</v>
      </c>
      <c r="B17886" s="3" t="str">
        <f>"00856961"</f>
        <v>00856961</v>
      </c>
    </row>
    <row r="17887" spans="1:2" x14ac:dyDescent="0.25">
      <c r="A17887" s="2">
        <v>17882</v>
      </c>
      <c r="B17887" s="3" t="str">
        <f>"00857012"</f>
        <v>00857012</v>
      </c>
    </row>
    <row r="17888" spans="1:2" x14ac:dyDescent="0.25">
      <c r="A17888" s="2">
        <v>17883</v>
      </c>
      <c r="B17888" s="3" t="str">
        <f>"00857021"</f>
        <v>00857021</v>
      </c>
    </row>
    <row r="17889" spans="1:2" x14ac:dyDescent="0.25">
      <c r="A17889" s="2">
        <v>17884</v>
      </c>
      <c r="B17889" s="3" t="str">
        <f>"00857188"</f>
        <v>00857188</v>
      </c>
    </row>
    <row r="17890" spans="1:2" x14ac:dyDescent="0.25">
      <c r="A17890" s="2">
        <v>17885</v>
      </c>
      <c r="B17890" s="3" t="str">
        <f>"00857232"</f>
        <v>00857232</v>
      </c>
    </row>
    <row r="17891" spans="1:2" x14ac:dyDescent="0.25">
      <c r="A17891" s="2">
        <v>17886</v>
      </c>
      <c r="B17891" s="3" t="str">
        <f>"00857242"</f>
        <v>00857242</v>
      </c>
    </row>
    <row r="17892" spans="1:2" x14ac:dyDescent="0.25">
      <c r="A17892" s="2">
        <v>17887</v>
      </c>
      <c r="B17892" s="3" t="str">
        <f>"00857571"</f>
        <v>00857571</v>
      </c>
    </row>
    <row r="17893" spans="1:2" x14ac:dyDescent="0.25">
      <c r="A17893" s="2">
        <v>17888</v>
      </c>
      <c r="B17893" s="3" t="str">
        <f>"00857584"</f>
        <v>00857584</v>
      </c>
    </row>
    <row r="17894" spans="1:2" x14ac:dyDescent="0.25">
      <c r="A17894" s="2">
        <v>17889</v>
      </c>
      <c r="B17894" s="3" t="str">
        <f>"00857627"</f>
        <v>00857627</v>
      </c>
    </row>
    <row r="17895" spans="1:2" x14ac:dyDescent="0.25">
      <c r="A17895" s="2">
        <v>17890</v>
      </c>
      <c r="B17895" s="3" t="str">
        <f>"00857786"</f>
        <v>00857786</v>
      </c>
    </row>
    <row r="17896" spans="1:2" x14ac:dyDescent="0.25">
      <c r="A17896" s="2">
        <v>17891</v>
      </c>
      <c r="B17896" s="3" t="str">
        <f>"00857996"</f>
        <v>00857996</v>
      </c>
    </row>
    <row r="17897" spans="1:2" x14ac:dyDescent="0.25">
      <c r="A17897" s="2">
        <v>17892</v>
      </c>
      <c r="B17897" s="3" t="str">
        <f>"00858132"</f>
        <v>00858132</v>
      </c>
    </row>
    <row r="17898" spans="1:2" x14ac:dyDescent="0.25">
      <c r="A17898" s="2">
        <v>17893</v>
      </c>
      <c r="B17898" s="3" t="str">
        <f>"00858135"</f>
        <v>00858135</v>
      </c>
    </row>
    <row r="17899" spans="1:2" x14ac:dyDescent="0.25">
      <c r="A17899" s="2">
        <v>17894</v>
      </c>
      <c r="B17899" s="3" t="str">
        <f>"00858174"</f>
        <v>00858174</v>
      </c>
    </row>
    <row r="17900" spans="1:2" x14ac:dyDescent="0.25">
      <c r="A17900" s="2">
        <v>17895</v>
      </c>
      <c r="B17900" s="3" t="str">
        <f>"00858280"</f>
        <v>00858280</v>
      </c>
    </row>
    <row r="17901" spans="1:2" x14ac:dyDescent="0.25">
      <c r="A17901" s="2">
        <v>17896</v>
      </c>
      <c r="B17901" s="3" t="str">
        <f>"00858451"</f>
        <v>00858451</v>
      </c>
    </row>
    <row r="17902" spans="1:2" x14ac:dyDescent="0.25">
      <c r="A17902" s="2">
        <v>17897</v>
      </c>
      <c r="B17902" s="3" t="str">
        <f>"00858521"</f>
        <v>00858521</v>
      </c>
    </row>
    <row r="17903" spans="1:2" x14ac:dyDescent="0.25">
      <c r="A17903" s="2">
        <v>17898</v>
      </c>
      <c r="B17903" s="3" t="str">
        <f>"00858559"</f>
        <v>00858559</v>
      </c>
    </row>
    <row r="17904" spans="1:2" x14ac:dyDescent="0.25">
      <c r="A17904" s="2">
        <v>17899</v>
      </c>
      <c r="B17904" s="3" t="str">
        <f>"00858828"</f>
        <v>00858828</v>
      </c>
    </row>
    <row r="17905" spans="1:2" x14ac:dyDescent="0.25">
      <c r="A17905" s="2">
        <v>17900</v>
      </c>
      <c r="B17905" s="3" t="str">
        <f>"00858854"</f>
        <v>00858854</v>
      </c>
    </row>
    <row r="17906" spans="1:2" x14ac:dyDescent="0.25">
      <c r="A17906" s="2">
        <v>17901</v>
      </c>
      <c r="B17906" s="3" t="str">
        <f>"00858861"</f>
        <v>00858861</v>
      </c>
    </row>
    <row r="17907" spans="1:2" x14ac:dyDescent="0.25">
      <c r="A17907" s="2">
        <v>17902</v>
      </c>
      <c r="B17907" s="3" t="str">
        <f>"00858921"</f>
        <v>00858921</v>
      </c>
    </row>
    <row r="17908" spans="1:2" x14ac:dyDescent="0.25">
      <c r="A17908" s="2">
        <v>17903</v>
      </c>
      <c r="B17908" s="3" t="str">
        <f>"00858957"</f>
        <v>00858957</v>
      </c>
    </row>
    <row r="17909" spans="1:2" x14ac:dyDescent="0.25">
      <c r="A17909" s="2">
        <v>17904</v>
      </c>
      <c r="B17909" s="3" t="str">
        <f>"00859092"</f>
        <v>00859092</v>
      </c>
    </row>
    <row r="17910" spans="1:2" x14ac:dyDescent="0.25">
      <c r="A17910" s="2">
        <v>17905</v>
      </c>
      <c r="B17910" s="3" t="str">
        <f>"00859315"</f>
        <v>00859315</v>
      </c>
    </row>
    <row r="17911" spans="1:2" x14ac:dyDescent="0.25">
      <c r="A17911" s="2">
        <v>17906</v>
      </c>
      <c r="B17911" s="3" t="str">
        <f>"00859416"</f>
        <v>00859416</v>
      </c>
    </row>
    <row r="17912" spans="1:2" x14ac:dyDescent="0.25">
      <c r="A17912" s="2">
        <v>17907</v>
      </c>
      <c r="B17912" s="3" t="str">
        <f>"00859466"</f>
        <v>00859466</v>
      </c>
    </row>
    <row r="17913" spans="1:2" x14ac:dyDescent="0.25">
      <c r="A17913" s="2">
        <v>17908</v>
      </c>
      <c r="B17913" s="3" t="str">
        <f>"00859614"</f>
        <v>00859614</v>
      </c>
    </row>
    <row r="17914" spans="1:2" x14ac:dyDescent="0.25">
      <c r="A17914" s="2">
        <v>17909</v>
      </c>
      <c r="B17914" s="3" t="str">
        <f>"00859645"</f>
        <v>00859645</v>
      </c>
    </row>
    <row r="17915" spans="1:2" x14ac:dyDescent="0.25">
      <c r="A17915" s="2">
        <v>17910</v>
      </c>
      <c r="B17915" s="3" t="str">
        <f>"00859676"</f>
        <v>00859676</v>
      </c>
    </row>
    <row r="17916" spans="1:2" x14ac:dyDescent="0.25">
      <c r="A17916" s="2">
        <v>17911</v>
      </c>
      <c r="B17916" s="3" t="str">
        <f>"00859864"</f>
        <v>00859864</v>
      </c>
    </row>
    <row r="17917" spans="1:2" x14ac:dyDescent="0.25">
      <c r="A17917" s="2">
        <v>17912</v>
      </c>
      <c r="B17917" s="3" t="str">
        <f>"00860088"</f>
        <v>00860088</v>
      </c>
    </row>
    <row r="17918" spans="1:2" x14ac:dyDescent="0.25">
      <c r="A17918" s="2">
        <v>17913</v>
      </c>
      <c r="B17918" s="3" t="str">
        <f>"00860095"</f>
        <v>00860095</v>
      </c>
    </row>
    <row r="17919" spans="1:2" x14ac:dyDescent="0.25">
      <c r="A17919" s="2">
        <v>17914</v>
      </c>
      <c r="B17919" s="3" t="str">
        <f>"00860137"</f>
        <v>00860137</v>
      </c>
    </row>
    <row r="17920" spans="1:2" x14ac:dyDescent="0.25">
      <c r="A17920" s="2">
        <v>17915</v>
      </c>
      <c r="B17920" s="3" t="str">
        <f>"00860236"</f>
        <v>00860236</v>
      </c>
    </row>
    <row r="17921" spans="1:2" x14ac:dyDescent="0.25">
      <c r="A17921" s="2">
        <v>17916</v>
      </c>
      <c r="B17921" s="3" t="str">
        <f>"00860271"</f>
        <v>00860271</v>
      </c>
    </row>
    <row r="17922" spans="1:2" x14ac:dyDescent="0.25">
      <c r="A17922" s="2">
        <v>17917</v>
      </c>
      <c r="B17922" s="3" t="str">
        <f>"00860409"</f>
        <v>00860409</v>
      </c>
    </row>
    <row r="17923" spans="1:2" x14ac:dyDescent="0.25">
      <c r="A17923" s="2">
        <v>17918</v>
      </c>
      <c r="B17923" s="3" t="str">
        <f>"00860500"</f>
        <v>00860500</v>
      </c>
    </row>
    <row r="17924" spans="1:2" x14ac:dyDescent="0.25">
      <c r="A17924" s="2">
        <v>17919</v>
      </c>
      <c r="B17924" s="3" t="str">
        <f>"00860575"</f>
        <v>00860575</v>
      </c>
    </row>
    <row r="17925" spans="1:2" x14ac:dyDescent="0.25">
      <c r="A17925" s="2">
        <v>17920</v>
      </c>
      <c r="B17925" s="3" t="str">
        <f>"00860589"</f>
        <v>00860589</v>
      </c>
    </row>
    <row r="17926" spans="1:2" x14ac:dyDescent="0.25">
      <c r="A17926" s="2">
        <v>17921</v>
      </c>
      <c r="B17926" s="3" t="str">
        <f>"00860624"</f>
        <v>00860624</v>
      </c>
    </row>
    <row r="17927" spans="1:2" x14ac:dyDescent="0.25">
      <c r="A17927" s="2">
        <v>17922</v>
      </c>
      <c r="B17927" s="3" t="str">
        <f>"00860669"</f>
        <v>00860669</v>
      </c>
    </row>
    <row r="17928" spans="1:2" x14ac:dyDescent="0.25">
      <c r="A17928" s="2">
        <v>17923</v>
      </c>
      <c r="B17928" s="3" t="str">
        <f>"00860998"</f>
        <v>00860998</v>
      </c>
    </row>
    <row r="17929" spans="1:2" x14ac:dyDescent="0.25">
      <c r="A17929" s="2">
        <v>17924</v>
      </c>
      <c r="B17929" s="3" t="str">
        <f>"00861212"</f>
        <v>00861212</v>
      </c>
    </row>
    <row r="17930" spans="1:2" x14ac:dyDescent="0.25">
      <c r="A17930" s="2">
        <v>17925</v>
      </c>
      <c r="B17930" s="3" t="str">
        <f>"00861451"</f>
        <v>00861451</v>
      </c>
    </row>
    <row r="17931" spans="1:2" x14ac:dyDescent="0.25">
      <c r="A17931" s="2">
        <v>17926</v>
      </c>
      <c r="B17931" s="3" t="str">
        <f>"00861605"</f>
        <v>00861605</v>
      </c>
    </row>
    <row r="17932" spans="1:2" x14ac:dyDescent="0.25">
      <c r="A17932" s="2">
        <v>17927</v>
      </c>
      <c r="B17932" s="3" t="str">
        <f>"00862022"</f>
        <v>00862022</v>
      </c>
    </row>
    <row r="17933" spans="1:2" x14ac:dyDescent="0.25">
      <c r="A17933" s="2">
        <v>17928</v>
      </c>
      <c r="B17933" s="3" t="str">
        <f>"00862095"</f>
        <v>00862095</v>
      </c>
    </row>
    <row r="17934" spans="1:2" x14ac:dyDescent="0.25">
      <c r="A17934" s="2">
        <v>17929</v>
      </c>
      <c r="B17934" s="3" t="str">
        <f>"00862224"</f>
        <v>00862224</v>
      </c>
    </row>
    <row r="17935" spans="1:2" x14ac:dyDescent="0.25">
      <c r="A17935" s="2">
        <v>17930</v>
      </c>
      <c r="B17935" s="3" t="str">
        <f>"00862343"</f>
        <v>00862343</v>
      </c>
    </row>
    <row r="17936" spans="1:2" x14ac:dyDescent="0.25">
      <c r="A17936" s="2">
        <v>17931</v>
      </c>
      <c r="B17936" s="3" t="str">
        <f>"00862672"</f>
        <v>00862672</v>
      </c>
    </row>
    <row r="17937" spans="1:2" x14ac:dyDescent="0.25">
      <c r="A17937" s="2">
        <v>17932</v>
      </c>
      <c r="B17937" s="3" t="str">
        <f>"00862730"</f>
        <v>00862730</v>
      </c>
    </row>
    <row r="17938" spans="1:2" x14ac:dyDescent="0.25">
      <c r="A17938" s="2">
        <v>17933</v>
      </c>
      <c r="B17938" s="3" t="str">
        <f>"00863080"</f>
        <v>00863080</v>
      </c>
    </row>
    <row r="17939" spans="1:2" x14ac:dyDescent="0.25">
      <c r="A17939" s="2">
        <v>17934</v>
      </c>
      <c r="B17939" s="3" t="str">
        <f>"00863141"</f>
        <v>00863141</v>
      </c>
    </row>
    <row r="17940" spans="1:2" x14ac:dyDescent="0.25">
      <c r="A17940" s="2">
        <v>17935</v>
      </c>
      <c r="B17940" s="3" t="str">
        <f>"00863174"</f>
        <v>00863174</v>
      </c>
    </row>
    <row r="17941" spans="1:2" x14ac:dyDescent="0.25">
      <c r="A17941" s="2">
        <v>17936</v>
      </c>
      <c r="B17941" s="3" t="str">
        <f>"00863184"</f>
        <v>00863184</v>
      </c>
    </row>
    <row r="17942" spans="1:2" x14ac:dyDescent="0.25">
      <c r="A17942" s="2">
        <v>17937</v>
      </c>
      <c r="B17942" s="3" t="str">
        <f>"00863236"</f>
        <v>00863236</v>
      </c>
    </row>
    <row r="17943" spans="1:2" x14ac:dyDescent="0.25">
      <c r="A17943" s="2">
        <v>17938</v>
      </c>
      <c r="B17943" s="3" t="str">
        <f>"00863390"</f>
        <v>00863390</v>
      </c>
    </row>
    <row r="17944" spans="1:2" x14ac:dyDescent="0.25">
      <c r="A17944" s="2">
        <v>17939</v>
      </c>
      <c r="B17944" s="3" t="str">
        <f>"00863480"</f>
        <v>00863480</v>
      </c>
    </row>
    <row r="17945" spans="1:2" x14ac:dyDescent="0.25">
      <c r="A17945" s="2">
        <v>17940</v>
      </c>
      <c r="B17945" s="3" t="str">
        <f>"00863483"</f>
        <v>00863483</v>
      </c>
    </row>
    <row r="17946" spans="1:2" x14ac:dyDescent="0.25">
      <c r="A17946" s="2">
        <v>17941</v>
      </c>
      <c r="B17946" s="3" t="str">
        <f>"00863503"</f>
        <v>00863503</v>
      </c>
    </row>
    <row r="17947" spans="1:2" x14ac:dyDescent="0.25">
      <c r="A17947" s="2">
        <v>17942</v>
      </c>
      <c r="B17947" s="3" t="str">
        <f>"00863586"</f>
        <v>00863586</v>
      </c>
    </row>
    <row r="17948" spans="1:2" x14ac:dyDescent="0.25">
      <c r="A17948" s="2">
        <v>17943</v>
      </c>
      <c r="B17948" s="3" t="str">
        <f>"00863838"</f>
        <v>00863838</v>
      </c>
    </row>
    <row r="17949" spans="1:2" x14ac:dyDescent="0.25">
      <c r="A17949" s="2">
        <v>17944</v>
      </c>
      <c r="B17949" s="3" t="str">
        <f>"00863855"</f>
        <v>00863855</v>
      </c>
    </row>
    <row r="17950" spans="1:2" x14ac:dyDescent="0.25">
      <c r="A17950" s="2">
        <v>17945</v>
      </c>
      <c r="B17950" s="3" t="str">
        <f>"00864104"</f>
        <v>00864104</v>
      </c>
    </row>
    <row r="17951" spans="1:2" x14ac:dyDescent="0.25">
      <c r="A17951" s="2">
        <v>17946</v>
      </c>
      <c r="B17951" s="3" t="str">
        <f>"00864134"</f>
        <v>00864134</v>
      </c>
    </row>
    <row r="17952" spans="1:2" x14ac:dyDescent="0.25">
      <c r="A17952" s="2">
        <v>17947</v>
      </c>
      <c r="B17952" s="3" t="str">
        <f>"00864287"</f>
        <v>00864287</v>
      </c>
    </row>
    <row r="17953" spans="1:2" x14ac:dyDescent="0.25">
      <c r="A17953" s="2">
        <v>17948</v>
      </c>
      <c r="B17953" s="3" t="str">
        <f>"00864301"</f>
        <v>00864301</v>
      </c>
    </row>
    <row r="17954" spans="1:2" x14ac:dyDescent="0.25">
      <c r="A17954" s="2">
        <v>17949</v>
      </c>
      <c r="B17954" s="3" t="str">
        <f>"00864478"</f>
        <v>00864478</v>
      </c>
    </row>
    <row r="17955" spans="1:2" x14ac:dyDescent="0.25">
      <c r="A17955" s="2">
        <v>17950</v>
      </c>
      <c r="B17955" s="3" t="str">
        <f>"00864602"</f>
        <v>00864602</v>
      </c>
    </row>
    <row r="17956" spans="1:2" x14ac:dyDescent="0.25">
      <c r="A17956" s="2">
        <v>17951</v>
      </c>
      <c r="B17956" s="3" t="str">
        <f>"00864909"</f>
        <v>00864909</v>
      </c>
    </row>
    <row r="17957" spans="1:2" x14ac:dyDescent="0.25">
      <c r="A17957" s="2">
        <v>17952</v>
      </c>
      <c r="B17957" s="3" t="str">
        <f>"00864986"</f>
        <v>00864986</v>
      </c>
    </row>
    <row r="17958" spans="1:2" x14ac:dyDescent="0.25">
      <c r="A17958" s="2">
        <v>17953</v>
      </c>
      <c r="B17958" s="3" t="str">
        <f>"00864987"</f>
        <v>00864987</v>
      </c>
    </row>
    <row r="17959" spans="1:2" x14ac:dyDescent="0.25">
      <c r="A17959" s="2">
        <v>17954</v>
      </c>
      <c r="B17959" s="3" t="str">
        <f>"00865041"</f>
        <v>00865041</v>
      </c>
    </row>
    <row r="17960" spans="1:2" x14ac:dyDescent="0.25">
      <c r="A17960" s="2">
        <v>17955</v>
      </c>
      <c r="B17960" s="3" t="str">
        <f>"00865128"</f>
        <v>00865128</v>
      </c>
    </row>
    <row r="17961" spans="1:2" x14ac:dyDescent="0.25">
      <c r="A17961" s="2">
        <v>17956</v>
      </c>
      <c r="B17961" s="3" t="str">
        <f>"00865214"</f>
        <v>00865214</v>
      </c>
    </row>
    <row r="17962" spans="1:2" x14ac:dyDescent="0.25">
      <c r="A17962" s="2">
        <v>17957</v>
      </c>
      <c r="B17962" s="3" t="str">
        <f>"00865281"</f>
        <v>00865281</v>
      </c>
    </row>
    <row r="17963" spans="1:2" x14ac:dyDescent="0.25">
      <c r="A17963" s="2">
        <v>17958</v>
      </c>
      <c r="B17963" s="3" t="str">
        <f>"00865389"</f>
        <v>00865389</v>
      </c>
    </row>
    <row r="17964" spans="1:2" x14ac:dyDescent="0.25">
      <c r="A17964" s="2">
        <v>17959</v>
      </c>
      <c r="B17964" s="3" t="str">
        <f>"00865545"</f>
        <v>00865545</v>
      </c>
    </row>
    <row r="17965" spans="1:2" x14ac:dyDescent="0.25">
      <c r="A17965" s="2">
        <v>17960</v>
      </c>
      <c r="B17965" s="3" t="str">
        <f>"00865631"</f>
        <v>00865631</v>
      </c>
    </row>
    <row r="17966" spans="1:2" x14ac:dyDescent="0.25">
      <c r="A17966" s="2">
        <v>17961</v>
      </c>
      <c r="B17966" s="3" t="str">
        <f>"00865650"</f>
        <v>00865650</v>
      </c>
    </row>
    <row r="17967" spans="1:2" x14ac:dyDescent="0.25">
      <c r="A17967" s="2">
        <v>17962</v>
      </c>
      <c r="B17967" s="3" t="str">
        <f>"00865651"</f>
        <v>00865651</v>
      </c>
    </row>
    <row r="17968" spans="1:2" x14ac:dyDescent="0.25">
      <c r="A17968" s="2">
        <v>17963</v>
      </c>
      <c r="B17968" s="3" t="str">
        <f>"00865664"</f>
        <v>00865664</v>
      </c>
    </row>
    <row r="17969" spans="1:2" x14ac:dyDescent="0.25">
      <c r="A17969" s="2">
        <v>17964</v>
      </c>
      <c r="B17969" s="3" t="str">
        <f>"00865815"</f>
        <v>00865815</v>
      </c>
    </row>
    <row r="17970" spans="1:2" x14ac:dyDescent="0.25">
      <c r="A17970" s="2">
        <v>17965</v>
      </c>
      <c r="B17970" s="3" t="str">
        <f>"00865923"</f>
        <v>00865923</v>
      </c>
    </row>
    <row r="17971" spans="1:2" x14ac:dyDescent="0.25">
      <c r="A17971" s="2">
        <v>17966</v>
      </c>
      <c r="B17971" s="3" t="str">
        <f>"00866243"</f>
        <v>00866243</v>
      </c>
    </row>
    <row r="17972" spans="1:2" x14ac:dyDescent="0.25">
      <c r="A17972" s="2">
        <v>17967</v>
      </c>
      <c r="B17972" s="3" t="str">
        <f>"00866267"</f>
        <v>00866267</v>
      </c>
    </row>
    <row r="17973" spans="1:2" x14ac:dyDescent="0.25">
      <c r="A17973" s="2">
        <v>17968</v>
      </c>
      <c r="B17973" s="3" t="str">
        <f>"00866511"</f>
        <v>00866511</v>
      </c>
    </row>
    <row r="17974" spans="1:2" x14ac:dyDescent="0.25">
      <c r="A17974" s="2">
        <v>17969</v>
      </c>
      <c r="B17974" s="3" t="str">
        <f>"00866676"</f>
        <v>00866676</v>
      </c>
    </row>
    <row r="17975" spans="1:2" x14ac:dyDescent="0.25">
      <c r="A17975" s="2">
        <v>17970</v>
      </c>
      <c r="B17975" s="3" t="str">
        <f>"00866804"</f>
        <v>00866804</v>
      </c>
    </row>
    <row r="17976" spans="1:2" x14ac:dyDescent="0.25">
      <c r="A17976" s="2">
        <v>17971</v>
      </c>
      <c r="B17976" s="3" t="str">
        <f>"00866908"</f>
        <v>00866908</v>
      </c>
    </row>
    <row r="17977" spans="1:2" x14ac:dyDescent="0.25">
      <c r="A17977" s="2">
        <v>17972</v>
      </c>
      <c r="B17977" s="3" t="str">
        <f>"00866939"</f>
        <v>00866939</v>
      </c>
    </row>
    <row r="17978" spans="1:2" x14ac:dyDescent="0.25">
      <c r="A17978" s="2">
        <v>17973</v>
      </c>
      <c r="B17978" s="3" t="str">
        <f>"00867043"</f>
        <v>00867043</v>
      </c>
    </row>
    <row r="17979" spans="1:2" x14ac:dyDescent="0.25">
      <c r="A17979" s="2">
        <v>17974</v>
      </c>
      <c r="B17979" s="3" t="str">
        <f>"00867045"</f>
        <v>00867045</v>
      </c>
    </row>
    <row r="17980" spans="1:2" x14ac:dyDescent="0.25">
      <c r="A17980" s="2">
        <v>17975</v>
      </c>
      <c r="B17980" s="3" t="str">
        <f>"00867050"</f>
        <v>00867050</v>
      </c>
    </row>
    <row r="17981" spans="1:2" x14ac:dyDescent="0.25">
      <c r="A17981" s="2">
        <v>17976</v>
      </c>
      <c r="B17981" s="3" t="str">
        <f>"00867269"</f>
        <v>00867269</v>
      </c>
    </row>
    <row r="17982" spans="1:2" x14ac:dyDescent="0.25">
      <c r="A17982" s="2">
        <v>17977</v>
      </c>
      <c r="B17982" s="3" t="str">
        <f>"00867280"</f>
        <v>00867280</v>
      </c>
    </row>
    <row r="17983" spans="1:2" x14ac:dyDescent="0.25">
      <c r="A17983" s="2">
        <v>17978</v>
      </c>
      <c r="B17983" s="3" t="str">
        <f>"00867365"</f>
        <v>00867365</v>
      </c>
    </row>
    <row r="17984" spans="1:2" x14ac:dyDescent="0.25">
      <c r="A17984" s="2">
        <v>17979</v>
      </c>
      <c r="B17984" s="3" t="str">
        <f>"00867471"</f>
        <v>00867471</v>
      </c>
    </row>
    <row r="17985" spans="1:2" x14ac:dyDescent="0.25">
      <c r="A17985" s="2">
        <v>17980</v>
      </c>
      <c r="B17985" s="3" t="str">
        <f>"00867530"</f>
        <v>00867530</v>
      </c>
    </row>
    <row r="17986" spans="1:2" x14ac:dyDescent="0.25">
      <c r="A17986" s="2">
        <v>17981</v>
      </c>
      <c r="B17986" s="3" t="str">
        <f>"00867618"</f>
        <v>00867618</v>
      </c>
    </row>
    <row r="17987" spans="1:2" x14ac:dyDescent="0.25">
      <c r="A17987" s="2">
        <v>17982</v>
      </c>
      <c r="B17987" s="3" t="str">
        <f>"00867642"</f>
        <v>00867642</v>
      </c>
    </row>
    <row r="17988" spans="1:2" x14ac:dyDescent="0.25">
      <c r="A17988" s="2">
        <v>17983</v>
      </c>
      <c r="B17988" s="3" t="str">
        <f>"00867667"</f>
        <v>00867667</v>
      </c>
    </row>
    <row r="17989" spans="1:2" x14ac:dyDescent="0.25">
      <c r="A17989" s="2">
        <v>17984</v>
      </c>
      <c r="B17989" s="3" t="str">
        <f>"00867820"</f>
        <v>00867820</v>
      </c>
    </row>
    <row r="17990" spans="1:2" x14ac:dyDescent="0.25">
      <c r="A17990" s="2">
        <v>17985</v>
      </c>
      <c r="B17990" s="3" t="str">
        <f>"00867826"</f>
        <v>00867826</v>
      </c>
    </row>
    <row r="17991" spans="1:2" x14ac:dyDescent="0.25">
      <c r="A17991" s="2">
        <v>17986</v>
      </c>
      <c r="B17991" s="3" t="str">
        <f>"00867886"</f>
        <v>00867886</v>
      </c>
    </row>
    <row r="17992" spans="1:2" x14ac:dyDescent="0.25">
      <c r="A17992" s="2">
        <v>17987</v>
      </c>
      <c r="B17992" s="3" t="str">
        <f>"00867959"</f>
        <v>00867959</v>
      </c>
    </row>
    <row r="17993" spans="1:2" x14ac:dyDescent="0.25">
      <c r="A17993" s="2">
        <v>17988</v>
      </c>
      <c r="B17993" s="3" t="str">
        <f>"00868003"</f>
        <v>00868003</v>
      </c>
    </row>
    <row r="17994" spans="1:2" x14ac:dyDescent="0.25">
      <c r="A17994" s="2">
        <v>17989</v>
      </c>
      <c r="B17994" s="3" t="str">
        <f>"00868030"</f>
        <v>00868030</v>
      </c>
    </row>
    <row r="17995" spans="1:2" x14ac:dyDescent="0.25">
      <c r="A17995" s="2">
        <v>17990</v>
      </c>
      <c r="B17995" s="3" t="str">
        <f>"00868068"</f>
        <v>00868068</v>
      </c>
    </row>
    <row r="17996" spans="1:2" x14ac:dyDescent="0.25">
      <c r="A17996" s="2">
        <v>17991</v>
      </c>
      <c r="B17996" s="3" t="str">
        <f>"00868124"</f>
        <v>00868124</v>
      </c>
    </row>
    <row r="17997" spans="1:2" x14ac:dyDescent="0.25">
      <c r="A17997" s="2">
        <v>17992</v>
      </c>
      <c r="B17997" s="3" t="str">
        <f>"00868170"</f>
        <v>00868170</v>
      </c>
    </row>
    <row r="17998" spans="1:2" x14ac:dyDescent="0.25">
      <c r="A17998" s="2">
        <v>17993</v>
      </c>
      <c r="B17998" s="3" t="str">
        <f>"00868240"</f>
        <v>00868240</v>
      </c>
    </row>
    <row r="17999" spans="1:2" x14ac:dyDescent="0.25">
      <c r="A17999" s="2">
        <v>17994</v>
      </c>
      <c r="B17999" s="3" t="str">
        <f>"00869062"</f>
        <v>00869062</v>
      </c>
    </row>
    <row r="18000" spans="1:2" x14ac:dyDescent="0.25">
      <c r="A18000" s="2">
        <v>17995</v>
      </c>
      <c r="B18000" s="3" t="str">
        <f>"00869064"</f>
        <v>00869064</v>
      </c>
    </row>
    <row r="18001" spans="1:2" x14ac:dyDescent="0.25">
      <c r="A18001" s="2">
        <v>17996</v>
      </c>
      <c r="B18001" s="3" t="str">
        <f>"00869102"</f>
        <v>00869102</v>
      </c>
    </row>
    <row r="18002" spans="1:2" x14ac:dyDescent="0.25">
      <c r="A18002" s="2">
        <v>17997</v>
      </c>
      <c r="B18002" s="3" t="str">
        <f>"00869179"</f>
        <v>00869179</v>
      </c>
    </row>
    <row r="18003" spans="1:2" x14ac:dyDescent="0.25">
      <c r="A18003" s="2">
        <v>17998</v>
      </c>
      <c r="B18003" s="3" t="str">
        <f>"00869225"</f>
        <v>00869225</v>
      </c>
    </row>
    <row r="18004" spans="1:2" x14ac:dyDescent="0.25">
      <c r="A18004" s="2">
        <v>17999</v>
      </c>
      <c r="B18004" s="3" t="str">
        <f>"00869244"</f>
        <v>00869244</v>
      </c>
    </row>
    <row r="18005" spans="1:2" x14ac:dyDescent="0.25">
      <c r="A18005" s="2">
        <v>18000</v>
      </c>
      <c r="B18005" s="3" t="str">
        <f>"00869255"</f>
        <v>00869255</v>
      </c>
    </row>
    <row r="18006" spans="1:2" x14ac:dyDescent="0.25">
      <c r="A18006" s="2">
        <v>18001</v>
      </c>
      <c r="B18006" s="3" t="str">
        <f>"00869307"</f>
        <v>00869307</v>
      </c>
    </row>
    <row r="18007" spans="1:2" x14ac:dyDescent="0.25">
      <c r="A18007" s="2">
        <v>18002</v>
      </c>
      <c r="B18007" s="3" t="str">
        <f>"00869321"</f>
        <v>00869321</v>
      </c>
    </row>
    <row r="18008" spans="1:2" x14ac:dyDescent="0.25">
      <c r="A18008" s="2">
        <v>18003</v>
      </c>
      <c r="B18008" s="3" t="str">
        <f>"00869350"</f>
        <v>00869350</v>
      </c>
    </row>
    <row r="18009" spans="1:2" x14ac:dyDescent="0.25">
      <c r="A18009" s="2">
        <v>18004</v>
      </c>
      <c r="B18009" s="3" t="str">
        <f>"00869432"</f>
        <v>00869432</v>
      </c>
    </row>
    <row r="18010" spans="1:2" x14ac:dyDescent="0.25">
      <c r="A18010" s="2">
        <v>18005</v>
      </c>
      <c r="B18010" s="3" t="str">
        <f>"00869482"</f>
        <v>00869482</v>
      </c>
    </row>
    <row r="18011" spans="1:2" x14ac:dyDescent="0.25">
      <c r="A18011" s="2">
        <v>18006</v>
      </c>
      <c r="B18011" s="3" t="str">
        <f>"00869490"</f>
        <v>00869490</v>
      </c>
    </row>
    <row r="18012" spans="1:2" x14ac:dyDescent="0.25">
      <c r="A18012" s="2">
        <v>18007</v>
      </c>
      <c r="B18012" s="3" t="str">
        <f>"00869509"</f>
        <v>00869509</v>
      </c>
    </row>
    <row r="18013" spans="1:2" x14ac:dyDescent="0.25">
      <c r="A18013" s="2">
        <v>18008</v>
      </c>
      <c r="B18013" s="3" t="str">
        <f>"00869550"</f>
        <v>00869550</v>
      </c>
    </row>
    <row r="18014" spans="1:2" x14ac:dyDescent="0.25">
      <c r="A18014" s="2">
        <v>18009</v>
      </c>
      <c r="B18014" s="3" t="str">
        <f>"00869609"</f>
        <v>00869609</v>
      </c>
    </row>
    <row r="18015" spans="1:2" x14ac:dyDescent="0.25">
      <c r="A18015" s="2">
        <v>18010</v>
      </c>
      <c r="B18015" s="3" t="str">
        <f>"00869614"</f>
        <v>00869614</v>
      </c>
    </row>
    <row r="18016" spans="1:2" x14ac:dyDescent="0.25">
      <c r="A18016" s="2">
        <v>18011</v>
      </c>
      <c r="B18016" s="3" t="str">
        <f>"00869684"</f>
        <v>00869684</v>
      </c>
    </row>
    <row r="18017" spans="1:2" x14ac:dyDescent="0.25">
      <c r="A18017" s="2">
        <v>18012</v>
      </c>
      <c r="B18017" s="3" t="str">
        <f>"00869699"</f>
        <v>00869699</v>
      </c>
    </row>
    <row r="18018" spans="1:2" x14ac:dyDescent="0.25">
      <c r="A18018" s="2">
        <v>18013</v>
      </c>
      <c r="B18018" s="3" t="str">
        <f>"00869734"</f>
        <v>00869734</v>
      </c>
    </row>
    <row r="18019" spans="1:2" x14ac:dyDescent="0.25">
      <c r="A18019" s="2">
        <v>18014</v>
      </c>
      <c r="B18019" s="3" t="str">
        <f>"00869762"</f>
        <v>00869762</v>
      </c>
    </row>
    <row r="18020" spans="1:2" x14ac:dyDescent="0.25">
      <c r="A18020" s="2">
        <v>18015</v>
      </c>
      <c r="B18020" s="3" t="str">
        <f>"00869812"</f>
        <v>00869812</v>
      </c>
    </row>
    <row r="18021" spans="1:2" x14ac:dyDescent="0.25">
      <c r="A18021" s="2">
        <v>18016</v>
      </c>
      <c r="B18021" s="3" t="str">
        <f>"00869820"</f>
        <v>00869820</v>
      </c>
    </row>
    <row r="18022" spans="1:2" x14ac:dyDescent="0.25">
      <c r="A18022" s="2">
        <v>18017</v>
      </c>
      <c r="B18022" s="3" t="str">
        <f>"00869850"</f>
        <v>00869850</v>
      </c>
    </row>
    <row r="18023" spans="1:2" x14ac:dyDescent="0.25">
      <c r="A18023" s="2">
        <v>18018</v>
      </c>
      <c r="B18023" s="3" t="str">
        <f>"00869956"</f>
        <v>00869956</v>
      </c>
    </row>
    <row r="18024" spans="1:2" x14ac:dyDescent="0.25">
      <c r="A18024" s="2">
        <v>18019</v>
      </c>
      <c r="B18024" s="3" t="str">
        <f>"00870054"</f>
        <v>00870054</v>
      </c>
    </row>
    <row r="18025" spans="1:2" x14ac:dyDescent="0.25">
      <c r="A18025" s="2">
        <v>18020</v>
      </c>
      <c r="B18025" s="3" t="str">
        <f>"00870108"</f>
        <v>00870108</v>
      </c>
    </row>
    <row r="18026" spans="1:2" x14ac:dyDescent="0.25">
      <c r="A18026" s="2">
        <v>18021</v>
      </c>
      <c r="B18026" s="3" t="str">
        <f>"00870129"</f>
        <v>00870129</v>
      </c>
    </row>
    <row r="18027" spans="1:2" x14ac:dyDescent="0.25">
      <c r="A18027" s="2">
        <v>18022</v>
      </c>
      <c r="B18027" s="3" t="str">
        <f>"00870134"</f>
        <v>00870134</v>
      </c>
    </row>
    <row r="18028" spans="1:2" x14ac:dyDescent="0.25">
      <c r="A18028" s="2">
        <v>18023</v>
      </c>
      <c r="B18028" s="3" t="str">
        <f>"00870171"</f>
        <v>00870171</v>
      </c>
    </row>
    <row r="18029" spans="1:2" x14ac:dyDescent="0.25">
      <c r="A18029" s="2">
        <v>18024</v>
      </c>
      <c r="B18029" s="3" t="str">
        <f>"00870175"</f>
        <v>00870175</v>
      </c>
    </row>
    <row r="18030" spans="1:2" x14ac:dyDescent="0.25">
      <c r="A18030" s="2">
        <v>18025</v>
      </c>
      <c r="B18030" s="3" t="str">
        <f>"00870205"</f>
        <v>00870205</v>
      </c>
    </row>
    <row r="18031" spans="1:2" x14ac:dyDescent="0.25">
      <c r="A18031" s="2">
        <v>18026</v>
      </c>
      <c r="B18031" s="3" t="str">
        <f>"00870207"</f>
        <v>00870207</v>
      </c>
    </row>
    <row r="18032" spans="1:2" x14ac:dyDescent="0.25">
      <c r="A18032" s="2">
        <v>18027</v>
      </c>
      <c r="B18032" s="3" t="str">
        <f>"00870212"</f>
        <v>00870212</v>
      </c>
    </row>
    <row r="18033" spans="1:2" x14ac:dyDescent="0.25">
      <c r="A18033" s="2">
        <v>18028</v>
      </c>
      <c r="B18033" s="3" t="str">
        <f>"00870222"</f>
        <v>00870222</v>
      </c>
    </row>
    <row r="18034" spans="1:2" x14ac:dyDescent="0.25">
      <c r="A18034" s="2">
        <v>18029</v>
      </c>
      <c r="B18034" s="3" t="str">
        <f>"00870255"</f>
        <v>00870255</v>
      </c>
    </row>
    <row r="18035" spans="1:2" x14ac:dyDescent="0.25">
      <c r="A18035" s="2">
        <v>18030</v>
      </c>
      <c r="B18035" s="3" t="str">
        <f>"00870274"</f>
        <v>00870274</v>
      </c>
    </row>
    <row r="18036" spans="1:2" x14ac:dyDescent="0.25">
      <c r="A18036" s="2">
        <v>18031</v>
      </c>
      <c r="B18036" s="3" t="str">
        <f>"00870542"</f>
        <v>00870542</v>
      </c>
    </row>
    <row r="18037" spans="1:2" x14ac:dyDescent="0.25">
      <c r="A18037" s="2">
        <v>18032</v>
      </c>
      <c r="B18037" s="3" t="str">
        <f>"00870554"</f>
        <v>00870554</v>
      </c>
    </row>
    <row r="18038" spans="1:2" x14ac:dyDescent="0.25">
      <c r="A18038" s="2">
        <v>18033</v>
      </c>
      <c r="B18038" s="3" t="str">
        <f>"00870572"</f>
        <v>00870572</v>
      </c>
    </row>
    <row r="18039" spans="1:2" x14ac:dyDescent="0.25">
      <c r="A18039" s="2">
        <v>18034</v>
      </c>
      <c r="B18039" s="3" t="str">
        <f>"00870590"</f>
        <v>00870590</v>
      </c>
    </row>
    <row r="18040" spans="1:2" x14ac:dyDescent="0.25">
      <c r="A18040" s="2">
        <v>18035</v>
      </c>
      <c r="B18040" s="3" t="str">
        <f>"00870629"</f>
        <v>00870629</v>
      </c>
    </row>
    <row r="18041" spans="1:2" x14ac:dyDescent="0.25">
      <c r="A18041" s="2">
        <v>18036</v>
      </c>
      <c r="B18041" s="3" t="str">
        <f>"00870679"</f>
        <v>00870679</v>
      </c>
    </row>
    <row r="18042" spans="1:2" x14ac:dyDescent="0.25">
      <c r="A18042" s="2">
        <v>18037</v>
      </c>
      <c r="B18042" s="3" t="str">
        <f>"00870695"</f>
        <v>00870695</v>
      </c>
    </row>
    <row r="18043" spans="1:2" x14ac:dyDescent="0.25">
      <c r="A18043" s="2">
        <v>18038</v>
      </c>
      <c r="B18043" s="3" t="str">
        <f>"00870703"</f>
        <v>00870703</v>
      </c>
    </row>
    <row r="18044" spans="1:2" x14ac:dyDescent="0.25">
      <c r="A18044" s="2">
        <v>18039</v>
      </c>
      <c r="B18044" s="3" t="str">
        <f>"00870765"</f>
        <v>00870765</v>
      </c>
    </row>
    <row r="18045" spans="1:2" x14ac:dyDescent="0.25">
      <c r="A18045" s="2">
        <v>18040</v>
      </c>
      <c r="B18045" s="3" t="str">
        <f>"00870806"</f>
        <v>00870806</v>
      </c>
    </row>
    <row r="18046" spans="1:2" x14ac:dyDescent="0.25">
      <c r="A18046" s="2">
        <v>18041</v>
      </c>
      <c r="B18046" s="3" t="str">
        <f>"00870812"</f>
        <v>00870812</v>
      </c>
    </row>
    <row r="18047" spans="1:2" x14ac:dyDescent="0.25">
      <c r="A18047" s="2">
        <v>18042</v>
      </c>
      <c r="B18047" s="3" t="str">
        <f>"00870847"</f>
        <v>00870847</v>
      </c>
    </row>
    <row r="18048" spans="1:2" x14ac:dyDescent="0.25">
      <c r="A18048" s="2">
        <v>18043</v>
      </c>
      <c r="B18048" s="3" t="str">
        <f>"00870935"</f>
        <v>00870935</v>
      </c>
    </row>
    <row r="18049" spans="1:2" x14ac:dyDescent="0.25">
      <c r="A18049" s="2">
        <v>18044</v>
      </c>
      <c r="B18049" s="3" t="str">
        <f>"00870967"</f>
        <v>00870967</v>
      </c>
    </row>
    <row r="18050" spans="1:2" x14ac:dyDescent="0.25">
      <c r="A18050" s="2">
        <v>18045</v>
      </c>
      <c r="B18050" s="3" t="str">
        <f>"00870985"</f>
        <v>00870985</v>
      </c>
    </row>
    <row r="18051" spans="1:2" x14ac:dyDescent="0.25">
      <c r="A18051" s="2">
        <v>18046</v>
      </c>
      <c r="B18051" s="3" t="str">
        <f>"00871027"</f>
        <v>00871027</v>
      </c>
    </row>
    <row r="18052" spans="1:2" x14ac:dyDescent="0.25">
      <c r="A18052" s="2">
        <v>18047</v>
      </c>
      <c r="B18052" s="3" t="str">
        <f>"00871031"</f>
        <v>00871031</v>
      </c>
    </row>
    <row r="18053" spans="1:2" x14ac:dyDescent="0.25">
      <c r="A18053" s="2">
        <v>18048</v>
      </c>
      <c r="B18053" s="3" t="str">
        <f>"00871096"</f>
        <v>00871096</v>
      </c>
    </row>
    <row r="18054" spans="1:2" x14ac:dyDescent="0.25">
      <c r="A18054" s="2">
        <v>18049</v>
      </c>
      <c r="B18054" s="3" t="str">
        <f>"00871109"</f>
        <v>00871109</v>
      </c>
    </row>
    <row r="18055" spans="1:2" x14ac:dyDescent="0.25">
      <c r="A18055" s="2">
        <v>18050</v>
      </c>
      <c r="B18055" s="3" t="str">
        <f>"00871113"</f>
        <v>00871113</v>
      </c>
    </row>
    <row r="18056" spans="1:2" x14ac:dyDescent="0.25">
      <c r="A18056" s="2">
        <v>18051</v>
      </c>
      <c r="B18056" s="3" t="str">
        <f>"00871127"</f>
        <v>00871127</v>
      </c>
    </row>
    <row r="18057" spans="1:2" x14ac:dyDescent="0.25">
      <c r="A18057" s="2">
        <v>18052</v>
      </c>
      <c r="B18057" s="3" t="str">
        <f>"00871214"</f>
        <v>00871214</v>
      </c>
    </row>
    <row r="18058" spans="1:2" x14ac:dyDescent="0.25">
      <c r="A18058" s="2">
        <v>18053</v>
      </c>
      <c r="B18058" s="3" t="str">
        <f>"00871233"</f>
        <v>00871233</v>
      </c>
    </row>
    <row r="18059" spans="1:2" x14ac:dyDescent="0.25">
      <c r="A18059" s="2">
        <v>18054</v>
      </c>
      <c r="B18059" s="3" t="str">
        <f>"00871254"</f>
        <v>00871254</v>
      </c>
    </row>
    <row r="18060" spans="1:2" x14ac:dyDescent="0.25">
      <c r="A18060" s="2">
        <v>18055</v>
      </c>
      <c r="B18060" s="3" t="str">
        <f>"00871266"</f>
        <v>00871266</v>
      </c>
    </row>
    <row r="18061" spans="1:2" x14ac:dyDescent="0.25">
      <c r="A18061" s="2">
        <v>18056</v>
      </c>
      <c r="B18061" s="3" t="str">
        <f>"00871350"</f>
        <v>00871350</v>
      </c>
    </row>
    <row r="18062" spans="1:2" x14ac:dyDescent="0.25">
      <c r="A18062" s="2">
        <v>18057</v>
      </c>
      <c r="B18062" s="3" t="str">
        <f>"00871375"</f>
        <v>00871375</v>
      </c>
    </row>
    <row r="18063" spans="1:2" x14ac:dyDescent="0.25">
      <c r="A18063" s="2">
        <v>18058</v>
      </c>
      <c r="B18063" s="3" t="str">
        <f>"00871441"</f>
        <v>00871441</v>
      </c>
    </row>
    <row r="18064" spans="1:2" x14ac:dyDescent="0.25">
      <c r="A18064" s="2">
        <v>18059</v>
      </c>
      <c r="B18064" s="3" t="str">
        <f>"00871454"</f>
        <v>00871454</v>
      </c>
    </row>
    <row r="18065" spans="1:2" x14ac:dyDescent="0.25">
      <c r="A18065" s="2">
        <v>18060</v>
      </c>
      <c r="B18065" s="3" t="str">
        <f>"00871505"</f>
        <v>00871505</v>
      </c>
    </row>
    <row r="18066" spans="1:2" x14ac:dyDescent="0.25">
      <c r="A18066" s="2">
        <v>18061</v>
      </c>
      <c r="B18066" s="3" t="str">
        <f>"00871541"</f>
        <v>00871541</v>
      </c>
    </row>
    <row r="18067" spans="1:2" x14ac:dyDescent="0.25">
      <c r="A18067" s="2">
        <v>18062</v>
      </c>
      <c r="B18067" s="3" t="str">
        <f>"00871601"</f>
        <v>00871601</v>
      </c>
    </row>
    <row r="18068" spans="1:2" x14ac:dyDescent="0.25">
      <c r="A18068" s="2">
        <v>18063</v>
      </c>
      <c r="B18068" s="3" t="str">
        <f>"00871625"</f>
        <v>00871625</v>
      </c>
    </row>
    <row r="18069" spans="1:2" x14ac:dyDescent="0.25">
      <c r="A18069" s="2">
        <v>18064</v>
      </c>
      <c r="B18069" s="3" t="str">
        <f>"00871672"</f>
        <v>00871672</v>
      </c>
    </row>
    <row r="18070" spans="1:2" x14ac:dyDescent="0.25">
      <c r="A18070" s="2">
        <v>18065</v>
      </c>
      <c r="B18070" s="3" t="str">
        <f>"00871686"</f>
        <v>00871686</v>
      </c>
    </row>
    <row r="18071" spans="1:2" x14ac:dyDescent="0.25">
      <c r="A18071" s="2">
        <v>18066</v>
      </c>
      <c r="B18071" s="3" t="str">
        <f>"00871728"</f>
        <v>00871728</v>
      </c>
    </row>
    <row r="18072" spans="1:2" x14ac:dyDescent="0.25">
      <c r="A18072" s="2">
        <v>18067</v>
      </c>
      <c r="B18072" s="3" t="str">
        <f>"00871865"</f>
        <v>00871865</v>
      </c>
    </row>
    <row r="18073" spans="1:2" x14ac:dyDescent="0.25">
      <c r="A18073" s="2">
        <v>18068</v>
      </c>
      <c r="B18073" s="3" t="str">
        <f>"00871928"</f>
        <v>00871928</v>
      </c>
    </row>
    <row r="18074" spans="1:2" x14ac:dyDescent="0.25">
      <c r="A18074" s="2">
        <v>18069</v>
      </c>
      <c r="B18074" s="3" t="str">
        <f>"00872018"</f>
        <v>00872018</v>
      </c>
    </row>
    <row r="18075" spans="1:2" x14ac:dyDescent="0.25">
      <c r="A18075" s="2">
        <v>18070</v>
      </c>
      <c r="B18075" s="3" t="str">
        <f>"00872037"</f>
        <v>00872037</v>
      </c>
    </row>
    <row r="18076" spans="1:2" x14ac:dyDescent="0.25">
      <c r="A18076" s="2">
        <v>18071</v>
      </c>
      <c r="B18076" s="3" t="str">
        <f>"00872090"</f>
        <v>00872090</v>
      </c>
    </row>
    <row r="18077" spans="1:2" x14ac:dyDescent="0.25">
      <c r="A18077" s="2">
        <v>18072</v>
      </c>
      <c r="B18077" s="3" t="str">
        <f>"00872091"</f>
        <v>00872091</v>
      </c>
    </row>
    <row r="18078" spans="1:2" x14ac:dyDescent="0.25">
      <c r="A18078" s="2">
        <v>18073</v>
      </c>
      <c r="B18078" s="3" t="str">
        <f>"00872097"</f>
        <v>00872097</v>
      </c>
    </row>
    <row r="18079" spans="1:2" x14ac:dyDescent="0.25">
      <c r="A18079" s="2">
        <v>18074</v>
      </c>
      <c r="B18079" s="3" t="str">
        <f>"00872167"</f>
        <v>00872167</v>
      </c>
    </row>
    <row r="18080" spans="1:2" x14ac:dyDescent="0.25">
      <c r="A18080" s="2">
        <v>18075</v>
      </c>
      <c r="B18080" s="3" t="str">
        <f>"00872219"</f>
        <v>00872219</v>
      </c>
    </row>
    <row r="18081" spans="1:2" x14ac:dyDescent="0.25">
      <c r="A18081" s="2">
        <v>18076</v>
      </c>
      <c r="B18081" s="3" t="str">
        <f>"00872274"</f>
        <v>00872274</v>
      </c>
    </row>
    <row r="18082" spans="1:2" x14ac:dyDescent="0.25">
      <c r="A18082" s="2">
        <v>18077</v>
      </c>
      <c r="B18082" s="3" t="str">
        <f>"00872280"</f>
        <v>00872280</v>
      </c>
    </row>
    <row r="18083" spans="1:2" x14ac:dyDescent="0.25">
      <c r="A18083" s="2">
        <v>18078</v>
      </c>
      <c r="B18083" s="3" t="str">
        <f>"00872302"</f>
        <v>00872302</v>
      </c>
    </row>
    <row r="18084" spans="1:2" x14ac:dyDescent="0.25">
      <c r="A18084" s="2">
        <v>18079</v>
      </c>
      <c r="B18084" s="3" t="str">
        <f>"00872321"</f>
        <v>00872321</v>
      </c>
    </row>
    <row r="18085" spans="1:2" x14ac:dyDescent="0.25">
      <c r="A18085" s="2">
        <v>18080</v>
      </c>
      <c r="B18085" s="3" t="str">
        <f>"00872323"</f>
        <v>00872323</v>
      </c>
    </row>
    <row r="18086" spans="1:2" x14ac:dyDescent="0.25">
      <c r="A18086" s="2">
        <v>18081</v>
      </c>
      <c r="B18086" s="3" t="str">
        <f>"00872384"</f>
        <v>00872384</v>
      </c>
    </row>
    <row r="18087" spans="1:2" x14ac:dyDescent="0.25">
      <c r="A18087" s="2">
        <v>18082</v>
      </c>
      <c r="B18087" s="3" t="str">
        <f>"00872395"</f>
        <v>00872395</v>
      </c>
    </row>
    <row r="18088" spans="1:2" x14ac:dyDescent="0.25">
      <c r="A18088" s="2">
        <v>18083</v>
      </c>
      <c r="B18088" s="3" t="str">
        <f>"00872399"</f>
        <v>00872399</v>
      </c>
    </row>
    <row r="18089" spans="1:2" x14ac:dyDescent="0.25">
      <c r="A18089" s="2">
        <v>18084</v>
      </c>
      <c r="B18089" s="3" t="str">
        <f>"00872455"</f>
        <v>00872455</v>
      </c>
    </row>
    <row r="18090" spans="1:2" x14ac:dyDescent="0.25">
      <c r="A18090" s="2">
        <v>18085</v>
      </c>
      <c r="B18090" s="3" t="str">
        <f>"00872481"</f>
        <v>00872481</v>
      </c>
    </row>
    <row r="18091" spans="1:2" x14ac:dyDescent="0.25">
      <c r="A18091" s="2">
        <v>18086</v>
      </c>
      <c r="B18091" s="3" t="str">
        <f>"00872492"</f>
        <v>00872492</v>
      </c>
    </row>
    <row r="18092" spans="1:2" x14ac:dyDescent="0.25">
      <c r="A18092" s="2">
        <v>18087</v>
      </c>
      <c r="B18092" s="3" t="str">
        <f>"00872523"</f>
        <v>00872523</v>
      </c>
    </row>
    <row r="18093" spans="1:2" x14ac:dyDescent="0.25">
      <c r="A18093" s="2">
        <v>18088</v>
      </c>
      <c r="B18093" s="3" t="str">
        <f>"00872561"</f>
        <v>00872561</v>
      </c>
    </row>
    <row r="18094" spans="1:2" x14ac:dyDescent="0.25">
      <c r="A18094" s="2">
        <v>18089</v>
      </c>
      <c r="B18094" s="3" t="str">
        <f>"00872576"</f>
        <v>00872576</v>
      </c>
    </row>
    <row r="18095" spans="1:2" x14ac:dyDescent="0.25">
      <c r="A18095" s="2">
        <v>18090</v>
      </c>
      <c r="B18095" s="3" t="str">
        <f>"00872608"</f>
        <v>00872608</v>
      </c>
    </row>
    <row r="18096" spans="1:2" x14ac:dyDescent="0.25">
      <c r="A18096" s="2">
        <v>18091</v>
      </c>
      <c r="B18096" s="3" t="str">
        <f>"00872704"</f>
        <v>00872704</v>
      </c>
    </row>
    <row r="18097" spans="1:2" x14ac:dyDescent="0.25">
      <c r="A18097" s="2">
        <v>18092</v>
      </c>
      <c r="B18097" s="3" t="str">
        <f>"00872723"</f>
        <v>00872723</v>
      </c>
    </row>
    <row r="18098" spans="1:2" x14ac:dyDescent="0.25">
      <c r="A18098" s="2">
        <v>18093</v>
      </c>
      <c r="B18098" s="3" t="str">
        <f>"00872737"</f>
        <v>00872737</v>
      </c>
    </row>
    <row r="18099" spans="1:2" x14ac:dyDescent="0.25">
      <c r="A18099" s="2">
        <v>18094</v>
      </c>
      <c r="B18099" s="3" t="str">
        <f>"00872749"</f>
        <v>00872749</v>
      </c>
    </row>
    <row r="18100" spans="1:2" x14ac:dyDescent="0.25">
      <c r="A18100" s="2">
        <v>18095</v>
      </c>
      <c r="B18100" s="3" t="str">
        <f>"00872804"</f>
        <v>00872804</v>
      </c>
    </row>
    <row r="18101" spans="1:2" x14ac:dyDescent="0.25">
      <c r="A18101" s="2">
        <v>18096</v>
      </c>
      <c r="B18101" s="3" t="str">
        <f>"00872811"</f>
        <v>00872811</v>
      </c>
    </row>
    <row r="18102" spans="1:2" x14ac:dyDescent="0.25">
      <c r="A18102" s="2">
        <v>18097</v>
      </c>
      <c r="B18102" s="3" t="str">
        <f>"00872829"</f>
        <v>00872829</v>
      </c>
    </row>
    <row r="18103" spans="1:2" x14ac:dyDescent="0.25">
      <c r="A18103" s="2">
        <v>18098</v>
      </c>
      <c r="B18103" s="3" t="str">
        <f>"00872848"</f>
        <v>00872848</v>
      </c>
    </row>
    <row r="18104" spans="1:2" x14ac:dyDescent="0.25">
      <c r="A18104" s="2">
        <v>18099</v>
      </c>
      <c r="B18104" s="3" t="str">
        <f>"00872881"</f>
        <v>00872881</v>
      </c>
    </row>
    <row r="18105" spans="1:2" x14ac:dyDescent="0.25">
      <c r="A18105" s="2">
        <v>18100</v>
      </c>
      <c r="B18105" s="3" t="str">
        <f>"00872895"</f>
        <v>00872895</v>
      </c>
    </row>
    <row r="18106" spans="1:2" x14ac:dyDescent="0.25">
      <c r="A18106" s="2">
        <v>18101</v>
      </c>
      <c r="B18106" s="3" t="str">
        <f>"00872927"</f>
        <v>00872927</v>
      </c>
    </row>
    <row r="18107" spans="1:2" x14ac:dyDescent="0.25">
      <c r="A18107" s="2">
        <v>18102</v>
      </c>
      <c r="B18107" s="3" t="str">
        <f>"00872988"</f>
        <v>00872988</v>
      </c>
    </row>
    <row r="18108" spans="1:2" x14ac:dyDescent="0.25">
      <c r="A18108" s="2">
        <v>18103</v>
      </c>
      <c r="B18108" s="3" t="str">
        <f>"00873067"</f>
        <v>00873067</v>
      </c>
    </row>
    <row r="18109" spans="1:2" x14ac:dyDescent="0.25">
      <c r="A18109" s="2">
        <v>18104</v>
      </c>
      <c r="B18109" s="3" t="str">
        <f>"00873096"</f>
        <v>00873096</v>
      </c>
    </row>
    <row r="18110" spans="1:2" x14ac:dyDescent="0.25">
      <c r="A18110" s="2">
        <v>18105</v>
      </c>
      <c r="B18110" s="3" t="str">
        <f>"00873110"</f>
        <v>00873110</v>
      </c>
    </row>
    <row r="18111" spans="1:2" x14ac:dyDescent="0.25">
      <c r="A18111" s="2">
        <v>18106</v>
      </c>
      <c r="B18111" s="3" t="str">
        <f>"00873118"</f>
        <v>00873118</v>
      </c>
    </row>
    <row r="18112" spans="1:2" x14ac:dyDescent="0.25">
      <c r="A18112" s="2">
        <v>18107</v>
      </c>
      <c r="B18112" s="3" t="str">
        <f>"00873182"</f>
        <v>00873182</v>
      </c>
    </row>
    <row r="18113" spans="1:2" x14ac:dyDescent="0.25">
      <c r="A18113" s="2">
        <v>18108</v>
      </c>
      <c r="B18113" s="3" t="str">
        <f>"00873197"</f>
        <v>00873197</v>
      </c>
    </row>
    <row r="18114" spans="1:2" x14ac:dyDescent="0.25">
      <c r="A18114" s="2">
        <v>18109</v>
      </c>
      <c r="B18114" s="3" t="str">
        <f>"00873198"</f>
        <v>00873198</v>
      </c>
    </row>
    <row r="18115" spans="1:2" x14ac:dyDescent="0.25">
      <c r="A18115" s="2">
        <v>18110</v>
      </c>
      <c r="B18115" s="3" t="str">
        <f>"00873215"</f>
        <v>00873215</v>
      </c>
    </row>
    <row r="18116" spans="1:2" x14ac:dyDescent="0.25">
      <c r="A18116" s="2">
        <v>18111</v>
      </c>
      <c r="B18116" s="3" t="str">
        <f>"00873303"</f>
        <v>00873303</v>
      </c>
    </row>
    <row r="18117" spans="1:2" x14ac:dyDescent="0.25">
      <c r="A18117" s="2">
        <v>18112</v>
      </c>
      <c r="B18117" s="3" t="str">
        <f>"00873341"</f>
        <v>00873341</v>
      </c>
    </row>
    <row r="18118" spans="1:2" x14ac:dyDescent="0.25">
      <c r="A18118" s="2">
        <v>18113</v>
      </c>
      <c r="B18118" s="3" t="str">
        <f>"00873356"</f>
        <v>00873356</v>
      </c>
    </row>
    <row r="18119" spans="1:2" x14ac:dyDescent="0.25">
      <c r="A18119" s="2">
        <v>18114</v>
      </c>
      <c r="B18119" s="3" t="str">
        <f>"00873375"</f>
        <v>00873375</v>
      </c>
    </row>
    <row r="18120" spans="1:2" x14ac:dyDescent="0.25">
      <c r="A18120" s="2">
        <v>18115</v>
      </c>
      <c r="B18120" s="3" t="str">
        <f>"00873401"</f>
        <v>00873401</v>
      </c>
    </row>
    <row r="18121" spans="1:2" x14ac:dyDescent="0.25">
      <c r="A18121" s="2">
        <v>18116</v>
      </c>
      <c r="B18121" s="3" t="str">
        <f>"00873402"</f>
        <v>00873402</v>
      </c>
    </row>
    <row r="18122" spans="1:2" x14ac:dyDescent="0.25">
      <c r="A18122" s="2">
        <v>18117</v>
      </c>
      <c r="B18122" s="3" t="str">
        <f>"00873421"</f>
        <v>00873421</v>
      </c>
    </row>
    <row r="18123" spans="1:2" x14ac:dyDescent="0.25">
      <c r="A18123" s="2">
        <v>18118</v>
      </c>
      <c r="B18123" s="3" t="str">
        <f>"00873444"</f>
        <v>00873444</v>
      </c>
    </row>
    <row r="18124" spans="1:2" x14ac:dyDescent="0.25">
      <c r="A18124" s="2">
        <v>18119</v>
      </c>
      <c r="B18124" s="3" t="str">
        <f>"00873526"</f>
        <v>00873526</v>
      </c>
    </row>
    <row r="18125" spans="1:2" x14ac:dyDescent="0.25">
      <c r="A18125" s="2">
        <v>18120</v>
      </c>
      <c r="B18125" s="3" t="str">
        <f>"00873554"</f>
        <v>00873554</v>
      </c>
    </row>
    <row r="18126" spans="1:2" x14ac:dyDescent="0.25">
      <c r="A18126" s="2">
        <v>18121</v>
      </c>
      <c r="B18126" s="3" t="str">
        <f>"00873560"</f>
        <v>00873560</v>
      </c>
    </row>
    <row r="18127" spans="1:2" x14ac:dyDescent="0.25">
      <c r="A18127" s="2">
        <v>18122</v>
      </c>
      <c r="B18127" s="3" t="str">
        <f>"00873580"</f>
        <v>00873580</v>
      </c>
    </row>
    <row r="18128" spans="1:2" x14ac:dyDescent="0.25">
      <c r="A18128" s="2">
        <v>18123</v>
      </c>
      <c r="B18128" s="3" t="str">
        <f>"00873612"</f>
        <v>00873612</v>
      </c>
    </row>
    <row r="18129" spans="1:2" x14ac:dyDescent="0.25">
      <c r="A18129" s="2">
        <v>18124</v>
      </c>
      <c r="B18129" s="3" t="str">
        <f>"00873714"</f>
        <v>00873714</v>
      </c>
    </row>
    <row r="18130" spans="1:2" x14ac:dyDescent="0.25">
      <c r="A18130" s="2">
        <v>18125</v>
      </c>
      <c r="B18130" s="3" t="str">
        <f>"00873728"</f>
        <v>00873728</v>
      </c>
    </row>
    <row r="18131" spans="1:2" x14ac:dyDescent="0.25">
      <c r="A18131" s="2">
        <v>18126</v>
      </c>
      <c r="B18131" s="3" t="str">
        <f>"00873757"</f>
        <v>00873757</v>
      </c>
    </row>
    <row r="18132" spans="1:2" x14ac:dyDescent="0.25">
      <c r="A18132" s="2">
        <v>18127</v>
      </c>
      <c r="B18132" s="3" t="str">
        <f>"00873915"</f>
        <v>00873915</v>
      </c>
    </row>
    <row r="18133" spans="1:2" x14ac:dyDescent="0.25">
      <c r="A18133" s="2">
        <v>18128</v>
      </c>
      <c r="B18133" s="3" t="str">
        <f>"00873921"</f>
        <v>00873921</v>
      </c>
    </row>
    <row r="18134" spans="1:2" x14ac:dyDescent="0.25">
      <c r="A18134" s="2">
        <v>18129</v>
      </c>
      <c r="B18134" s="3" t="str">
        <f>"00873925"</f>
        <v>00873925</v>
      </c>
    </row>
    <row r="18135" spans="1:2" x14ac:dyDescent="0.25">
      <c r="A18135" s="2">
        <v>18130</v>
      </c>
      <c r="B18135" s="3" t="str">
        <f>"00874092"</f>
        <v>00874092</v>
      </c>
    </row>
    <row r="18136" spans="1:2" x14ac:dyDescent="0.25">
      <c r="A18136" s="2">
        <v>18131</v>
      </c>
      <c r="B18136" s="3" t="str">
        <f>"00874141"</f>
        <v>00874141</v>
      </c>
    </row>
    <row r="18137" spans="1:2" x14ac:dyDescent="0.25">
      <c r="A18137" s="2">
        <v>18132</v>
      </c>
      <c r="B18137" s="3" t="str">
        <f>"00874211"</f>
        <v>00874211</v>
      </c>
    </row>
    <row r="18138" spans="1:2" x14ac:dyDescent="0.25">
      <c r="A18138" s="2">
        <v>18133</v>
      </c>
      <c r="B18138" s="3" t="str">
        <f>"00874218"</f>
        <v>00874218</v>
      </c>
    </row>
    <row r="18139" spans="1:2" x14ac:dyDescent="0.25">
      <c r="A18139" s="2">
        <v>18134</v>
      </c>
      <c r="B18139" s="3" t="str">
        <f>"00874259"</f>
        <v>00874259</v>
      </c>
    </row>
    <row r="18140" spans="1:2" x14ac:dyDescent="0.25">
      <c r="A18140" s="2">
        <v>18135</v>
      </c>
      <c r="B18140" s="3" t="str">
        <f>"00874263"</f>
        <v>00874263</v>
      </c>
    </row>
    <row r="18141" spans="1:2" x14ac:dyDescent="0.25">
      <c r="A18141" s="2">
        <v>18136</v>
      </c>
      <c r="B18141" s="3" t="str">
        <f>"00874324"</f>
        <v>00874324</v>
      </c>
    </row>
    <row r="18142" spans="1:2" x14ac:dyDescent="0.25">
      <c r="A18142" s="2">
        <v>18137</v>
      </c>
      <c r="B18142" s="3" t="str">
        <f>"00874341"</f>
        <v>00874341</v>
      </c>
    </row>
    <row r="18143" spans="1:2" x14ac:dyDescent="0.25">
      <c r="A18143" s="2">
        <v>18138</v>
      </c>
      <c r="B18143" s="3" t="str">
        <f>"00874376"</f>
        <v>00874376</v>
      </c>
    </row>
    <row r="18144" spans="1:2" x14ac:dyDescent="0.25">
      <c r="A18144" s="2">
        <v>18139</v>
      </c>
      <c r="B18144" s="3" t="str">
        <f>"00874377"</f>
        <v>00874377</v>
      </c>
    </row>
    <row r="18145" spans="1:2" x14ac:dyDescent="0.25">
      <c r="A18145" s="2">
        <v>18140</v>
      </c>
      <c r="B18145" s="3" t="str">
        <f>"00874396"</f>
        <v>00874396</v>
      </c>
    </row>
    <row r="18146" spans="1:2" x14ac:dyDescent="0.25">
      <c r="A18146" s="2">
        <v>18141</v>
      </c>
      <c r="B18146" s="3" t="str">
        <f>"00874529"</f>
        <v>00874529</v>
      </c>
    </row>
    <row r="18147" spans="1:2" x14ac:dyDescent="0.25">
      <c r="A18147" s="2">
        <v>18142</v>
      </c>
      <c r="B18147" s="3" t="str">
        <f>"00874598"</f>
        <v>00874598</v>
      </c>
    </row>
    <row r="18148" spans="1:2" x14ac:dyDescent="0.25">
      <c r="A18148" s="2">
        <v>18143</v>
      </c>
      <c r="B18148" s="3" t="str">
        <f>"00874608"</f>
        <v>00874608</v>
      </c>
    </row>
    <row r="18149" spans="1:2" x14ac:dyDescent="0.25">
      <c r="A18149" s="2">
        <v>18144</v>
      </c>
      <c r="B18149" s="3" t="str">
        <f>"00874645"</f>
        <v>00874645</v>
      </c>
    </row>
    <row r="18150" spans="1:2" x14ac:dyDescent="0.25">
      <c r="A18150" s="2">
        <v>18145</v>
      </c>
      <c r="B18150" s="3" t="str">
        <f>"00874648"</f>
        <v>00874648</v>
      </c>
    </row>
    <row r="18151" spans="1:2" x14ac:dyDescent="0.25">
      <c r="A18151" s="2">
        <v>18146</v>
      </c>
      <c r="B18151" s="3" t="str">
        <f>"00874676"</f>
        <v>00874676</v>
      </c>
    </row>
    <row r="18152" spans="1:2" x14ac:dyDescent="0.25">
      <c r="A18152" s="2">
        <v>18147</v>
      </c>
      <c r="B18152" s="3" t="str">
        <f>"00874695"</f>
        <v>00874695</v>
      </c>
    </row>
    <row r="18153" spans="1:2" x14ac:dyDescent="0.25">
      <c r="A18153" s="2">
        <v>18148</v>
      </c>
      <c r="B18153" s="3" t="str">
        <f>"00874712"</f>
        <v>00874712</v>
      </c>
    </row>
    <row r="18154" spans="1:2" x14ac:dyDescent="0.25">
      <c r="A18154" s="2">
        <v>18149</v>
      </c>
      <c r="B18154" s="3" t="str">
        <f>"00874775"</f>
        <v>00874775</v>
      </c>
    </row>
    <row r="18155" spans="1:2" x14ac:dyDescent="0.25">
      <c r="A18155" s="2">
        <v>18150</v>
      </c>
      <c r="B18155" s="3" t="str">
        <f>"00874789"</f>
        <v>00874789</v>
      </c>
    </row>
    <row r="18156" spans="1:2" x14ac:dyDescent="0.25">
      <c r="A18156" s="2">
        <v>18151</v>
      </c>
      <c r="B18156" s="3" t="str">
        <f>"00874852"</f>
        <v>00874852</v>
      </c>
    </row>
    <row r="18157" spans="1:2" x14ac:dyDescent="0.25">
      <c r="A18157" s="2">
        <v>18152</v>
      </c>
      <c r="B18157" s="3" t="str">
        <f>"00874929"</f>
        <v>00874929</v>
      </c>
    </row>
    <row r="18158" spans="1:2" x14ac:dyDescent="0.25">
      <c r="A18158" s="2">
        <v>18153</v>
      </c>
      <c r="B18158" s="3" t="str">
        <f>"00874974"</f>
        <v>00874974</v>
      </c>
    </row>
    <row r="18159" spans="1:2" x14ac:dyDescent="0.25">
      <c r="A18159" s="2">
        <v>18154</v>
      </c>
      <c r="B18159" s="3" t="str">
        <f>"00875013"</f>
        <v>00875013</v>
      </c>
    </row>
    <row r="18160" spans="1:2" x14ac:dyDescent="0.25">
      <c r="A18160" s="2">
        <v>18155</v>
      </c>
      <c r="B18160" s="3" t="str">
        <f>"00875015"</f>
        <v>00875015</v>
      </c>
    </row>
    <row r="18161" spans="1:2" x14ac:dyDescent="0.25">
      <c r="A18161" s="2">
        <v>18156</v>
      </c>
      <c r="B18161" s="3" t="str">
        <f>"00875019"</f>
        <v>00875019</v>
      </c>
    </row>
    <row r="18162" spans="1:2" x14ac:dyDescent="0.25">
      <c r="A18162" s="2">
        <v>18157</v>
      </c>
      <c r="B18162" s="3" t="str">
        <f>"00875028"</f>
        <v>00875028</v>
      </c>
    </row>
    <row r="18163" spans="1:2" x14ac:dyDescent="0.25">
      <c r="A18163" s="2">
        <v>18158</v>
      </c>
      <c r="B18163" s="3" t="str">
        <f>"00875046"</f>
        <v>00875046</v>
      </c>
    </row>
    <row r="18164" spans="1:2" x14ac:dyDescent="0.25">
      <c r="A18164" s="2">
        <v>18159</v>
      </c>
      <c r="B18164" s="3" t="str">
        <f>"00875047"</f>
        <v>00875047</v>
      </c>
    </row>
    <row r="18165" spans="1:2" x14ac:dyDescent="0.25">
      <c r="A18165" s="2">
        <v>18160</v>
      </c>
      <c r="B18165" s="3" t="str">
        <f>"00875053"</f>
        <v>00875053</v>
      </c>
    </row>
    <row r="18166" spans="1:2" x14ac:dyDescent="0.25">
      <c r="A18166" s="2">
        <v>18161</v>
      </c>
      <c r="B18166" s="3" t="str">
        <f>"00875132"</f>
        <v>00875132</v>
      </c>
    </row>
    <row r="18167" spans="1:2" x14ac:dyDescent="0.25">
      <c r="A18167" s="2">
        <v>18162</v>
      </c>
      <c r="B18167" s="3" t="str">
        <f>"00875134"</f>
        <v>00875134</v>
      </c>
    </row>
    <row r="18168" spans="1:2" x14ac:dyDescent="0.25">
      <c r="A18168" s="2">
        <v>18163</v>
      </c>
      <c r="B18168" s="3" t="str">
        <f>"00875136"</f>
        <v>00875136</v>
      </c>
    </row>
    <row r="18169" spans="1:2" x14ac:dyDescent="0.25">
      <c r="A18169" s="2">
        <v>18164</v>
      </c>
      <c r="B18169" s="3" t="str">
        <f>"00875175"</f>
        <v>00875175</v>
      </c>
    </row>
    <row r="18170" spans="1:2" x14ac:dyDescent="0.25">
      <c r="A18170" s="2">
        <v>18165</v>
      </c>
      <c r="B18170" s="3" t="str">
        <f>"00875241"</f>
        <v>00875241</v>
      </c>
    </row>
    <row r="18171" spans="1:2" x14ac:dyDescent="0.25">
      <c r="A18171" s="2">
        <v>18166</v>
      </c>
      <c r="B18171" s="3" t="str">
        <f>"00875253"</f>
        <v>00875253</v>
      </c>
    </row>
    <row r="18172" spans="1:2" x14ac:dyDescent="0.25">
      <c r="A18172" s="2">
        <v>18167</v>
      </c>
      <c r="B18172" s="3" t="str">
        <f>"00875305"</f>
        <v>00875305</v>
      </c>
    </row>
    <row r="18173" spans="1:2" x14ac:dyDescent="0.25">
      <c r="A18173" s="2">
        <v>18168</v>
      </c>
      <c r="B18173" s="3" t="str">
        <f>"00875314"</f>
        <v>00875314</v>
      </c>
    </row>
    <row r="18174" spans="1:2" x14ac:dyDescent="0.25">
      <c r="A18174" s="2">
        <v>18169</v>
      </c>
      <c r="B18174" s="3" t="str">
        <f>"00875354"</f>
        <v>00875354</v>
      </c>
    </row>
    <row r="18175" spans="1:2" x14ac:dyDescent="0.25">
      <c r="A18175" s="2">
        <v>18170</v>
      </c>
      <c r="B18175" s="3" t="str">
        <f>"00875362"</f>
        <v>00875362</v>
      </c>
    </row>
    <row r="18176" spans="1:2" x14ac:dyDescent="0.25">
      <c r="A18176" s="2">
        <v>18171</v>
      </c>
      <c r="B18176" s="3" t="str">
        <f>"00875379"</f>
        <v>00875379</v>
      </c>
    </row>
    <row r="18177" spans="1:2" x14ac:dyDescent="0.25">
      <c r="A18177" s="2">
        <v>18172</v>
      </c>
      <c r="B18177" s="3" t="str">
        <f>"00875395"</f>
        <v>00875395</v>
      </c>
    </row>
    <row r="18178" spans="1:2" x14ac:dyDescent="0.25">
      <c r="A18178" s="2">
        <v>18173</v>
      </c>
      <c r="B18178" s="3" t="str">
        <f>"00875426"</f>
        <v>00875426</v>
      </c>
    </row>
    <row r="18179" spans="1:2" x14ac:dyDescent="0.25">
      <c r="A18179" s="2">
        <v>18174</v>
      </c>
      <c r="B18179" s="3" t="str">
        <f>"00875466"</f>
        <v>00875466</v>
      </c>
    </row>
    <row r="18180" spans="1:2" x14ac:dyDescent="0.25">
      <c r="A18180" s="2">
        <v>18175</v>
      </c>
      <c r="B18180" s="3" t="str">
        <f>"00875495"</f>
        <v>00875495</v>
      </c>
    </row>
    <row r="18181" spans="1:2" x14ac:dyDescent="0.25">
      <c r="A18181" s="2">
        <v>18176</v>
      </c>
      <c r="B18181" s="3" t="str">
        <f>"00875507"</f>
        <v>00875507</v>
      </c>
    </row>
    <row r="18182" spans="1:2" x14ac:dyDescent="0.25">
      <c r="A18182" s="2">
        <v>18177</v>
      </c>
      <c r="B18182" s="3" t="str">
        <f>"00875532"</f>
        <v>00875532</v>
      </c>
    </row>
    <row r="18183" spans="1:2" x14ac:dyDescent="0.25">
      <c r="A18183" s="2">
        <v>18178</v>
      </c>
      <c r="B18183" s="3" t="str">
        <f>"00875560"</f>
        <v>00875560</v>
      </c>
    </row>
    <row r="18184" spans="1:2" x14ac:dyDescent="0.25">
      <c r="A18184" s="2">
        <v>18179</v>
      </c>
      <c r="B18184" s="3" t="str">
        <f>"00875600"</f>
        <v>00875600</v>
      </c>
    </row>
    <row r="18185" spans="1:2" x14ac:dyDescent="0.25">
      <c r="A18185" s="2">
        <v>18180</v>
      </c>
      <c r="B18185" s="3" t="str">
        <f>"00875628"</f>
        <v>00875628</v>
      </c>
    </row>
    <row r="18186" spans="1:2" x14ac:dyDescent="0.25">
      <c r="A18186" s="2">
        <v>18181</v>
      </c>
      <c r="B18186" s="3" t="str">
        <f>"00875704"</f>
        <v>00875704</v>
      </c>
    </row>
    <row r="18187" spans="1:2" x14ac:dyDescent="0.25">
      <c r="A18187" s="2">
        <v>18182</v>
      </c>
      <c r="B18187" s="3" t="str">
        <f>"00875718"</f>
        <v>00875718</v>
      </c>
    </row>
    <row r="18188" spans="1:2" x14ac:dyDescent="0.25">
      <c r="A18188" s="2">
        <v>18183</v>
      </c>
      <c r="B18188" s="3" t="str">
        <f>"00875750"</f>
        <v>00875750</v>
      </c>
    </row>
    <row r="18189" spans="1:2" x14ac:dyDescent="0.25">
      <c r="A18189" s="2">
        <v>18184</v>
      </c>
      <c r="B18189" s="3" t="str">
        <f>"00875775"</f>
        <v>00875775</v>
      </c>
    </row>
    <row r="18190" spans="1:2" x14ac:dyDescent="0.25">
      <c r="A18190" s="2">
        <v>18185</v>
      </c>
      <c r="B18190" s="3" t="str">
        <f>"00875789"</f>
        <v>00875789</v>
      </c>
    </row>
    <row r="18191" spans="1:2" x14ac:dyDescent="0.25">
      <c r="A18191" s="2">
        <v>18186</v>
      </c>
      <c r="B18191" s="3" t="str">
        <f>"00875791"</f>
        <v>00875791</v>
      </c>
    </row>
    <row r="18192" spans="1:2" x14ac:dyDescent="0.25">
      <c r="A18192" s="2">
        <v>18187</v>
      </c>
      <c r="B18192" s="3" t="str">
        <f>"00875956"</f>
        <v>00875956</v>
      </c>
    </row>
    <row r="18193" spans="1:2" x14ac:dyDescent="0.25">
      <c r="A18193" s="2">
        <v>18188</v>
      </c>
      <c r="B18193" s="3" t="str">
        <f>"00875970"</f>
        <v>00875970</v>
      </c>
    </row>
    <row r="18194" spans="1:2" x14ac:dyDescent="0.25">
      <c r="A18194" s="2">
        <v>18189</v>
      </c>
      <c r="B18194" s="3" t="str">
        <f>"00876026"</f>
        <v>00876026</v>
      </c>
    </row>
    <row r="18195" spans="1:2" x14ac:dyDescent="0.25">
      <c r="A18195" s="2">
        <v>18190</v>
      </c>
      <c r="B18195" s="3" t="str">
        <f>"00876029"</f>
        <v>00876029</v>
      </c>
    </row>
    <row r="18196" spans="1:2" x14ac:dyDescent="0.25">
      <c r="A18196" s="2">
        <v>18191</v>
      </c>
      <c r="B18196" s="3" t="str">
        <f>"00876030"</f>
        <v>00876030</v>
      </c>
    </row>
    <row r="18197" spans="1:2" x14ac:dyDescent="0.25">
      <c r="A18197" s="2">
        <v>18192</v>
      </c>
      <c r="B18197" s="3" t="str">
        <f>"00876047"</f>
        <v>00876047</v>
      </c>
    </row>
    <row r="18198" spans="1:2" x14ac:dyDescent="0.25">
      <c r="A18198" s="2">
        <v>18193</v>
      </c>
      <c r="B18198" s="3" t="str">
        <f>"00876068"</f>
        <v>00876068</v>
      </c>
    </row>
    <row r="18199" spans="1:2" x14ac:dyDescent="0.25">
      <c r="A18199" s="2">
        <v>18194</v>
      </c>
      <c r="B18199" s="3" t="str">
        <f>"00876091"</f>
        <v>00876091</v>
      </c>
    </row>
    <row r="18200" spans="1:2" x14ac:dyDescent="0.25">
      <c r="A18200" s="2">
        <v>18195</v>
      </c>
      <c r="B18200" s="3" t="str">
        <f>"00876128"</f>
        <v>00876128</v>
      </c>
    </row>
    <row r="18201" spans="1:2" x14ac:dyDescent="0.25">
      <c r="A18201" s="2">
        <v>18196</v>
      </c>
      <c r="B18201" s="3" t="str">
        <f>"00876144"</f>
        <v>00876144</v>
      </c>
    </row>
    <row r="18202" spans="1:2" x14ac:dyDescent="0.25">
      <c r="A18202" s="2">
        <v>18197</v>
      </c>
      <c r="B18202" s="3" t="str">
        <f>"00876248"</f>
        <v>00876248</v>
      </c>
    </row>
    <row r="18203" spans="1:2" x14ac:dyDescent="0.25">
      <c r="A18203" s="2">
        <v>18198</v>
      </c>
      <c r="B18203" s="3" t="str">
        <f>"00876263"</f>
        <v>00876263</v>
      </c>
    </row>
    <row r="18204" spans="1:2" x14ac:dyDescent="0.25">
      <c r="A18204" s="2">
        <v>18199</v>
      </c>
      <c r="B18204" s="3" t="str">
        <f>"00876284"</f>
        <v>00876284</v>
      </c>
    </row>
    <row r="18205" spans="1:2" x14ac:dyDescent="0.25">
      <c r="A18205" s="2">
        <v>18200</v>
      </c>
      <c r="B18205" s="3" t="str">
        <f>"00876379"</f>
        <v>00876379</v>
      </c>
    </row>
    <row r="18206" spans="1:2" x14ac:dyDescent="0.25">
      <c r="A18206" s="2">
        <v>18201</v>
      </c>
      <c r="B18206" s="3" t="str">
        <f>"00876603"</f>
        <v>00876603</v>
      </c>
    </row>
    <row r="18207" spans="1:2" x14ac:dyDescent="0.25">
      <c r="A18207" s="2">
        <v>18202</v>
      </c>
      <c r="B18207" s="3" t="str">
        <f>"00876610"</f>
        <v>00876610</v>
      </c>
    </row>
    <row r="18208" spans="1:2" x14ac:dyDescent="0.25">
      <c r="A18208" s="2">
        <v>18203</v>
      </c>
      <c r="B18208" s="3" t="str">
        <f>"00876689"</f>
        <v>00876689</v>
      </c>
    </row>
    <row r="18209" spans="1:2" x14ac:dyDescent="0.25">
      <c r="A18209" s="2">
        <v>18204</v>
      </c>
      <c r="B18209" s="3" t="str">
        <f>"00876808"</f>
        <v>00876808</v>
      </c>
    </row>
    <row r="18210" spans="1:2" x14ac:dyDescent="0.25">
      <c r="A18210" s="2">
        <v>18205</v>
      </c>
      <c r="B18210" s="3" t="str">
        <f>"00876868"</f>
        <v>00876868</v>
      </c>
    </row>
    <row r="18211" spans="1:2" x14ac:dyDescent="0.25">
      <c r="A18211" s="2">
        <v>18206</v>
      </c>
      <c r="B18211" s="3" t="str">
        <f>"00876877"</f>
        <v>00876877</v>
      </c>
    </row>
    <row r="18212" spans="1:2" x14ac:dyDescent="0.25">
      <c r="A18212" s="2">
        <v>18207</v>
      </c>
      <c r="B18212" s="3" t="str">
        <f>"00876906"</f>
        <v>00876906</v>
      </c>
    </row>
    <row r="18213" spans="1:2" x14ac:dyDescent="0.25">
      <c r="A18213" s="2">
        <v>18208</v>
      </c>
      <c r="B18213" s="3" t="str">
        <f>"00877012"</f>
        <v>00877012</v>
      </c>
    </row>
    <row r="18214" spans="1:2" x14ac:dyDescent="0.25">
      <c r="A18214" s="2">
        <v>18209</v>
      </c>
      <c r="B18214" s="3" t="str">
        <f>"00877060"</f>
        <v>00877060</v>
      </c>
    </row>
    <row r="18215" spans="1:2" x14ac:dyDescent="0.25">
      <c r="A18215" s="2">
        <v>18210</v>
      </c>
      <c r="B18215" s="3" t="str">
        <f>"00877062"</f>
        <v>00877062</v>
      </c>
    </row>
    <row r="18216" spans="1:2" x14ac:dyDescent="0.25">
      <c r="A18216" s="2">
        <v>18211</v>
      </c>
      <c r="B18216" s="3" t="str">
        <f>"00877121"</f>
        <v>00877121</v>
      </c>
    </row>
    <row r="18217" spans="1:2" x14ac:dyDescent="0.25">
      <c r="A18217" s="2">
        <v>18212</v>
      </c>
      <c r="B18217" s="3" t="str">
        <f>"00877203"</f>
        <v>00877203</v>
      </c>
    </row>
    <row r="18218" spans="1:2" x14ac:dyDescent="0.25">
      <c r="A18218" s="2">
        <v>18213</v>
      </c>
      <c r="B18218" s="3" t="str">
        <f>"00877301"</f>
        <v>00877301</v>
      </c>
    </row>
    <row r="18219" spans="1:2" x14ac:dyDescent="0.25">
      <c r="A18219" s="2">
        <v>18214</v>
      </c>
      <c r="B18219" s="3" t="str">
        <f>"00877337"</f>
        <v>00877337</v>
      </c>
    </row>
    <row r="18220" spans="1:2" x14ac:dyDescent="0.25">
      <c r="A18220" s="2">
        <v>18215</v>
      </c>
      <c r="B18220" s="3" t="str">
        <f>"00877475"</f>
        <v>00877475</v>
      </c>
    </row>
    <row r="18221" spans="1:2" x14ac:dyDescent="0.25">
      <c r="A18221" s="2">
        <v>18216</v>
      </c>
      <c r="B18221" s="3" t="str">
        <f>"00877488"</f>
        <v>00877488</v>
      </c>
    </row>
    <row r="18222" spans="1:2" x14ac:dyDescent="0.25">
      <c r="A18222" s="2">
        <v>18217</v>
      </c>
      <c r="B18222" s="3" t="str">
        <f>"00877592"</f>
        <v>00877592</v>
      </c>
    </row>
    <row r="18223" spans="1:2" x14ac:dyDescent="0.25">
      <c r="A18223" s="2">
        <v>18218</v>
      </c>
      <c r="B18223" s="3" t="str">
        <f>"00877652"</f>
        <v>00877652</v>
      </c>
    </row>
    <row r="18224" spans="1:2" x14ac:dyDescent="0.25">
      <c r="A18224" s="2">
        <v>18219</v>
      </c>
      <c r="B18224" s="3" t="str">
        <f>"00877696"</f>
        <v>00877696</v>
      </c>
    </row>
    <row r="18225" spans="1:2" x14ac:dyDescent="0.25">
      <c r="A18225" s="2">
        <v>18220</v>
      </c>
      <c r="B18225" s="3" t="str">
        <f>"00877839"</f>
        <v>00877839</v>
      </c>
    </row>
    <row r="18226" spans="1:2" x14ac:dyDescent="0.25">
      <c r="A18226" s="2">
        <v>18221</v>
      </c>
      <c r="B18226" s="3" t="str">
        <f>"00877907"</f>
        <v>00877907</v>
      </c>
    </row>
    <row r="18227" spans="1:2" x14ac:dyDescent="0.25">
      <c r="A18227" s="2">
        <v>18222</v>
      </c>
      <c r="B18227" s="3" t="str">
        <f>"00878025"</f>
        <v>00878025</v>
      </c>
    </row>
    <row r="18228" spans="1:2" x14ac:dyDescent="0.25">
      <c r="A18228" s="2">
        <v>18223</v>
      </c>
      <c r="B18228" s="3" t="str">
        <f>"00878045"</f>
        <v>00878045</v>
      </c>
    </row>
    <row r="18229" spans="1:2" x14ac:dyDescent="0.25">
      <c r="A18229" s="2">
        <v>18224</v>
      </c>
      <c r="B18229" s="3" t="str">
        <f>"00878169"</f>
        <v>00878169</v>
      </c>
    </row>
    <row r="18230" spans="1:2" x14ac:dyDescent="0.25">
      <c r="A18230" s="2">
        <v>18225</v>
      </c>
      <c r="B18230" s="3" t="str">
        <f>"00878193"</f>
        <v>00878193</v>
      </c>
    </row>
    <row r="18231" spans="1:2" x14ac:dyDescent="0.25">
      <c r="A18231" s="2">
        <v>18226</v>
      </c>
      <c r="B18231" s="3" t="str">
        <f>"00878207"</f>
        <v>00878207</v>
      </c>
    </row>
    <row r="18232" spans="1:2" x14ac:dyDescent="0.25">
      <c r="A18232" s="2">
        <v>18227</v>
      </c>
      <c r="B18232" s="3" t="str">
        <f>"00878252"</f>
        <v>00878252</v>
      </c>
    </row>
    <row r="18233" spans="1:2" x14ac:dyDescent="0.25">
      <c r="A18233" s="2">
        <v>18228</v>
      </c>
      <c r="B18233" s="3" t="str">
        <f>"00878284"</f>
        <v>00878284</v>
      </c>
    </row>
    <row r="18234" spans="1:2" x14ac:dyDescent="0.25">
      <c r="A18234" s="2">
        <v>18229</v>
      </c>
      <c r="B18234" s="3" t="str">
        <f>"00878316"</f>
        <v>00878316</v>
      </c>
    </row>
    <row r="18235" spans="1:2" x14ac:dyDescent="0.25">
      <c r="A18235" s="2">
        <v>18230</v>
      </c>
      <c r="B18235" s="3" t="str">
        <f>"00878377"</f>
        <v>00878377</v>
      </c>
    </row>
    <row r="18236" spans="1:2" x14ac:dyDescent="0.25">
      <c r="A18236" s="2">
        <v>18231</v>
      </c>
      <c r="B18236" s="3" t="str">
        <f>"00878399"</f>
        <v>00878399</v>
      </c>
    </row>
    <row r="18237" spans="1:2" x14ac:dyDescent="0.25">
      <c r="A18237" s="2">
        <v>18232</v>
      </c>
      <c r="B18237" s="3" t="str">
        <f>"00878460"</f>
        <v>00878460</v>
      </c>
    </row>
    <row r="18238" spans="1:2" x14ac:dyDescent="0.25">
      <c r="A18238" s="2">
        <v>18233</v>
      </c>
      <c r="B18238" s="3" t="str">
        <f>"00878512"</f>
        <v>00878512</v>
      </c>
    </row>
    <row r="18239" spans="1:2" x14ac:dyDescent="0.25">
      <c r="A18239" s="2">
        <v>18234</v>
      </c>
      <c r="B18239" s="3" t="str">
        <f>"00878578"</f>
        <v>00878578</v>
      </c>
    </row>
    <row r="18240" spans="1:2" x14ac:dyDescent="0.25">
      <c r="A18240" s="2">
        <v>18235</v>
      </c>
      <c r="B18240" s="3" t="str">
        <f>"00878607"</f>
        <v>00878607</v>
      </c>
    </row>
    <row r="18241" spans="1:2" x14ac:dyDescent="0.25">
      <c r="A18241" s="2">
        <v>18236</v>
      </c>
      <c r="B18241" s="3" t="str">
        <f>"00878610"</f>
        <v>00878610</v>
      </c>
    </row>
    <row r="18242" spans="1:2" x14ac:dyDescent="0.25">
      <c r="A18242" s="2">
        <v>18237</v>
      </c>
      <c r="B18242" s="3" t="str">
        <f>"00878652"</f>
        <v>00878652</v>
      </c>
    </row>
    <row r="18243" spans="1:2" x14ac:dyDescent="0.25">
      <c r="A18243" s="2">
        <v>18238</v>
      </c>
      <c r="B18243" s="3" t="str">
        <f>"00878655"</f>
        <v>00878655</v>
      </c>
    </row>
    <row r="18244" spans="1:2" x14ac:dyDescent="0.25">
      <c r="A18244" s="2">
        <v>18239</v>
      </c>
      <c r="B18244" s="3" t="str">
        <f>"00878663"</f>
        <v>00878663</v>
      </c>
    </row>
    <row r="18245" spans="1:2" x14ac:dyDescent="0.25">
      <c r="A18245" s="2">
        <v>18240</v>
      </c>
      <c r="B18245" s="3" t="str">
        <f>"00878690"</f>
        <v>00878690</v>
      </c>
    </row>
    <row r="18246" spans="1:2" x14ac:dyDescent="0.25">
      <c r="A18246" s="2">
        <v>18241</v>
      </c>
      <c r="B18246" s="3" t="str">
        <f>"00878759"</f>
        <v>00878759</v>
      </c>
    </row>
    <row r="18247" spans="1:2" x14ac:dyDescent="0.25">
      <c r="A18247" s="2">
        <v>18242</v>
      </c>
      <c r="B18247" s="3" t="str">
        <f>"00878803"</f>
        <v>00878803</v>
      </c>
    </row>
    <row r="18248" spans="1:2" x14ac:dyDescent="0.25">
      <c r="A18248" s="2">
        <v>18243</v>
      </c>
      <c r="B18248" s="3" t="str">
        <f>"00878805"</f>
        <v>00878805</v>
      </c>
    </row>
    <row r="18249" spans="1:2" x14ac:dyDescent="0.25">
      <c r="A18249" s="2">
        <v>18244</v>
      </c>
      <c r="B18249" s="3" t="str">
        <f>"00878841"</f>
        <v>00878841</v>
      </c>
    </row>
    <row r="18250" spans="1:2" x14ac:dyDescent="0.25">
      <c r="A18250" s="2">
        <v>18245</v>
      </c>
      <c r="B18250" s="3" t="str">
        <f>"00878867"</f>
        <v>00878867</v>
      </c>
    </row>
    <row r="18251" spans="1:2" x14ac:dyDescent="0.25">
      <c r="A18251" s="2">
        <v>18246</v>
      </c>
      <c r="B18251" s="3" t="str">
        <f>"00878895"</f>
        <v>00878895</v>
      </c>
    </row>
    <row r="18252" spans="1:2" x14ac:dyDescent="0.25">
      <c r="A18252" s="2">
        <v>18247</v>
      </c>
      <c r="B18252" s="3" t="str">
        <f>"00878912"</f>
        <v>00878912</v>
      </c>
    </row>
    <row r="18253" spans="1:2" x14ac:dyDescent="0.25">
      <c r="A18253" s="2">
        <v>18248</v>
      </c>
      <c r="B18253" s="3" t="str">
        <f>"00878930"</f>
        <v>00878930</v>
      </c>
    </row>
    <row r="18254" spans="1:2" x14ac:dyDescent="0.25">
      <c r="A18254" s="2">
        <v>18249</v>
      </c>
      <c r="B18254" s="3" t="str">
        <f>"00878946"</f>
        <v>00878946</v>
      </c>
    </row>
    <row r="18255" spans="1:2" x14ac:dyDescent="0.25">
      <c r="A18255" s="2">
        <v>18250</v>
      </c>
      <c r="B18255" s="3" t="str">
        <f>"00878994"</f>
        <v>00878994</v>
      </c>
    </row>
    <row r="18256" spans="1:2" x14ac:dyDescent="0.25">
      <c r="A18256" s="2">
        <v>18251</v>
      </c>
      <c r="B18256" s="3" t="str">
        <f>"00879003"</f>
        <v>00879003</v>
      </c>
    </row>
    <row r="18257" spans="1:2" x14ac:dyDescent="0.25">
      <c r="A18257" s="2">
        <v>18252</v>
      </c>
      <c r="B18257" s="3" t="str">
        <f>"00879026"</f>
        <v>00879026</v>
      </c>
    </row>
    <row r="18258" spans="1:2" x14ac:dyDescent="0.25">
      <c r="A18258" s="2">
        <v>18253</v>
      </c>
      <c r="B18258" s="3" t="str">
        <f>"00879033"</f>
        <v>00879033</v>
      </c>
    </row>
    <row r="18259" spans="1:2" x14ac:dyDescent="0.25">
      <c r="A18259" s="2">
        <v>18254</v>
      </c>
      <c r="B18259" s="3" t="str">
        <f>"00879089"</f>
        <v>00879089</v>
      </c>
    </row>
    <row r="18260" spans="1:2" x14ac:dyDescent="0.25">
      <c r="A18260" s="2">
        <v>18255</v>
      </c>
      <c r="B18260" s="3" t="str">
        <f>"00879104"</f>
        <v>00879104</v>
      </c>
    </row>
    <row r="18261" spans="1:2" x14ac:dyDescent="0.25">
      <c r="A18261" s="2">
        <v>18256</v>
      </c>
      <c r="B18261" s="3" t="str">
        <f>"00879243"</f>
        <v>00879243</v>
      </c>
    </row>
    <row r="18262" spans="1:2" x14ac:dyDescent="0.25">
      <c r="A18262" s="2">
        <v>18257</v>
      </c>
      <c r="B18262" s="3" t="str">
        <f>"00879355"</f>
        <v>00879355</v>
      </c>
    </row>
    <row r="18263" spans="1:2" x14ac:dyDescent="0.25">
      <c r="A18263" s="2">
        <v>18258</v>
      </c>
      <c r="B18263" s="3" t="str">
        <f>"00879551"</f>
        <v>00879551</v>
      </c>
    </row>
    <row r="18264" spans="1:2" x14ac:dyDescent="0.25">
      <c r="A18264" s="2">
        <v>18259</v>
      </c>
      <c r="B18264" s="3" t="str">
        <f>"00879558"</f>
        <v>00879558</v>
      </c>
    </row>
    <row r="18265" spans="1:2" x14ac:dyDescent="0.25">
      <c r="A18265" s="2">
        <v>18260</v>
      </c>
      <c r="B18265" s="3" t="str">
        <f>"00879671"</f>
        <v>00879671</v>
      </c>
    </row>
    <row r="18266" spans="1:2" x14ac:dyDescent="0.25">
      <c r="A18266" s="2">
        <v>18261</v>
      </c>
      <c r="B18266" s="3" t="str">
        <f>"00879693"</f>
        <v>00879693</v>
      </c>
    </row>
    <row r="18267" spans="1:2" x14ac:dyDescent="0.25">
      <c r="A18267" s="2">
        <v>18262</v>
      </c>
      <c r="B18267" s="3" t="str">
        <f>"00879739"</f>
        <v>00879739</v>
      </c>
    </row>
    <row r="18268" spans="1:2" x14ac:dyDescent="0.25">
      <c r="A18268" s="2">
        <v>18263</v>
      </c>
      <c r="B18268" s="3" t="str">
        <f>"00879741"</f>
        <v>00879741</v>
      </c>
    </row>
    <row r="18269" spans="1:2" x14ac:dyDescent="0.25">
      <c r="A18269" s="2">
        <v>18264</v>
      </c>
      <c r="B18269" s="3" t="str">
        <f>"00879815"</f>
        <v>00879815</v>
      </c>
    </row>
    <row r="18270" spans="1:2" x14ac:dyDescent="0.25">
      <c r="A18270" s="2">
        <v>18265</v>
      </c>
      <c r="B18270" s="3" t="str">
        <f>"00879925"</f>
        <v>00879925</v>
      </c>
    </row>
    <row r="18271" spans="1:2" x14ac:dyDescent="0.25">
      <c r="A18271" s="2">
        <v>18266</v>
      </c>
      <c r="B18271" s="3" t="str">
        <f>"00879956"</f>
        <v>00879956</v>
      </c>
    </row>
    <row r="18272" spans="1:2" x14ac:dyDescent="0.25">
      <c r="A18272" s="2">
        <v>18267</v>
      </c>
      <c r="B18272" s="3" t="str">
        <f>"00880021"</f>
        <v>00880021</v>
      </c>
    </row>
    <row r="18273" spans="1:2" x14ac:dyDescent="0.25">
      <c r="A18273" s="2">
        <v>18268</v>
      </c>
      <c r="B18273" s="3" t="str">
        <f>"00880037"</f>
        <v>00880037</v>
      </c>
    </row>
    <row r="18274" spans="1:2" x14ac:dyDescent="0.25">
      <c r="A18274" s="2">
        <v>18269</v>
      </c>
      <c r="B18274" s="3" t="str">
        <f>"00880054"</f>
        <v>00880054</v>
      </c>
    </row>
    <row r="18275" spans="1:2" x14ac:dyDescent="0.25">
      <c r="A18275" s="2">
        <v>18270</v>
      </c>
      <c r="B18275" s="3" t="str">
        <f>"00880081"</f>
        <v>00880081</v>
      </c>
    </row>
    <row r="18276" spans="1:2" x14ac:dyDescent="0.25">
      <c r="A18276" s="2">
        <v>18271</v>
      </c>
      <c r="B18276" s="3" t="str">
        <f>"00880160"</f>
        <v>00880160</v>
      </c>
    </row>
    <row r="18277" spans="1:2" x14ac:dyDescent="0.25">
      <c r="A18277" s="2">
        <v>18272</v>
      </c>
      <c r="B18277" s="3" t="str">
        <f>"00880257"</f>
        <v>00880257</v>
      </c>
    </row>
    <row r="18278" spans="1:2" x14ac:dyDescent="0.25">
      <c r="A18278" s="2">
        <v>18273</v>
      </c>
      <c r="B18278" s="3" t="str">
        <f>"00880268"</f>
        <v>00880268</v>
      </c>
    </row>
    <row r="18279" spans="1:2" x14ac:dyDescent="0.25">
      <c r="A18279" s="2">
        <v>18274</v>
      </c>
      <c r="B18279" s="3" t="str">
        <f>"00880310"</f>
        <v>00880310</v>
      </c>
    </row>
    <row r="18280" spans="1:2" x14ac:dyDescent="0.25">
      <c r="A18280" s="2">
        <v>18275</v>
      </c>
      <c r="B18280" s="3" t="str">
        <f>"00880429"</f>
        <v>00880429</v>
      </c>
    </row>
    <row r="18281" spans="1:2" x14ac:dyDescent="0.25">
      <c r="A18281" s="2">
        <v>18276</v>
      </c>
      <c r="B18281" s="3" t="str">
        <f>"00880476"</f>
        <v>00880476</v>
      </c>
    </row>
    <row r="18282" spans="1:2" x14ac:dyDescent="0.25">
      <c r="A18282" s="2">
        <v>18277</v>
      </c>
      <c r="B18282" s="3" t="str">
        <f>"00880528"</f>
        <v>00880528</v>
      </c>
    </row>
    <row r="18283" spans="1:2" x14ac:dyDescent="0.25">
      <c r="A18283" s="2">
        <v>18278</v>
      </c>
      <c r="B18283" s="3" t="str">
        <f>"00880581"</f>
        <v>00880581</v>
      </c>
    </row>
    <row r="18284" spans="1:2" x14ac:dyDescent="0.25">
      <c r="A18284" s="2">
        <v>18279</v>
      </c>
      <c r="B18284" s="3" t="str">
        <f>"00880640"</f>
        <v>00880640</v>
      </c>
    </row>
    <row r="18285" spans="1:2" x14ac:dyDescent="0.25">
      <c r="A18285" s="2">
        <v>18280</v>
      </c>
      <c r="B18285" s="3" t="str">
        <f>"00880733"</f>
        <v>00880733</v>
      </c>
    </row>
    <row r="18286" spans="1:2" x14ac:dyDescent="0.25">
      <c r="A18286" s="2">
        <v>18281</v>
      </c>
      <c r="B18286" s="3" t="str">
        <f>"00880753"</f>
        <v>00880753</v>
      </c>
    </row>
    <row r="18287" spans="1:2" x14ac:dyDescent="0.25">
      <c r="A18287" s="2">
        <v>18282</v>
      </c>
      <c r="B18287" s="3" t="str">
        <f>"00880771"</f>
        <v>00880771</v>
      </c>
    </row>
    <row r="18288" spans="1:2" x14ac:dyDescent="0.25">
      <c r="A18288" s="2">
        <v>18283</v>
      </c>
      <c r="B18288" s="3" t="str">
        <f>"00880814"</f>
        <v>00880814</v>
      </c>
    </row>
    <row r="18289" spans="1:2" x14ac:dyDescent="0.25">
      <c r="A18289" s="2">
        <v>18284</v>
      </c>
      <c r="B18289" s="3" t="str">
        <f>"00880914"</f>
        <v>00880914</v>
      </c>
    </row>
    <row r="18290" spans="1:2" x14ac:dyDescent="0.25">
      <c r="A18290" s="2">
        <v>18285</v>
      </c>
      <c r="B18290" s="3" t="str">
        <f>"00881232"</f>
        <v>00881232</v>
      </c>
    </row>
    <row r="18291" spans="1:2" x14ac:dyDescent="0.25">
      <c r="A18291" s="2">
        <v>18286</v>
      </c>
      <c r="B18291" s="3" t="str">
        <f>"00881234"</f>
        <v>00881234</v>
      </c>
    </row>
    <row r="18292" spans="1:2" x14ac:dyDescent="0.25">
      <c r="A18292" s="2">
        <v>18287</v>
      </c>
      <c r="B18292" s="3" t="str">
        <f>"00881287"</f>
        <v>00881287</v>
      </c>
    </row>
    <row r="18293" spans="1:2" x14ac:dyDescent="0.25">
      <c r="A18293" s="2">
        <v>18288</v>
      </c>
      <c r="B18293" s="3" t="str">
        <f>"00881366"</f>
        <v>00881366</v>
      </c>
    </row>
    <row r="18294" spans="1:2" x14ac:dyDescent="0.25">
      <c r="A18294" s="2">
        <v>18289</v>
      </c>
      <c r="B18294" s="3" t="str">
        <f>"00881409"</f>
        <v>00881409</v>
      </c>
    </row>
    <row r="18295" spans="1:2" x14ac:dyDescent="0.25">
      <c r="A18295" s="2">
        <v>18290</v>
      </c>
      <c r="B18295" s="3" t="str">
        <f>"00881433"</f>
        <v>00881433</v>
      </c>
    </row>
    <row r="18296" spans="1:2" x14ac:dyDescent="0.25">
      <c r="A18296" s="2">
        <v>18291</v>
      </c>
      <c r="B18296" s="3" t="str">
        <f>"00881565"</f>
        <v>00881565</v>
      </c>
    </row>
    <row r="18297" spans="1:2" x14ac:dyDescent="0.25">
      <c r="A18297" s="2">
        <v>18292</v>
      </c>
      <c r="B18297" s="3" t="str">
        <f>"00881640"</f>
        <v>00881640</v>
      </c>
    </row>
    <row r="18298" spans="1:2" x14ac:dyDescent="0.25">
      <c r="A18298" s="2">
        <v>18293</v>
      </c>
      <c r="B18298" s="3" t="str">
        <f>"00881864"</f>
        <v>00881864</v>
      </c>
    </row>
    <row r="18299" spans="1:2" x14ac:dyDescent="0.25">
      <c r="A18299" s="2">
        <v>18294</v>
      </c>
      <c r="B18299" s="3" t="str">
        <f>"00881982"</f>
        <v>00881982</v>
      </c>
    </row>
    <row r="18300" spans="1:2" x14ac:dyDescent="0.25">
      <c r="A18300" s="2">
        <v>18295</v>
      </c>
      <c r="B18300" s="3" t="str">
        <f>"00881988"</f>
        <v>00881988</v>
      </c>
    </row>
    <row r="18301" spans="1:2" x14ac:dyDescent="0.25">
      <c r="A18301" s="2">
        <v>18296</v>
      </c>
      <c r="B18301" s="3" t="str">
        <f>"00882021"</f>
        <v>00882021</v>
      </c>
    </row>
    <row r="18302" spans="1:2" x14ac:dyDescent="0.25">
      <c r="A18302" s="2">
        <v>18297</v>
      </c>
      <c r="B18302" s="3" t="str">
        <f>"00882073"</f>
        <v>00882073</v>
      </c>
    </row>
    <row r="18303" spans="1:2" x14ac:dyDescent="0.25">
      <c r="A18303" s="2">
        <v>18298</v>
      </c>
      <c r="B18303" s="3" t="str">
        <f>"00882129"</f>
        <v>00882129</v>
      </c>
    </row>
    <row r="18304" spans="1:2" x14ac:dyDescent="0.25">
      <c r="A18304" s="2">
        <v>18299</v>
      </c>
      <c r="B18304" s="3" t="str">
        <f>"00882171"</f>
        <v>00882171</v>
      </c>
    </row>
    <row r="18305" spans="1:2" x14ac:dyDescent="0.25">
      <c r="A18305" s="2">
        <v>18300</v>
      </c>
      <c r="B18305" s="3" t="str">
        <f>"00882206"</f>
        <v>00882206</v>
      </c>
    </row>
    <row r="18306" spans="1:2" x14ac:dyDescent="0.25">
      <c r="A18306" s="2">
        <v>18301</v>
      </c>
      <c r="B18306" s="3" t="str">
        <f>"00882250"</f>
        <v>00882250</v>
      </c>
    </row>
    <row r="18307" spans="1:2" x14ac:dyDescent="0.25">
      <c r="A18307" s="2">
        <v>18302</v>
      </c>
      <c r="B18307" s="3" t="str">
        <f>"00882298"</f>
        <v>00882298</v>
      </c>
    </row>
    <row r="18308" spans="1:2" x14ac:dyDescent="0.25">
      <c r="A18308" s="2">
        <v>18303</v>
      </c>
      <c r="B18308" s="3" t="str">
        <f>"00882341"</f>
        <v>00882341</v>
      </c>
    </row>
    <row r="18309" spans="1:2" x14ac:dyDescent="0.25">
      <c r="A18309" s="2">
        <v>18304</v>
      </c>
      <c r="B18309" s="3" t="str">
        <f>"00882362"</f>
        <v>00882362</v>
      </c>
    </row>
    <row r="18310" spans="1:2" x14ac:dyDescent="0.25">
      <c r="A18310" s="2">
        <v>18305</v>
      </c>
      <c r="B18310" s="3" t="str">
        <f>"00882410"</f>
        <v>00882410</v>
      </c>
    </row>
    <row r="18311" spans="1:2" x14ac:dyDescent="0.25">
      <c r="A18311" s="2">
        <v>18306</v>
      </c>
      <c r="B18311" s="3" t="str">
        <f>"00882420"</f>
        <v>00882420</v>
      </c>
    </row>
    <row r="18312" spans="1:2" x14ac:dyDescent="0.25">
      <c r="A18312" s="2">
        <v>18307</v>
      </c>
      <c r="B18312" s="3" t="str">
        <f>"00882444"</f>
        <v>00882444</v>
      </c>
    </row>
    <row r="18313" spans="1:2" x14ac:dyDescent="0.25">
      <c r="A18313" s="2">
        <v>18308</v>
      </c>
      <c r="B18313" s="3" t="str">
        <f>"00882454"</f>
        <v>00882454</v>
      </c>
    </row>
    <row r="18314" spans="1:2" x14ac:dyDescent="0.25">
      <c r="A18314" s="2">
        <v>18309</v>
      </c>
      <c r="B18314" s="3" t="str">
        <f>"00882518"</f>
        <v>00882518</v>
      </c>
    </row>
    <row r="18315" spans="1:2" x14ac:dyDescent="0.25">
      <c r="A18315" s="2">
        <v>18310</v>
      </c>
      <c r="B18315" s="3" t="str">
        <f>"00882545"</f>
        <v>00882545</v>
      </c>
    </row>
    <row r="18316" spans="1:2" x14ac:dyDescent="0.25">
      <c r="A18316" s="2">
        <v>18311</v>
      </c>
      <c r="B18316" s="3" t="str">
        <f>"00882563"</f>
        <v>00882563</v>
      </c>
    </row>
    <row r="18317" spans="1:2" x14ac:dyDescent="0.25">
      <c r="A18317" s="2">
        <v>18312</v>
      </c>
      <c r="B18317" s="3" t="str">
        <f>"00882602"</f>
        <v>00882602</v>
      </c>
    </row>
    <row r="18318" spans="1:2" x14ac:dyDescent="0.25">
      <c r="A18318" s="2">
        <v>18313</v>
      </c>
      <c r="B18318" s="3" t="str">
        <f>"00882677"</f>
        <v>00882677</v>
      </c>
    </row>
    <row r="18319" spans="1:2" x14ac:dyDescent="0.25">
      <c r="A18319" s="2">
        <v>18314</v>
      </c>
      <c r="B18319" s="3" t="str">
        <f>"00882683"</f>
        <v>00882683</v>
      </c>
    </row>
    <row r="18320" spans="1:2" x14ac:dyDescent="0.25">
      <c r="A18320" s="2">
        <v>18315</v>
      </c>
      <c r="B18320" s="3" t="str">
        <f>"00882847"</f>
        <v>00882847</v>
      </c>
    </row>
    <row r="18321" spans="1:2" x14ac:dyDescent="0.25">
      <c r="A18321" s="2">
        <v>18316</v>
      </c>
      <c r="B18321" s="3" t="str">
        <f>"00882869"</f>
        <v>00882869</v>
      </c>
    </row>
    <row r="18322" spans="1:2" x14ac:dyDescent="0.25">
      <c r="A18322" s="2">
        <v>18317</v>
      </c>
      <c r="B18322" s="3" t="str">
        <f>"00882878"</f>
        <v>00882878</v>
      </c>
    </row>
    <row r="18323" spans="1:2" x14ac:dyDescent="0.25">
      <c r="A18323" s="2">
        <v>18318</v>
      </c>
      <c r="B18323" s="3" t="str">
        <f>"00882957"</f>
        <v>00882957</v>
      </c>
    </row>
    <row r="18324" spans="1:2" x14ac:dyDescent="0.25">
      <c r="A18324" s="2">
        <v>18319</v>
      </c>
      <c r="B18324" s="3" t="str">
        <f>"00882960"</f>
        <v>00882960</v>
      </c>
    </row>
    <row r="18325" spans="1:2" x14ac:dyDescent="0.25">
      <c r="A18325" s="2">
        <v>18320</v>
      </c>
      <c r="B18325" s="3" t="str">
        <f>"00882972"</f>
        <v>00882972</v>
      </c>
    </row>
    <row r="18326" spans="1:2" x14ac:dyDescent="0.25">
      <c r="A18326" s="2">
        <v>18321</v>
      </c>
      <c r="B18326" s="3" t="str">
        <f>"00883025"</f>
        <v>00883025</v>
      </c>
    </row>
    <row r="18327" spans="1:2" x14ac:dyDescent="0.25">
      <c r="A18327" s="2">
        <v>18322</v>
      </c>
      <c r="B18327" s="3" t="str">
        <f>"00883050"</f>
        <v>00883050</v>
      </c>
    </row>
    <row r="18328" spans="1:2" x14ac:dyDescent="0.25">
      <c r="A18328" s="2">
        <v>18323</v>
      </c>
      <c r="B18328" s="3" t="str">
        <f>"00883059"</f>
        <v>00883059</v>
      </c>
    </row>
    <row r="18329" spans="1:2" x14ac:dyDescent="0.25">
      <c r="A18329" s="2">
        <v>18324</v>
      </c>
      <c r="B18329" s="3" t="str">
        <f>"00883157"</f>
        <v>00883157</v>
      </c>
    </row>
    <row r="18330" spans="1:2" x14ac:dyDescent="0.25">
      <c r="A18330" s="2">
        <v>18325</v>
      </c>
      <c r="B18330" s="3" t="str">
        <f>"00883234"</f>
        <v>00883234</v>
      </c>
    </row>
    <row r="18331" spans="1:2" x14ac:dyDescent="0.25">
      <c r="A18331" s="2">
        <v>18326</v>
      </c>
      <c r="B18331" s="3" t="str">
        <f>"00883245"</f>
        <v>00883245</v>
      </c>
    </row>
    <row r="18332" spans="1:2" x14ac:dyDescent="0.25">
      <c r="A18332" s="2">
        <v>18327</v>
      </c>
      <c r="B18332" s="3" t="str">
        <f>"00883251"</f>
        <v>00883251</v>
      </c>
    </row>
    <row r="18333" spans="1:2" x14ac:dyDescent="0.25">
      <c r="A18333" s="2">
        <v>18328</v>
      </c>
      <c r="B18333" s="3" t="str">
        <f>"00883262"</f>
        <v>00883262</v>
      </c>
    </row>
    <row r="18334" spans="1:2" x14ac:dyDescent="0.25">
      <c r="A18334" s="2">
        <v>18329</v>
      </c>
      <c r="B18334" s="3" t="str">
        <f>"00883301"</f>
        <v>00883301</v>
      </c>
    </row>
    <row r="18335" spans="1:2" x14ac:dyDescent="0.25">
      <c r="A18335" s="2">
        <v>18330</v>
      </c>
      <c r="B18335" s="3" t="str">
        <f>"00883315"</f>
        <v>00883315</v>
      </c>
    </row>
    <row r="18336" spans="1:2" x14ac:dyDescent="0.25">
      <c r="A18336" s="2">
        <v>18331</v>
      </c>
      <c r="B18336" s="3" t="str">
        <f>"00883350"</f>
        <v>00883350</v>
      </c>
    </row>
    <row r="18337" spans="1:2" x14ac:dyDescent="0.25">
      <c r="A18337" s="2">
        <v>18332</v>
      </c>
      <c r="B18337" s="3" t="str">
        <f>"00883425"</f>
        <v>00883425</v>
      </c>
    </row>
    <row r="18338" spans="1:2" x14ac:dyDescent="0.25">
      <c r="A18338" s="2">
        <v>18333</v>
      </c>
      <c r="B18338" s="3" t="str">
        <f>"00883450"</f>
        <v>00883450</v>
      </c>
    </row>
    <row r="18339" spans="1:2" x14ac:dyDescent="0.25">
      <c r="A18339" s="2">
        <v>18334</v>
      </c>
      <c r="B18339" s="3" t="str">
        <f>"00883454"</f>
        <v>00883454</v>
      </c>
    </row>
    <row r="18340" spans="1:2" x14ac:dyDescent="0.25">
      <c r="A18340" s="2">
        <v>18335</v>
      </c>
      <c r="B18340" s="3" t="str">
        <f>"00883558"</f>
        <v>00883558</v>
      </c>
    </row>
    <row r="18341" spans="1:2" x14ac:dyDescent="0.25">
      <c r="A18341" s="2">
        <v>18336</v>
      </c>
      <c r="B18341" s="3" t="str">
        <f>"00883590"</f>
        <v>00883590</v>
      </c>
    </row>
    <row r="18342" spans="1:2" x14ac:dyDescent="0.25">
      <c r="A18342" s="2">
        <v>18337</v>
      </c>
      <c r="B18342" s="3" t="str">
        <f>"00883627"</f>
        <v>00883627</v>
      </c>
    </row>
    <row r="18343" spans="1:2" x14ac:dyDescent="0.25">
      <c r="A18343" s="2">
        <v>18338</v>
      </c>
      <c r="B18343" s="3" t="str">
        <f>"00883653"</f>
        <v>00883653</v>
      </c>
    </row>
    <row r="18344" spans="1:2" x14ac:dyDescent="0.25">
      <c r="A18344" s="2">
        <v>18339</v>
      </c>
      <c r="B18344" s="3" t="str">
        <f>"00883657"</f>
        <v>00883657</v>
      </c>
    </row>
    <row r="18345" spans="1:2" x14ac:dyDescent="0.25">
      <c r="A18345" s="2">
        <v>18340</v>
      </c>
      <c r="B18345" s="3" t="str">
        <f>"00883669"</f>
        <v>00883669</v>
      </c>
    </row>
    <row r="18346" spans="1:2" x14ac:dyDescent="0.25">
      <c r="A18346" s="2">
        <v>18341</v>
      </c>
      <c r="B18346" s="3" t="str">
        <f>"00883684"</f>
        <v>00883684</v>
      </c>
    </row>
    <row r="18347" spans="1:2" x14ac:dyDescent="0.25">
      <c r="A18347" s="2">
        <v>18342</v>
      </c>
      <c r="B18347" s="3" t="str">
        <f>"00883721"</f>
        <v>00883721</v>
      </c>
    </row>
    <row r="18348" spans="1:2" x14ac:dyDescent="0.25">
      <c r="A18348" s="2">
        <v>18343</v>
      </c>
      <c r="B18348" s="3" t="str">
        <f>"00883733"</f>
        <v>00883733</v>
      </c>
    </row>
    <row r="18349" spans="1:2" x14ac:dyDescent="0.25">
      <c r="A18349" s="2">
        <v>18344</v>
      </c>
      <c r="B18349" s="3" t="str">
        <f>"00883745"</f>
        <v>00883745</v>
      </c>
    </row>
    <row r="18350" spans="1:2" x14ac:dyDescent="0.25">
      <c r="A18350" s="2">
        <v>18345</v>
      </c>
      <c r="B18350" s="3" t="str">
        <f>"00883756"</f>
        <v>00883756</v>
      </c>
    </row>
    <row r="18351" spans="1:2" x14ac:dyDescent="0.25">
      <c r="A18351" s="2">
        <v>18346</v>
      </c>
      <c r="B18351" s="3" t="str">
        <f>"00883793"</f>
        <v>00883793</v>
      </c>
    </row>
    <row r="18352" spans="1:2" x14ac:dyDescent="0.25">
      <c r="A18352" s="2">
        <v>18347</v>
      </c>
      <c r="B18352" s="3" t="str">
        <f>"00883829"</f>
        <v>00883829</v>
      </c>
    </row>
    <row r="18353" spans="1:2" x14ac:dyDescent="0.25">
      <c r="A18353" s="2">
        <v>18348</v>
      </c>
      <c r="B18353" s="3" t="str">
        <f>"00883830"</f>
        <v>00883830</v>
      </c>
    </row>
    <row r="18354" spans="1:2" x14ac:dyDescent="0.25">
      <c r="A18354" s="2">
        <v>18349</v>
      </c>
      <c r="B18354" s="3" t="str">
        <f>"00883845"</f>
        <v>00883845</v>
      </c>
    </row>
    <row r="18355" spans="1:2" x14ac:dyDescent="0.25">
      <c r="A18355" s="2">
        <v>18350</v>
      </c>
      <c r="B18355" s="3" t="str">
        <f>"00883858"</f>
        <v>00883858</v>
      </c>
    </row>
    <row r="18356" spans="1:2" x14ac:dyDescent="0.25">
      <c r="A18356" s="2">
        <v>18351</v>
      </c>
      <c r="B18356" s="3" t="str">
        <f>"00883873"</f>
        <v>00883873</v>
      </c>
    </row>
    <row r="18357" spans="1:2" x14ac:dyDescent="0.25">
      <c r="A18357" s="2">
        <v>18352</v>
      </c>
      <c r="B18357" s="3" t="str">
        <f>"00883939"</f>
        <v>00883939</v>
      </c>
    </row>
    <row r="18358" spans="1:2" x14ac:dyDescent="0.25">
      <c r="A18358" s="2">
        <v>18353</v>
      </c>
      <c r="B18358" s="3" t="str">
        <f>"00883957"</f>
        <v>00883957</v>
      </c>
    </row>
    <row r="18359" spans="1:2" x14ac:dyDescent="0.25">
      <c r="A18359" s="2">
        <v>18354</v>
      </c>
      <c r="B18359" s="3" t="str">
        <f>"00883972"</f>
        <v>00883972</v>
      </c>
    </row>
    <row r="18360" spans="1:2" x14ac:dyDescent="0.25">
      <c r="A18360" s="2">
        <v>18355</v>
      </c>
      <c r="B18360" s="3" t="str">
        <f>"00884072"</f>
        <v>00884072</v>
      </c>
    </row>
    <row r="18361" spans="1:2" x14ac:dyDescent="0.25">
      <c r="A18361" s="2">
        <v>18356</v>
      </c>
      <c r="B18361" s="3" t="str">
        <f>"00884101"</f>
        <v>00884101</v>
      </c>
    </row>
    <row r="18362" spans="1:2" x14ac:dyDescent="0.25">
      <c r="A18362" s="2">
        <v>18357</v>
      </c>
      <c r="B18362" s="3" t="str">
        <f>"00884115"</f>
        <v>00884115</v>
      </c>
    </row>
    <row r="18363" spans="1:2" x14ac:dyDescent="0.25">
      <c r="A18363" s="2">
        <v>18358</v>
      </c>
      <c r="B18363" s="3" t="str">
        <f>"00884120"</f>
        <v>00884120</v>
      </c>
    </row>
    <row r="18364" spans="1:2" x14ac:dyDescent="0.25">
      <c r="A18364" s="2">
        <v>18359</v>
      </c>
      <c r="B18364" s="3" t="str">
        <f>"00884121"</f>
        <v>00884121</v>
      </c>
    </row>
    <row r="18365" spans="1:2" x14ac:dyDescent="0.25">
      <c r="A18365" s="2">
        <v>18360</v>
      </c>
      <c r="B18365" s="3" t="str">
        <f>"00884139"</f>
        <v>00884139</v>
      </c>
    </row>
    <row r="18366" spans="1:2" x14ac:dyDescent="0.25">
      <c r="A18366" s="2">
        <v>18361</v>
      </c>
      <c r="B18366" s="3" t="str">
        <f>"00884148"</f>
        <v>00884148</v>
      </c>
    </row>
    <row r="18367" spans="1:2" x14ac:dyDescent="0.25">
      <c r="A18367" s="2">
        <v>18362</v>
      </c>
      <c r="B18367" s="3" t="str">
        <f>"00884151"</f>
        <v>00884151</v>
      </c>
    </row>
    <row r="18368" spans="1:2" x14ac:dyDescent="0.25">
      <c r="A18368" s="2">
        <v>18363</v>
      </c>
      <c r="B18368" s="3" t="str">
        <f>"00884158"</f>
        <v>00884158</v>
      </c>
    </row>
    <row r="18369" spans="1:2" x14ac:dyDescent="0.25">
      <c r="A18369" s="2">
        <v>18364</v>
      </c>
      <c r="B18369" s="3" t="str">
        <f>"00884251"</f>
        <v>00884251</v>
      </c>
    </row>
    <row r="18370" spans="1:2" x14ac:dyDescent="0.25">
      <c r="A18370" s="2">
        <v>18365</v>
      </c>
      <c r="B18370" s="3" t="str">
        <f>"00884277"</f>
        <v>00884277</v>
      </c>
    </row>
    <row r="18371" spans="1:2" x14ac:dyDescent="0.25">
      <c r="A18371" s="2">
        <v>18366</v>
      </c>
      <c r="B18371" s="3" t="str">
        <f>"00884327"</f>
        <v>00884327</v>
      </c>
    </row>
    <row r="18372" spans="1:2" x14ac:dyDescent="0.25">
      <c r="A18372" s="2">
        <v>18367</v>
      </c>
      <c r="B18372" s="3" t="str">
        <f>"00884328"</f>
        <v>00884328</v>
      </c>
    </row>
    <row r="18373" spans="1:2" x14ac:dyDescent="0.25">
      <c r="A18373" s="2">
        <v>18368</v>
      </c>
      <c r="B18373" s="3" t="str">
        <f>"00884336"</f>
        <v>00884336</v>
      </c>
    </row>
    <row r="18374" spans="1:2" x14ac:dyDescent="0.25">
      <c r="A18374" s="2">
        <v>18369</v>
      </c>
      <c r="B18374" s="3" t="str">
        <f>"00884392"</f>
        <v>00884392</v>
      </c>
    </row>
    <row r="18375" spans="1:2" x14ac:dyDescent="0.25">
      <c r="A18375" s="2">
        <v>18370</v>
      </c>
      <c r="B18375" s="3" t="str">
        <f>"00884448"</f>
        <v>00884448</v>
      </c>
    </row>
    <row r="18376" spans="1:2" x14ac:dyDescent="0.25">
      <c r="A18376" s="2">
        <v>18371</v>
      </c>
      <c r="B18376" s="3" t="str">
        <f>"00884454"</f>
        <v>00884454</v>
      </c>
    </row>
    <row r="18377" spans="1:2" x14ac:dyDescent="0.25">
      <c r="A18377" s="2">
        <v>18372</v>
      </c>
      <c r="B18377" s="3" t="str">
        <f>"00884473"</f>
        <v>00884473</v>
      </c>
    </row>
    <row r="18378" spans="1:2" x14ac:dyDescent="0.25">
      <c r="A18378" s="2">
        <v>18373</v>
      </c>
      <c r="B18378" s="3" t="str">
        <f>"00884542"</f>
        <v>00884542</v>
      </c>
    </row>
    <row r="18379" spans="1:2" x14ac:dyDescent="0.25">
      <c r="A18379" s="2">
        <v>18374</v>
      </c>
      <c r="B18379" s="3" t="str">
        <f>"00884547"</f>
        <v>00884547</v>
      </c>
    </row>
    <row r="18380" spans="1:2" x14ac:dyDescent="0.25">
      <c r="A18380" s="2">
        <v>18375</v>
      </c>
      <c r="B18380" s="3" t="str">
        <f>"00884548"</f>
        <v>00884548</v>
      </c>
    </row>
    <row r="18381" spans="1:2" x14ac:dyDescent="0.25">
      <c r="A18381" s="2">
        <v>18376</v>
      </c>
      <c r="B18381" s="3" t="str">
        <f>"00884552"</f>
        <v>00884552</v>
      </c>
    </row>
    <row r="18382" spans="1:2" x14ac:dyDescent="0.25">
      <c r="A18382" s="2">
        <v>18377</v>
      </c>
      <c r="B18382" s="3" t="str">
        <f>"00884563"</f>
        <v>00884563</v>
      </c>
    </row>
    <row r="18383" spans="1:2" x14ac:dyDescent="0.25">
      <c r="A18383" s="2">
        <v>18378</v>
      </c>
      <c r="B18383" s="3" t="str">
        <f>"00884615"</f>
        <v>00884615</v>
      </c>
    </row>
    <row r="18384" spans="1:2" x14ac:dyDescent="0.25">
      <c r="A18384" s="2">
        <v>18379</v>
      </c>
      <c r="B18384" s="3" t="str">
        <f>"00884619"</f>
        <v>00884619</v>
      </c>
    </row>
    <row r="18385" spans="1:2" x14ac:dyDescent="0.25">
      <c r="A18385" s="2">
        <v>18380</v>
      </c>
      <c r="B18385" s="3" t="str">
        <f>"00884622"</f>
        <v>00884622</v>
      </c>
    </row>
    <row r="18386" spans="1:2" x14ac:dyDescent="0.25">
      <c r="A18386" s="2">
        <v>18381</v>
      </c>
      <c r="B18386" s="3" t="str">
        <f>"00884649"</f>
        <v>00884649</v>
      </c>
    </row>
    <row r="18387" spans="1:2" x14ac:dyDescent="0.25">
      <c r="A18387" s="2">
        <v>18382</v>
      </c>
      <c r="B18387" s="3" t="str">
        <f>"00884651"</f>
        <v>00884651</v>
      </c>
    </row>
    <row r="18388" spans="1:2" x14ac:dyDescent="0.25">
      <c r="A18388" s="2">
        <v>18383</v>
      </c>
      <c r="B18388" s="3" t="str">
        <f>"00884686"</f>
        <v>00884686</v>
      </c>
    </row>
    <row r="18389" spans="1:2" x14ac:dyDescent="0.25">
      <c r="A18389" s="2">
        <v>18384</v>
      </c>
      <c r="B18389" s="3" t="str">
        <f>"00884732"</f>
        <v>00884732</v>
      </c>
    </row>
    <row r="18390" spans="1:2" x14ac:dyDescent="0.25">
      <c r="A18390" s="2">
        <v>18385</v>
      </c>
      <c r="B18390" s="3" t="str">
        <f>"00884750"</f>
        <v>00884750</v>
      </c>
    </row>
    <row r="18391" spans="1:2" x14ac:dyDescent="0.25">
      <c r="A18391" s="2">
        <v>18386</v>
      </c>
      <c r="B18391" s="3" t="str">
        <f>"00884764"</f>
        <v>00884764</v>
      </c>
    </row>
    <row r="18392" spans="1:2" x14ac:dyDescent="0.25">
      <c r="A18392" s="2">
        <v>18387</v>
      </c>
      <c r="B18392" s="3" t="str">
        <f>"00884769"</f>
        <v>00884769</v>
      </c>
    </row>
    <row r="18393" spans="1:2" x14ac:dyDescent="0.25">
      <c r="A18393" s="2">
        <v>18388</v>
      </c>
      <c r="B18393" s="3" t="str">
        <f>"00884790"</f>
        <v>00884790</v>
      </c>
    </row>
    <row r="18394" spans="1:2" x14ac:dyDescent="0.25">
      <c r="A18394" s="2">
        <v>18389</v>
      </c>
      <c r="B18394" s="3" t="str">
        <f>"00884860"</f>
        <v>00884860</v>
      </c>
    </row>
    <row r="18395" spans="1:2" x14ac:dyDescent="0.25">
      <c r="A18395" s="2">
        <v>18390</v>
      </c>
      <c r="B18395" s="3" t="str">
        <f>"00884896"</f>
        <v>00884896</v>
      </c>
    </row>
    <row r="18396" spans="1:2" x14ac:dyDescent="0.25">
      <c r="A18396" s="2">
        <v>18391</v>
      </c>
      <c r="B18396" s="3" t="str">
        <f>"00884947"</f>
        <v>00884947</v>
      </c>
    </row>
    <row r="18397" spans="1:2" x14ac:dyDescent="0.25">
      <c r="A18397" s="2">
        <v>18392</v>
      </c>
      <c r="B18397" s="3" t="str">
        <f>"00884999"</f>
        <v>00884999</v>
      </c>
    </row>
    <row r="18398" spans="1:2" x14ac:dyDescent="0.25">
      <c r="A18398" s="2">
        <v>18393</v>
      </c>
      <c r="B18398" s="3" t="str">
        <f>"00885011"</f>
        <v>00885011</v>
      </c>
    </row>
    <row r="18399" spans="1:2" x14ac:dyDescent="0.25">
      <c r="A18399" s="2">
        <v>18394</v>
      </c>
      <c r="B18399" s="3" t="str">
        <f>"00885026"</f>
        <v>00885026</v>
      </c>
    </row>
    <row r="18400" spans="1:2" x14ac:dyDescent="0.25">
      <c r="A18400" s="2">
        <v>18395</v>
      </c>
      <c r="B18400" s="3" t="str">
        <f>"00885034"</f>
        <v>00885034</v>
      </c>
    </row>
    <row r="18401" spans="1:2" x14ac:dyDescent="0.25">
      <c r="A18401" s="2">
        <v>18396</v>
      </c>
      <c r="B18401" s="3" t="str">
        <f>"00885049"</f>
        <v>00885049</v>
      </c>
    </row>
    <row r="18402" spans="1:2" x14ac:dyDescent="0.25">
      <c r="A18402" s="2">
        <v>18397</v>
      </c>
      <c r="B18402" s="3" t="str">
        <f>"00885052"</f>
        <v>00885052</v>
      </c>
    </row>
    <row r="18403" spans="1:2" x14ac:dyDescent="0.25">
      <c r="A18403" s="2">
        <v>18398</v>
      </c>
      <c r="B18403" s="3" t="str">
        <f>"00885118"</f>
        <v>00885118</v>
      </c>
    </row>
    <row r="18404" spans="1:2" x14ac:dyDescent="0.25">
      <c r="A18404" s="2">
        <v>18399</v>
      </c>
      <c r="B18404" s="3" t="str">
        <f>"00885125"</f>
        <v>00885125</v>
      </c>
    </row>
    <row r="18405" spans="1:2" x14ac:dyDescent="0.25">
      <c r="A18405" s="2">
        <v>18400</v>
      </c>
      <c r="B18405" s="3" t="str">
        <f>"00885132"</f>
        <v>00885132</v>
      </c>
    </row>
    <row r="18406" spans="1:2" x14ac:dyDescent="0.25">
      <c r="A18406" s="2">
        <v>18401</v>
      </c>
      <c r="B18406" s="3" t="str">
        <f>"00885135"</f>
        <v>00885135</v>
      </c>
    </row>
    <row r="18407" spans="1:2" x14ac:dyDescent="0.25">
      <c r="A18407" s="2">
        <v>18402</v>
      </c>
      <c r="B18407" s="3" t="str">
        <f>"00885138"</f>
        <v>00885138</v>
      </c>
    </row>
    <row r="18408" spans="1:2" x14ac:dyDescent="0.25">
      <c r="A18408" s="2">
        <v>18403</v>
      </c>
      <c r="B18408" s="3" t="str">
        <f>"00885186"</f>
        <v>00885186</v>
      </c>
    </row>
    <row r="18409" spans="1:2" x14ac:dyDescent="0.25">
      <c r="A18409" s="2">
        <v>18404</v>
      </c>
      <c r="B18409" s="3" t="str">
        <f>"00885202"</f>
        <v>00885202</v>
      </c>
    </row>
    <row r="18410" spans="1:2" x14ac:dyDescent="0.25">
      <c r="A18410" s="2">
        <v>18405</v>
      </c>
      <c r="B18410" s="3" t="str">
        <f>"00885204"</f>
        <v>00885204</v>
      </c>
    </row>
    <row r="18411" spans="1:2" x14ac:dyDescent="0.25">
      <c r="A18411" s="2">
        <v>18406</v>
      </c>
      <c r="B18411" s="3" t="str">
        <f>"00885222"</f>
        <v>00885222</v>
      </c>
    </row>
    <row r="18412" spans="1:2" x14ac:dyDescent="0.25">
      <c r="A18412" s="2">
        <v>18407</v>
      </c>
      <c r="B18412" s="3" t="str">
        <f>"00885253"</f>
        <v>00885253</v>
      </c>
    </row>
    <row r="18413" spans="1:2" x14ac:dyDescent="0.25">
      <c r="A18413" s="2">
        <v>18408</v>
      </c>
      <c r="B18413" s="3" t="str">
        <f>"00885284"</f>
        <v>00885284</v>
      </c>
    </row>
    <row r="18414" spans="1:2" x14ac:dyDescent="0.25">
      <c r="A18414" s="2">
        <v>18409</v>
      </c>
      <c r="B18414" s="3" t="str">
        <f>"00885301"</f>
        <v>00885301</v>
      </c>
    </row>
    <row r="18415" spans="1:2" x14ac:dyDescent="0.25">
      <c r="A18415" s="2">
        <v>18410</v>
      </c>
      <c r="B18415" s="3" t="str">
        <f>"00885347"</f>
        <v>00885347</v>
      </c>
    </row>
    <row r="18416" spans="1:2" x14ac:dyDescent="0.25">
      <c r="A18416" s="2">
        <v>18411</v>
      </c>
      <c r="B18416" s="3" t="str">
        <f>"00885349"</f>
        <v>00885349</v>
      </c>
    </row>
    <row r="18417" spans="1:2" x14ac:dyDescent="0.25">
      <c r="A18417" s="2">
        <v>18412</v>
      </c>
      <c r="B18417" s="3" t="str">
        <f>"00885363"</f>
        <v>00885363</v>
      </c>
    </row>
    <row r="18418" spans="1:2" x14ac:dyDescent="0.25">
      <c r="A18418" s="2">
        <v>18413</v>
      </c>
      <c r="B18418" s="3" t="str">
        <f>"00885375"</f>
        <v>00885375</v>
      </c>
    </row>
    <row r="18419" spans="1:2" x14ac:dyDescent="0.25">
      <c r="A18419" s="2">
        <v>18414</v>
      </c>
      <c r="B18419" s="3" t="str">
        <f>"00885436"</f>
        <v>00885436</v>
      </c>
    </row>
    <row r="18420" spans="1:2" x14ac:dyDescent="0.25">
      <c r="A18420" s="2">
        <v>18415</v>
      </c>
      <c r="B18420" s="3" t="str">
        <f>"00885450"</f>
        <v>00885450</v>
      </c>
    </row>
    <row r="18421" spans="1:2" x14ac:dyDescent="0.25">
      <c r="A18421" s="2">
        <v>18416</v>
      </c>
      <c r="B18421" s="3" t="str">
        <f>"00885480"</f>
        <v>00885480</v>
      </c>
    </row>
    <row r="18422" spans="1:2" x14ac:dyDescent="0.25">
      <c r="A18422" s="2">
        <v>18417</v>
      </c>
      <c r="B18422" s="3" t="str">
        <f>"00885491"</f>
        <v>00885491</v>
      </c>
    </row>
    <row r="18423" spans="1:2" x14ac:dyDescent="0.25">
      <c r="A18423" s="2">
        <v>18418</v>
      </c>
      <c r="B18423" s="3" t="str">
        <f>"00885522"</f>
        <v>00885522</v>
      </c>
    </row>
    <row r="18424" spans="1:2" x14ac:dyDescent="0.25">
      <c r="A18424" s="2">
        <v>18419</v>
      </c>
      <c r="B18424" s="3" t="str">
        <f>"00885575"</f>
        <v>00885575</v>
      </c>
    </row>
    <row r="18425" spans="1:2" x14ac:dyDescent="0.25">
      <c r="A18425" s="2">
        <v>18420</v>
      </c>
      <c r="B18425" s="3" t="str">
        <f>"00885580"</f>
        <v>00885580</v>
      </c>
    </row>
    <row r="18426" spans="1:2" x14ac:dyDescent="0.25">
      <c r="A18426" s="2">
        <v>18421</v>
      </c>
      <c r="B18426" s="3" t="str">
        <f>"00885595"</f>
        <v>00885595</v>
      </c>
    </row>
    <row r="18427" spans="1:2" x14ac:dyDescent="0.25">
      <c r="A18427" s="2">
        <v>18422</v>
      </c>
      <c r="B18427" s="3" t="str">
        <f>"00885596"</f>
        <v>00885596</v>
      </c>
    </row>
    <row r="18428" spans="1:2" x14ac:dyDescent="0.25">
      <c r="A18428" s="2">
        <v>18423</v>
      </c>
      <c r="B18428" s="3" t="str">
        <f>"00885604"</f>
        <v>00885604</v>
      </c>
    </row>
    <row r="18429" spans="1:2" x14ac:dyDescent="0.25">
      <c r="A18429" s="2">
        <v>18424</v>
      </c>
      <c r="B18429" s="3" t="str">
        <f>"00885614"</f>
        <v>00885614</v>
      </c>
    </row>
    <row r="18430" spans="1:2" x14ac:dyDescent="0.25">
      <c r="A18430" s="2">
        <v>18425</v>
      </c>
      <c r="B18430" s="3" t="str">
        <f>"00885634"</f>
        <v>00885634</v>
      </c>
    </row>
    <row r="18431" spans="1:2" x14ac:dyDescent="0.25">
      <c r="A18431" s="2">
        <v>18426</v>
      </c>
      <c r="B18431" s="3" t="str">
        <f>"00885699"</f>
        <v>00885699</v>
      </c>
    </row>
    <row r="18432" spans="1:2" x14ac:dyDescent="0.25">
      <c r="A18432" s="2">
        <v>18427</v>
      </c>
      <c r="B18432" s="3" t="str">
        <f>"00885731"</f>
        <v>00885731</v>
      </c>
    </row>
    <row r="18433" spans="1:2" x14ac:dyDescent="0.25">
      <c r="A18433" s="2">
        <v>18428</v>
      </c>
      <c r="B18433" s="3" t="str">
        <f>"00885773"</f>
        <v>00885773</v>
      </c>
    </row>
    <row r="18434" spans="1:2" x14ac:dyDescent="0.25">
      <c r="A18434" s="2">
        <v>18429</v>
      </c>
      <c r="B18434" s="3" t="str">
        <f>"00885795"</f>
        <v>00885795</v>
      </c>
    </row>
    <row r="18435" spans="1:2" x14ac:dyDescent="0.25">
      <c r="A18435" s="2">
        <v>18430</v>
      </c>
      <c r="B18435" s="3" t="str">
        <f>"00885815"</f>
        <v>00885815</v>
      </c>
    </row>
    <row r="18436" spans="1:2" x14ac:dyDescent="0.25">
      <c r="A18436" s="2">
        <v>18431</v>
      </c>
      <c r="B18436" s="3" t="str">
        <f>"00885891"</f>
        <v>00885891</v>
      </c>
    </row>
    <row r="18437" spans="1:2" x14ac:dyDescent="0.25">
      <c r="A18437" s="2">
        <v>18432</v>
      </c>
      <c r="B18437" s="3" t="str">
        <f>"00885903"</f>
        <v>00885903</v>
      </c>
    </row>
    <row r="18438" spans="1:2" x14ac:dyDescent="0.25">
      <c r="A18438" s="2">
        <v>18433</v>
      </c>
      <c r="B18438" s="3" t="str">
        <f>"00885935"</f>
        <v>00885935</v>
      </c>
    </row>
    <row r="18439" spans="1:2" x14ac:dyDescent="0.25">
      <c r="A18439" s="2">
        <v>18434</v>
      </c>
      <c r="B18439" s="3" t="str">
        <f>"00885959"</f>
        <v>00885959</v>
      </c>
    </row>
    <row r="18440" spans="1:2" x14ac:dyDescent="0.25">
      <c r="A18440" s="2">
        <v>18435</v>
      </c>
      <c r="B18440" s="3" t="str">
        <f>"00885995"</f>
        <v>00885995</v>
      </c>
    </row>
    <row r="18441" spans="1:2" x14ac:dyDescent="0.25">
      <c r="A18441" s="2">
        <v>18436</v>
      </c>
      <c r="B18441" s="3" t="str">
        <f>"00886025"</f>
        <v>00886025</v>
      </c>
    </row>
    <row r="18442" spans="1:2" x14ac:dyDescent="0.25">
      <c r="A18442" s="2">
        <v>18437</v>
      </c>
      <c r="B18442" s="3" t="str">
        <f>"00886026"</f>
        <v>00886026</v>
      </c>
    </row>
    <row r="18443" spans="1:2" x14ac:dyDescent="0.25">
      <c r="A18443" s="2">
        <v>18438</v>
      </c>
      <c r="B18443" s="3" t="str">
        <f>"00886037"</f>
        <v>00886037</v>
      </c>
    </row>
    <row r="18444" spans="1:2" x14ac:dyDescent="0.25">
      <c r="A18444" s="2">
        <v>18439</v>
      </c>
      <c r="B18444" s="3" t="str">
        <f>"00886131"</f>
        <v>00886131</v>
      </c>
    </row>
    <row r="18445" spans="1:2" x14ac:dyDescent="0.25">
      <c r="A18445" s="2">
        <v>18440</v>
      </c>
      <c r="B18445" s="3" t="str">
        <f>"00886136"</f>
        <v>00886136</v>
      </c>
    </row>
    <row r="18446" spans="1:2" x14ac:dyDescent="0.25">
      <c r="A18446" s="2">
        <v>18441</v>
      </c>
      <c r="B18446" s="3" t="str">
        <f>"00886219"</f>
        <v>00886219</v>
      </c>
    </row>
    <row r="18447" spans="1:2" x14ac:dyDescent="0.25">
      <c r="A18447" s="2">
        <v>18442</v>
      </c>
      <c r="B18447" s="3" t="str">
        <f>"00886246"</f>
        <v>00886246</v>
      </c>
    </row>
    <row r="18448" spans="1:2" x14ac:dyDescent="0.25">
      <c r="A18448" s="2">
        <v>18443</v>
      </c>
      <c r="B18448" s="3" t="str">
        <f>"00886248"</f>
        <v>00886248</v>
      </c>
    </row>
    <row r="18449" spans="1:2" x14ac:dyDescent="0.25">
      <c r="A18449" s="2">
        <v>18444</v>
      </c>
      <c r="B18449" s="3" t="str">
        <f>"00886267"</f>
        <v>00886267</v>
      </c>
    </row>
    <row r="18450" spans="1:2" x14ac:dyDescent="0.25">
      <c r="A18450" s="2">
        <v>18445</v>
      </c>
      <c r="B18450" s="3" t="str">
        <f>"00886273"</f>
        <v>00886273</v>
      </c>
    </row>
    <row r="18451" spans="1:2" x14ac:dyDescent="0.25">
      <c r="A18451" s="2">
        <v>18446</v>
      </c>
      <c r="B18451" s="3" t="str">
        <f>"00886279"</f>
        <v>00886279</v>
      </c>
    </row>
    <row r="18452" spans="1:2" x14ac:dyDescent="0.25">
      <c r="A18452" s="2">
        <v>18447</v>
      </c>
      <c r="B18452" s="3" t="str">
        <f>"00886294"</f>
        <v>00886294</v>
      </c>
    </row>
    <row r="18453" spans="1:2" x14ac:dyDescent="0.25">
      <c r="A18453" s="2">
        <v>18448</v>
      </c>
      <c r="B18453" s="3" t="str">
        <f>"00886357"</f>
        <v>00886357</v>
      </c>
    </row>
    <row r="18454" spans="1:2" x14ac:dyDescent="0.25">
      <c r="A18454" s="2">
        <v>18449</v>
      </c>
      <c r="B18454" s="3" t="str">
        <f>"00886381"</f>
        <v>00886381</v>
      </c>
    </row>
    <row r="18455" spans="1:2" x14ac:dyDescent="0.25">
      <c r="A18455" s="2">
        <v>18450</v>
      </c>
      <c r="B18455" s="3" t="str">
        <f>"00886445"</f>
        <v>00886445</v>
      </c>
    </row>
    <row r="18456" spans="1:2" x14ac:dyDescent="0.25">
      <c r="A18456" s="2">
        <v>18451</v>
      </c>
      <c r="B18456" s="3" t="str">
        <f>"00886458"</f>
        <v>00886458</v>
      </c>
    </row>
    <row r="18457" spans="1:2" x14ac:dyDescent="0.25">
      <c r="A18457" s="2">
        <v>18452</v>
      </c>
      <c r="B18457" s="3" t="str">
        <f>"00886476"</f>
        <v>00886476</v>
      </c>
    </row>
    <row r="18458" spans="1:2" x14ac:dyDescent="0.25">
      <c r="A18458" s="2">
        <v>18453</v>
      </c>
      <c r="B18458" s="3" t="str">
        <f>"00886499"</f>
        <v>00886499</v>
      </c>
    </row>
    <row r="18459" spans="1:2" x14ac:dyDescent="0.25">
      <c r="A18459" s="2">
        <v>18454</v>
      </c>
      <c r="B18459" s="3" t="str">
        <f>"00886544"</f>
        <v>00886544</v>
      </c>
    </row>
    <row r="18460" spans="1:2" x14ac:dyDescent="0.25">
      <c r="A18460" s="2">
        <v>18455</v>
      </c>
      <c r="B18460" s="3" t="str">
        <f>"00886624"</f>
        <v>00886624</v>
      </c>
    </row>
    <row r="18461" spans="1:2" x14ac:dyDescent="0.25">
      <c r="A18461" s="2">
        <v>18456</v>
      </c>
      <c r="B18461" s="3" t="str">
        <f>"00886625"</f>
        <v>00886625</v>
      </c>
    </row>
    <row r="18462" spans="1:2" x14ac:dyDescent="0.25">
      <c r="A18462" s="2">
        <v>18457</v>
      </c>
      <c r="B18462" s="3" t="str">
        <f>"00886661"</f>
        <v>00886661</v>
      </c>
    </row>
    <row r="18463" spans="1:2" x14ac:dyDescent="0.25">
      <c r="A18463" s="2">
        <v>18458</v>
      </c>
      <c r="B18463" s="3" t="str">
        <f>"00886662"</f>
        <v>00886662</v>
      </c>
    </row>
    <row r="18464" spans="1:2" x14ac:dyDescent="0.25">
      <c r="A18464" s="2">
        <v>18459</v>
      </c>
      <c r="B18464" s="3" t="str">
        <f>"00886676"</f>
        <v>00886676</v>
      </c>
    </row>
    <row r="18465" spans="1:2" x14ac:dyDescent="0.25">
      <c r="A18465" s="2">
        <v>18460</v>
      </c>
      <c r="B18465" s="3" t="str">
        <f>"00886684"</f>
        <v>00886684</v>
      </c>
    </row>
    <row r="18466" spans="1:2" x14ac:dyDescent="0.25">
      <c r="A18466" s="2">
        <v>18461</v>
      </c>
      <c r="B18466" s="3" t="str">
        <f>"00886696"</f>
        <v>00886696</v>
      </c>
    </row>
    <row r="18467" spans="1:2" x14ac:dyDescent="0.25">
      <c r="A18467" s="2">
        <v>18462</v>
      </c>
      <c r="B18467" s="3" t="str">
        <f>"00886700"</f>
        <v>00886700</v>
      </c>
    </row>
    <row r="18468" spans="1:2" x14ac:dyDescent="0.25">
      <c r="A18468" s="2">
        <v>18463</v>
      </c>
      <c r="B18468" s="3" t="str">
        <f>"00886716"</f>
        <v>00886716</v>
      </c>
    </row>
    <row r="18469" spans="1:2" x14ac:dyDescent="0.25">
      <c r="A18469" s="2">
        <v>18464</v>
      </c>
      <c r="B18469" s="3" t="str">
        <f>"00886753"</f>
        <v>00886753</v>
      </c>
    </row>
    <row r="18470" spans="1:2" x14ac:dyDescent="0.25">
      <c r="A18470" s="2">
        <v>18465</v>
      </c>
      <c r="B18470" s="3" t="str">
        <f>"00886790"</f>
        <v>00886790</v>
      </c>
    </row>
    <row r="18471" spans="1:2" x14ac:dyDescent="0.25">
      <c r="A18471" s="2">
        <v>18466</v>
      </c>
      <c r="B18471" s="3" t="str">
        <f>"00886802"</f>
        <v>00886802</v>
      </c>
    </row>
    <row r="18472" spans="1:2" x14ac:dyDescent="0.25">
      <c r="A18472" s="2">
        <v>18467</v>
      </c>
      <c r="B18472" s="3" t="str">
        <f>"00886815"</f>
        <v>00886815</v>
      </c>
    </row>
    <row r="18473" spans="1:2" x14ac:dyDescent="0.25">
      <c r="A18473" s="2">
        <v>18468</v>
      </c>
      <c r="B18473" s="3" t="str">
        <f>"00886825"</f>
        <v>00886825</v>
      </c>
    </row>
    <row r="18474" spans="1:2" x14ac:dyDescent="0.25">
      <c r="A18474" s="2">
        <v>18469</v>
      </c>
      <c r="B18474" s="3" t="str">
        <f>"00886828"</f>
        <v>00886828</v>
      </c>
    </row>
    <row r="18475" spans="1:2" x14ac:dyDescent="0.25">
      <c r="A18475" s="2">
        <v>18470</v>
      </c>
      <c r="B18475" s="3" t="str">
        <f>"00886872"</f>
        <v>00886872</v>
      </c>
    </row>
    <row r="18476" spans="1:2" x14ac:dyDescent="0.25">
      <c r="A18476" s="2">
        <v>18471</v>
      </c>
      <c r="B18476" s="3" t="str">
        <f>"00886943"</f>
        <v>00886943</v>
      </c>
    </row>
    <row r="18477" spans="1:2" x14ac:dyDescent="0.25">
      <c r="A18477" s="2">
        <v>18472</v>
      </c>
      <c r="B18477" s="3" t="str">
        <f>"00886959"</f>
        <v>00886959</v>
      </c>
    </row>
    <row r="18478" spans="1:2" x14ac:dyDescent="0.25">
      <c r="A18478" s="2">
        <v>18473</v>
      </c>
      <c r="B18478" s="3" t="str">
        <f>"00886962"</f>
        <v>00886962</v>
      </c>
    </row>
    <row r="18479" spans="1:2" x14ac:dyDescent="0.25">
      <c r="A18479" s="2">
        <v>18474</v>
      </c>
      <c r="B18479" s="3" t="str">
        <f>"00887004"</f>
        <v>00887004</v>
      </c>
    </row>
    <row r="18480" spans="1:2" x14ac:dyDescent="0.25">
      <c r="A18480" s="2">
        <v>18475</v>
      </c>
      <c r="B18480" s="3" t="str">
        <f>"00887034"</f>
        <v>00887034</v>
      </c>
    </row>
    <row r="18481" spans="1:2" x14ac:dyDescent="0.25">
      <c r="A18481" s="2">
        <v>18476</v>
      </c>
      <c r="B18481" s="3" t="str">
        <f>"00887074"</f>
        <v>00887074</v>
      </c>
    </row>
    <row r="18482" spans="1:2" x14ac:dyDescent="0.25">
      <c r="A18482" s="2">
        <v>18477</v>
      </c>
      <c r="B18482" s="3" t="str">
        <f>"00887084"</f>
        <v>00887084</v>
      </c>
    </row>
    <row r="18483" spans="1:2" x14ac:dyDescent="0.25">
      <c r="A18483" s="2">
        <v>18478</v>
      </c>
      <c r="B18483" s="3" t="str">
        <f>"00887109"</f>
        <v>00887109</v>
      </c>
    </row>
    <row r="18484" spans="1:2" x14ac:dyDescent="0.25">
      <c r="A18484" s="2">
        <v>18479</v>
      </c>
      <c r="B18484" s="3" t="str">
        <f>"00887120"</f>
        <v>00887120</v>
      </c>
    </row>
    <row r="18485" spans="1:2" x14ac:dyDescent="0.25">
      <c r="A18485" s="2">
        <v>18480</v>
      </c>
      <c r="B18485" s="3" t="str">
        <f>"00887128"</f>
        <v>00887128</v>
      </c>
    </row>
    <row r="18486" spans="1:2" x14ac:dyDescent="0.25">
      <c r="A18486" s="2">
        <v>18481</v>
      </c>
      <c r="B18486" s="3" t="str">
        <f>"00887129"</f>
        <v>00887129</v>
      </c>
    </row>
    <row r="18487" spans="1:2" x14ac:dyDescent="0.25">
      <c r="A18487" s="2">
        <v>18482</v>
      </c>
      <c r="B18487" s="3" t="str">
        <f>"00887177"</f>
        <v>00887177</v>
      </c>
    </row>
    <row r="18488" spans="1:2" x14ac:dyDescent="0.25">
      <c r="A18488" s="2">
        <v>18483</v>
      </c>
      <c r="B18488" s="3" t="str">
        <f>"00887179"</f>
        <v>00887179</v>
      </c>
    </row>
    <row r="18489" spans="1:2" x14ac:dyDescent="0.25">
      <c r="A18489" s="2">
        <v>18484</v>
      </c>
      <c r="B18489" s="3" t="str">
        <f>"00887189"</f>
        <v>00887189</v>
      </c>
    </row>
    <row r="18490" spans="1:2" x14ac:dyDescent="0.25">
      <c r="A18490" s="2">
        <v>18485</v>
      </c>
      <c r="B18490" s="3" t="str">
        <f>"00887208"</f>
        <v>00887208</v>
      </c>
    </row>
    <row r="18491" spans="1:2" x14ac:dyDescent="0.25">
      <c r="A18491" s="2">
        <v>18486</v>
      </c>
      <c r="B18491" s="3" t="str">
        <f>"00887224"</f>
        <v>00887224</v>
      </c>
    </row>
    <row r="18492" spans="1:2" x14ac:dyDescent="0.25">
      <c r="A18492" s="2">
        <v>18487</v>
      </c>
      <c r="B18492" s="3" t="str">
        <f>"00887236"</f>
        <v>00887236</v>
      </c>
    </row>
    <row r="18493" spans="1:2" x14ac:dyDescent="0.25">
      <c r="A18493" s="2">
        <v>18488</v>
      </c>
      <c r="B18493" s="3" t="str">
        <f>"00887272"</f>
        <v>00887272</v>
      </c>
    </row>
    <row r="18494" spans="1:2" x14ac:dyDescent="0.25">
      <c r="A18494" s="2">
        <v>18489</v>
      </c>
      <c r="B18494" s="3" t="str">
        <f>"00887281"</f>
        <v>00887281</v>
      </c>
    </row>
    <row r="18495" spans="1:2" x14ac:dyDescent="0.25">
      <c r="A18495" s="2">
        <v>18490</v>
      </c>
      <c r="B18495" s="3" t="str">
        <f>"00887319"</f>
        <v>00887319</v>
      </c>
    </row>
    <row r="18496" spans="1:2" x14ac:dyDescent="0.25">
      <c r="A18496" s="2">
        <v>18491</v>
      </c>
      <c r="B18496" s="3" t="str">
        <f>"00887349"</f>
        <v>00887349</v>
      </c>
    </row>
    <row r="18497" spans="1:2" x14ac:dyDescent="0.25">
      <c r="A18497" s="2">
        <v>18492</v>
      </c>
      <c r="B18497" s="3" t="str">
        <f>"00887393"</f>
        <v>00887393</v>
      </c>
    </row>
    <row r="18498" spans="1:2" x14ac:dyDescent="0.25">
      <c r="A18498" s="2">
        <v>18493</v>
      </c>
      <c r="B18498" s="3" t="str">
        <f>"00887449"</f>
        <v>00887449</v>
      </c>
    </row>
    <row r="18499" spans="1:2" x14ac:dyDescent="0.25">
      <c r="A18499" s="2">
        <v>18494</v>
      </c>
      <c r="B18499" s="3" t="str">
        <f>"00887466"</f>
        <v>00887466</v>
      </c>
    </row>
    <row r="18500" spans="1:2" x14ac:dyDescent="0.25">
      <c r="A18500" s="2">
        <v>18495</v>
      </c>
      <c r="B18500" s="3" t="str">
        <f>"00887491"</f>
        <v>00887491</v>
      </c>
    </row>
    <row r="18501" spans="1:2" x14ac:dyDescent="0.25">
      <c r="A18501" s="2">
        <v>18496</v>
      </c>
      <c r="B18501" s="3" t="str">
        <f>"00887510"</f>
        <v>00887510</v>
      </c>
    </row>
    <row r="18502" spans="1:2" x14ac:dyDescent="0.25">
      <c r="A18502" s="2">
        <v>18497</v>
      </c>
      <c r="B18502" s="3" t="str">
        <f>"00887556"</f>
        <v>00887556</v>
      </c>
    </row>
    <row r="18503" spans="1:2" x14ac:dyDescent="0.25">
      <c r="A18503" s="2">
        <v>18498</v>
      </c>
      <c r="B18503" s="3" t="str">
        <f>"00887574"</f>
        <v>00887574</v>
      </c>
    </row>
    <row r="18504" spans="1:2" x14ac:dyDescent="0.25">
      <c r="A18504" s="2">
        <v>18499</v>
      </c>
      <c r="B18504" s="3" t="str">
        <f>"00887581"</f>
        <v>00887581</v>
      </c>
    </row>
    <row r="18505" spans="1:2" x14ac:dyDescent="0.25">
      <c r="A18505" s="2">
        <v>18500</v>
      </c>
      <c r="B18505" s="3" t="str">
        <f>"00887590"</f>
        <v>00887590</v>
      </c>
    </row>
    <row r="18506" spans="1:2" x14ac:dyDescent="0.25">
      <c r="A18506" s="2">
        <v>18501</v>
      </c>
      <c r="B18506" s="3" t="str">
        <f>"00887644"</f>
        <v>00887644</v>
      </c>
    </row>
    <row r="18507" spans="1:2" x14ac:dyDescent="0.25">
      <c r="A18507" s="2">
        <v>18502</v>
      </c>
      <c r="B18507" s="3" t="str">
        <f>"00887700"</f>
        <v>00887700</v>
      </c>
    </row>
    <row r="18508" spans="1:2" x14ac:dyDescent="0.25">
      <c r="A18508" s="2">
        <v>18503</v>
      </c>
      <c r="B18508" s="3" t="str">
        <f>"00887757"</f>
        <v>00887757</v>
      </c>
    </row>
    <row r="18509" spans="1:2" x14ac:dyDescent="0.25">
      <c r="A18509" s="2">
        <v>18504</v>
      </c>
      <c r="B18509" s="3" t="str">
        <f>"00887770"</f>
        <v>00887770</v>
      </c>
    </row>
    <row r="18510" spans="1:2" x14ac:dyDescent="0.25">
      <c r="A18510" s="2">
        <v>18505</v>
      </c>
      <c r="B18510" s="3" t="str">
        <f>"00887900"</f>
        <v>00887900</v>
      </c>
    </row>
    <row r="18511" spans="1:2" x14ac:dyDescent="0.25">
      <c r="A18511" s="2">
        <v>18506</v>
      </c>
      <c r="B18511" s="3" t="str">
        <f>"00887917"</f>
        <v>00887917</v>
      </c>
    </row>
    <row r="18512" spans="1:2" x14ac:dyDescent="0.25">
      <c r="A18512" s="2">
        <v>18507</v>
      </c>
      <c r="B18512" s="3" t="str">
        <f>"00888010"</f>
        <v>00888010</v>
      </c>
    </row>
    <row r="18513" spans="1:2" x14ac:dyDescent="0.25">
      <c r="A18513" s="2">
        <v>18508</v>
      </c>
      <c r="B18513" s="3" t="str">
        <f>"00888073"</f>
        <v>00888073</v>
      </c>
    </row>
    <row r="18514" spans="1:2" x14ac:dyDescent="0.25">
      <c r="A18514" s="2">
        <v>18509</v>
      </c>
      <c r="B18514" s="3" t="str">
        <f>"00888134"</f>
        <v>00888134</v>
      </c>
    </row>
    <row r="18515" spans="1:2" x14ac:dyDescent="0.25">
      <c r="A18515" s="2">
        <v>18510</v>
      </c>
      <c r="B18515" s="3" t="str">
        <f>"00888170"</f>
        <v>00888170</v>
      </c>
    </row>
    <row r="18516" spans="1:2" x14ac:dyDescent="0.25">
      <c r="A18516" s="2">
        <v>18511</v>
      </c>
      <c r="B18516" s="3" t="str">
        <f>"00888233"</f>
        <v>00888233</v>
      </c>
    </row>
    <row r="18517" spans="1:2" x14ac:dyDescent="0.25">
      <c r="A18517" s="2">
        <v>18512</v>
      </c>
      <c r="B18517" s="3" t="str">
        <f>"00888346"</f>
        <v>00888346</v>
      </c>
    </row>
    <row r="18518" spans="1:2" x14ac:dyDescent="0.25">
      <c r="A18518" s="2">
        <v>18513</v>
      </c>
      <c r="B18518" s="3" t="str">
        <f>"00888458"</f>
        <v>00888458</v>
      </c>
    </row>
    <row r="18519" spans="1:2" x14ac:dyDescent="0.25">
      <c r="A18519" s="2">
        <v>18514</v>
      </c>
      <c r="B18519" s="3" t="str">
        <f>"00888493"</f>
        <v>00888493</v>
      </c>
    </row>
    <row r="18520" spans="1:2" x14ac:dyDescent="0.25">
      <c r="A18520" s="2">
        <v>18515</v>
      </c>
      <c r="B18520" s="3" t="str">
        <f>"00888511"</f>
        <v>00888511</v>
      </c>
    </row>
    <row r="18521" spans="1:2" x14ac:dyDescent="0.25">
      <c r="A18521" s="2">
        <v>18516</v>
      </c>
      <c r="B18521" s="3" t="str">
        <f>"00888574"</f>
        <v>00888574</v>
      </c>
    </row>
    <row r="18522" spans="1:2" x14ac:dyDescent="0.25">
      <c r="A18522" s="2">
        <v>18517</v>
      </c>
      <c r="B18522" s="3" t="str">
        <f>"00888587"</f>
        <v>00888587</v>
      </c>
    </row>
    <row r="18523" spans="1:2" x14ac:dyDescent="0.25">
      <c r="A18523" s="2">
        <v>18518</v>
      </c>
      <c r="B18523" s="3" t="str">
        <f>"00888625"</f>
        <v>00888625</v>
      </c>
    </row>
    <row r="18524" spans="1:2" x14ac:dyDescent="0.25">
      <c r="A18524" s="2">
        <v>18519</v>
      </c>
      <c r="B18524" s="3" t="str">
        <f>"00888717"</f>
        <v>00888717</v>
      </c>
    </row>
    <row r="18525" spans="1:2" x14ac:dyDescent="0.25">
      <c r="A18525" s="2">
        <v>18520</v>
      </c>
      <c r="B18525" s="3" t="str">
        <f>"00888742"</f>
        <v>00888742</v>
      </c>
    </row>
    <row r="18526" spans="1:2" x14ac:dyDescent="0.25">
      <c r="A18526" s="2">
        <v>18521</v>
      </c>
      <c r="B18526" s="3" t="str">
        <f>"00888841"</f>
        <v>00888841</v>
      </c>
    </row>
    <row r="18527" spans="1:2" x14ac:dyDescent="0.25">
      <c r="A18527" s="2">
        <v>18522</v>
      </c>
      <c r="B18527" s="3" t="str">
        <f>"00888886"</f>
        <v>00888886</v>
      </c>
    </row>
    <row r="18528" spans="1:2" x14ac:dyDescent="0.25">
      <c r="A18528" s="2">
        <v>18523</v>
      </c>
      <c r="B18528" s="3" t="str">
        <f>"00888954"</f>
        <v>00888954</v>
      </c>
    </row>
    <row r="18529" spans="1:2" x14ac:dyDescent="0.25">
      <c r="A18529" s="2">
        <v>18524</v>
      </c>
      <c r="B18529" s="3" t="str">
        <f>"00888976"</f>
        <v>00888976</v>
      </c>
    </row>
    <row r="18530" spans="1:2" x14ac:dyDescent="0.25">
      <c r="A18530" s="2">
        <v>18525</v>
      </c>
      <c r="B18530" s="3" t="str">
        <f>"00888984"</f>
        <v>00888984</v>
      </c>
    </row>
    <row r="18531" spans="1:2" x14ac:dyDescent="0.25">
      <c r="A18531" s="2">
        <v>18526</v>
      </c>
      <c r="B18531" s="3" t="str">
        <f>"00889060"</f>
        <v>00889060</v>
      </c>
    </row>
    <row r="18532" spans="1:2" x14ac:dyDescent="0.25">
      <c r="A18532" s="2">
        <v>18527</v>
      </c>
      <c r="B18532" s="3" t="str">
        <f>"00889118"</f>
        <v>00889118</v>
      </c>
    </row>
    <row r="18533" spans="1:2" x14ac:dyDescent="0.25">
      <c r="A18533" s="2">
        <v>18528</v>
      </c>
      <c r="B18533" s="3" t="str">
        <f>"00889182"</f>
        <v>00889182</v>
      </c>
    </row>
    <row r="18534" spans="1:2" x14ac:dyDescent="0.25">
      <c r="A18534" s="2">
        <v>18529</v>
      </c>
      <c r="B18534" s="3" t="str">
        <f>"00889209"</f>
        <v>00889209</v>
      </c>
    </row>
    <row r="18535" spans="1:2" x14ac:dyDescent="0.25">
      <c r="A18535" s="2">
        <v>18530</v>
      </c>
      <c r="B18535" s="3" t="str">
        <f>"00889218"</f>
        <v>00889218</v>
      </c>
    </row>
    <row r="18536" spans="1:2" x14ac:dyDescent="0.25">
      <c r="A18536" s="2">
        <v>18531</v>
      </c>
      <c r="B18536" s="3" t="str">
        <f>"00889295"</f>
        <v>00889295</v>
      </c>
    </row>
    <row r="18537" spans="1:2" x14ac:dyDescent="0.25">
      <c r="A18537" s="2">
        <v>18532</v>
      </c>
      <c r="B18537" s="3" t="str">
        <f>"00889335"</f>
        <v>00889335</v>
      </c>
    </row>
    <row r="18538" spans="1:2" x14ac:dyDescent="0.25">
      <c r="A18538" s="2">
        <v>18533</v>
      </c>
      <c r="B18538" s="3" t="str">
        <f>"00889384"</f>
        <v>00889384</v>
      </c>
    </row>
    <row r="18539" spans="1:2" x14ac:dyDescent="0.25">
      <c r="A18539" s="2">
        <v>18534</v>
      </c>
      <c r="B18539" s="3" t="str">
        <f>"00889386"</f>
        <v>00889386</v>
      </c>
    </row>
    <row r="18540" spans="1:2" x14ac:dyDescent="0.25">
      <c r="A18540" s="2">
        <v>18535</v>
      </c>
      <c r="B18540" s="3" t="str">
        <f>"00889387"</f>
        <v>00889387</v>
      </c>
    </row>
    <row r="18541" spans="1:2" x14ac:dyDescent="0.25">
      <c r="A18541" s="2">
        <v>18536</v>
      </c>
      <c r="B18541" s="3" t="str">
        <f>"00889422"</f>
        <v>00889422</v>
      </c>
    </row>
    <row r="18542" spans="1:2" x14ac:dyDescent="0.25">
      <c r="A18542" s="2">
        <v>18537</v>
      </c>
      <c r="B18542" s="3" t="str">
        <f>"00889449"</f>
        <v>00889449</v>
      </c>
    </row>
    <row r="18543" spans="1:2" x14ac:dyDescent="0.25">
      <c r="A18543" s="2">
        <v>18538</v>
      </c>
      <c r="B18543" s="3" t="str">
        <f>"00889450"</f>
        <v>00889450</v>
      </c>
    </row>
    <row r="18544" spans="1:2" x14ac:dyDescent="0.25">
      <c r="A18544" s="2">
        <v>18539</v>
      </c>
      <c r="B18544" s="3" t="str">
        <f>"00889467"</f>
        <v>00889467</v>
      </c>
    </row>
    <row r="18545" spans="1:2" x14ac:dyDescent="0.25">
      <c r="A18545" s="2">
        <v>18540</v>
      </c>
      <c r="B18545" s="3" t="str">
        <f>"00889498"</f>
        <v>00889498</v>
      </c>
    </row>
    <row r="18546" spans="1:2" x14ac:dyDescent="0.25">
      <c r="A18546" s="2">
        <v>18541</v>
      </c>
      <c r="B18546" s="3" t="str">
        <f>"00889499"</f>
        <v>00889499</v>
      </c>
    </row>
    <row r="18547" spans="1:2" x14ac:dyDescent="0.25">
      <c r="A18547" s="2">
        <v>18542</v>
      </c>
      <c r="B18547" s="3" t="str">
        <f>"00889582"</f>
        <v>00889582</v>
      </c>
    </row>
    <row r="18548" spans="1:2" x14ac:dyDescent="0.25">
      <c r="A18548" s="2">
        <v>18543</v>
      </c>
      <c r="B18548" s="3" t="str">
        <f>"00889631"</f>
        <v>00889631</v>
      </c>
    </row>
    <row r="18549" spans="1:2" x14ac:dyDescent="0.25">
      <c r="A18549" s="2">
        <v>18544</v>
      </c>
      <c r="B18549" s="3" t="str">
        <f>"00889661"</f>
        <v>00889661</v>
      </c>
    </row>
    <row r="18550" spans="1:2" x14ac:dyDescent="0.25">
      <c r="A18550" s="2">
        <v>18545</v>
      </c>
      <c r="B18550" s="3" t="str">
        <f>"00889829"</f>
        <v>00889829</v>
      </c>
    </row>
    <row r="18551" spans="1:2" x14ac:dyDescent="0.25">
      <c r="A18551" s="2">
        <v>18546</v>
      </c>
      <c r="B18551" s="3" t="str">
        <f>"00889947"</f>
        <v>00889947</v>
      </c>
    </row>
    <row r="18552" spans="1:2" x14ac:dyDescent="0.25">
      <c r="A18552" s="2">
        <v>18547</v>
      </c>
      <c r="B18552" s="3" t="str">
        <f>"00889964"</f>
        <v>00889964</v>
      </c>
    </row>
    <row r="18553" spans="1:2" x14ac:dyDescent="0.25">
      <c r="A18553" s="2">
        <v>18548</v>
      </c>
      <c r="B18553" s="3" t="str">
        <f>"00889991"</f>
        <v>00889991</v>
      </c>
    </row>
    <row r="18554" spans="1:2" x14ac:dyDescent="0.25">
      <c r="A18554" s="2">
        <v>18549</v>
      </c>
      <c r="B18554" s="3" t="str">
        <f>"00889993"</f>
        <v>00889993</v>
      </c>
    </row>
    <row r="18555" spans="1:2" x14ac:dyDescent="0.25">
      <c r="A18555" s="2">
        <v>18550</v>
      </c>
      <c r="B18555" s="3" t="str">
        <f>"00890104"</f>
        <v>00890104</v>
      </c>
    </row>
    <row r="18556" spans="1:2" x14ac:dyDescent="0.25">
      <c r="A18556" s="2">
        <v>18551</v>
      </c>
      <c r="B18556" s="3" t="str">
        <f>"00890237"</f>
        <v>00890237</v>
      </c>
    </row>
    <row r="18557" spans="1:2" x14ac:dyDescent="0.25">
      <c r="A18557" s="2">
        <v>18552</v>
      </c>
      <c r="B18557" s="3" t="str">
        <f>"00890258"</f>
        <v>00890258</v>
      </c>
    </row>
    <row r="18558" spans="1:2" x14ac:dyDescent="0.25">
      <c r="A18558" s="2">
        <v>18553</v>
      </c>
      <c r="B18558" s="3" t="str">
        <f>"00890263"</f>
        <v>00890263</v>
      </c>
    </row>
    <row r="18559" spans="1:2" x14ac:dyDescent="0.25">
      <c r="A18559" s="2">
        <v>18554</v>
      </c>
      <c r="B18559" s="3" t="str">
        <f>"00890322"</f>
        <v>00890322</v>
      </c>
    </row>
    <row r="18560" spans="1:2" x14ac:dyDescent="0.25">
      <c r="A18560" s="2">
        <v>18555</v>
      </c>
      <c r="B18560" s="3" t="str">
        <f>"00890356"</f>
        <v>00890356</v>
      </c>
    </row>
    <row r="18561" spans="1:2" x14ac:dyDescent="0.25">
      <c r="A18561" s="2">
        <v>18556</v>
      </c>
      <c r="B18561" s="3" t="str">
        <f>"00890384"</f>
        <v>00890384</v>
      </c>
    </row>
    <row r="18562" spans="1:2" x14ac:dyDescent="0.25">
      <c r="A18562" s="2">
        <v>18557</v>
      </c>
      <c r="B18562" s="3" t="str">
        <f>"00890398"</f>
        <v>00890398</v>
      </c>
    </row>
    <row r="18563" spans="1:2" x14ac:dyDescent="0.25">
      <c r="A18563" s="2">
        <v>18558</v>
      </c>
      <c r="B18563" s="3" t="str">
        <f>"00890403"</f>
        <v>00890403</v>
      </c>
    </row>
    <row r="18564" spans="1:2" x14ac:dyDescent="0.25">
      <c r="A18564" s="2">
        <v>18559</v>
      </c>
      <c r="B18564" s="3" t="str">
        <f>"00890407"</f>
        <v>00890407</v>
      </c>
    </row>
    <row r="18565" spans="1:2" x14ac:dyDescent="0.25">
      <c r="A18565" s="2">
        <v>18560</v>
      </c>
      <c r="B18565" s="3" t="str">
        <f>"00890484"</f>
        <v>00890484</v>
      </c>
    </row>
    <row r="18566" spans="1:2" x14ac:dyDescent="0.25">
      <c r="A18566" s="2">
        <v>18561</v>
      </c>
      <c r="B18566" s="3" t="str">
        <f>"00890513"</f>
        <v>00890513</v>
      </c>
    </row>
    <row r="18567" spans="1:2" x14ac:dyDescent="0.25">
      <c r="A18567" s="2">
        <v>18562</v>
      </c>
      <c r="B18567" s="3" t="str">
        <f>"00890573"</f>
        <v>00890573</v>
      </c>
    </row>
    <row r="18568" spans="1:2" x14ac:dyDescent="0.25">
      <c r="A18568" s="2">
        <v>18563</v>
      </c>
      <c r="B18568" s="3" t="str">
        <f>"00890606"</f>
        <v>00890606</v>
      </c>
    </row>
    <row r="18569" spans="1:2" x14ac:dyDescent="0.25">
      <c r="A18569" s="2">
        <v>18564</v>
      </c>
      <c r="B18569" s="3" t="str">
        <f>"00890733"</f>
        <v>00890733</v>
      </c>
    </row>
    <row r="18570" spans="1:2" x14ac:dyDescent="0.25">
      <c r="A18570" s="2">
        <v>18565</v>
      </c>
      <c r="B18570" s="3" t="str">
        <f>"00890734"</f>
        <v>00890734</v>
      </c>
    </row>
    <row r="18571" spans="1:2" x14ac:dyDescent="0.25">
      <c r="A18571" s="2">
        <v>18566</v>
      </c>
      <c r="B18571" s="3" t="str">
        <f>"00890907"</f>
        <v>00890907</v>
      </c>
    </row>
    <row r="18572" spans="1:2" x14ac:dyDescent="0.25">
      <c r="A18572" s="2">
        <v>18567</v>
      </c>
      <c r="B18572" s="3" t="str">
        <f>"00890955"</f>
        <v>00890955</v>
      </c>
    </row>
    <row r="18573" spans="1:2" x14ac:dyDescent="0.25">
      <c r="A18573" s="2">
        <v>18568</v>
      </c>
      <c r="B18573" s="3" t="str">
        <f>"00890966"</f>
        <v>00890966</v>
      </c>
    </row>
    <row r="18574" spans="1:2" x14ac:dyDescent="0.25">
      <c r="A18574" s="2">
        <v>18569</v>
      </c>
      <c r="B18574" s="3" t="str">
        <f>"00890992"</f>
        <v>00890992</v>
      </c>
    </row>
    <row r="18575" spans="1:2" x14ac:dyDescent="0.25">
      <c r="A18575" s="2">
        <v>18570</v>
      </c>
      <c r="B18575" s="3" t="str">
        <f>"00891020"</f>
        <v>00891020</v>
      </c>
    </row>
    <row r="18576" spans="1:2" x14ac:dyDescent="0.25">
      <c r="A18576" s="2">
        <v>18571</v>
      </c>
      <c r="B18576" s="3" t="str">
        <f>"00891175"</f>
        <v>00891175</v>
      </c>
    </row>
    <row r="18577" spans="1:2" x14ac:dyDescent="0.25">
      <c r="A18577" s="2">
        <v>18572</v>
      </c>
      <c r="B18577" s="3" t="str">
        <f>"00891241"</f>
        <v>00891241</v>
      </c>
    </row>
    <row r="18578" spans="1:2" x14ac:dyDescent="0.25">
      <c r="A18578" s="2">
        <v>18573</v>
      </c>
      <c r="B18578" s="3" t="str">
        <f>"00891247"</f>
        <v>00891247</v>
      </c>
    </row>
    <row r="18579" spans="1:2" x14ac:dyDescent="0.25">
      <c r="A18579" s="2">
        <v>18574</v>
      </c>
      <c r="B18579" s="3" t="str">
        <f>"00891348"</f>
        <v>00891348</v>
      </c>
    </row>
    <row r="18580" spans="1:2" x14ac:dyDescent="0.25">
      <c r="A18580" s="2">
        <v>18575</v>
      </c>
      <c r="B18580" s="3" t="str">
        <f>"00891394"</f>
        <v>00891394</v>
      </c>
    </row>
    <row r="18581" spans="1:2" x14ac:dyDescent="0.25">
      <c r="A18581" s="2">
        <v>18576</v>
      </c>
      <c r="B18581" s="3" t="str">
        <f>"00891420"</f>
        <v>00891420</v>
      </c>
    </row>
    <row r="18582" spans="1:2" x14ac:dyDescent="0.25">
      <c r="A18582" s="2">
        <v>18577</v>
      </c>
      <c r="B18582" s="3" t="str">
        <f>"00891517"</f>
        <v>00891517</v>
      </c>
    </row>
    <row r="18583" spans="1:2" x14ac:dyDescent="0.25">
      <c r="A18583" s="2">
        <v>18578</v>
      </c>
      <c r="B18583" s="3" t="str">
        <f>"00891564"</f>
        <v>00891564</v>
      </c>
    </row>
    <row r="18584" spans="1:2" x14ac:dyDescent="0.25">
      <c r="A18584" s="2">
        <v>18579</v>
      </c>
      <c r="B18584" s="3" t="str">
        <f>"00891790"</f>
        <v>00891790</v>
      </c>
    </row>
    <row r="18585" spans="1:2" x14ac:dyDescent="0.25">
      <c r="A18585" s="2">
        <v>18580</v>
      </c>
      <c r="B18585" s="3" t="str">
        <f>"00891829"</f>
        <v>00891829</v>
      </c>
    </row>
    <row r="18586" spans="1:2" x14ac:dyDescent="0.25">
      <c r="A18586" s="2">
        <v>18581</v>
      </c>
      <c r="B18586" s="3" t="str">
        <f>"00891852"</f>
        <v>00891852</v>
      </c>
    </row>
    <row r="18587" spans="1:2" x14ac:dyDescent="0.25">
      <c r="A18587" s="2">
        <v>18582</v>
      </c>
      <c r="B18587" s="3" t="str">
        <f>"00891856"</f>
        <v>00891856</v>
      </c>
    </row>
    <row r="18588" spans="1:2" x14ac:dyDescent="0.25">
      <c r="A18588" s="2">
        <v>18583</v>
      </c>
      <c r="B18588" s="3" t="str">
        <f>"00891946"</f>
        <v>00891946</v>
      </c>
    </row>
    <row r="18589" spans="1:2" x14ac:dyDescent="0.25">
      <c r="A18589" s="2">
        <v>18584</v>
      </c>
      <c r="B18589" s="3" t="str">
        <f>"00892073"</f>
        <v>00892073</v>
      </c>
    </row>
    <row r="18590" spans="1:2" x14ac:dyDescent="0.25">
      <c r="A18590" s="2">
        <v>18585</v>
      </c>
      <c r="B18590" s="3" t="str">
        <f>"00892180"</f>
        <v>00892180</v>
      </c>
    </row>
    <row r="18591" spans="1:2" x14ac:dyDescent="0.25">
      <c r="A18591" s="2">
        <v>18586</v>
      </c>
      <c r="B18591" s="3" t="str">
        <f>"00892212"</f>
        <v>00892212</v>
      </c>
    </row>
    <row r="18592" spans="1:2" x14ac:dyDescent="0.25">
      <c r="A18592" s="2">
        <v>18587</v>
      </c>
      <c r="B18592" s="3" t="str">
        <f>"00892250"</f>
        <v>00892250</v>
      </c>
    </row>
    <row r="18593" spans="1:2" x14ac:dyDescent="0.25">
      <c r="A18593" s="2">
        <v>18588</v>
      </c>
      <c r="B18593" s="3" t="str">
        <f>"00892292"</f>
        <v>00892292</v>
      </c>
    </row>
    <row r="18594" spans="1:2" x14ac:dyDescent="0.25">
      <c r="A18594" s="2">
        <v>18589</v>
      </c>
      <c r="B18594" s="3" t="str">
        <f>"00892329"</f>
        <v>00892329</v>
      </c>
    </row>
    <row r="18595" spans="1:2" x14ac:dyDescent="0.25">
      <c r="A18595" s="2">
        <v>18590</v>
      </c>
      <c r="B18595" s="3" t="str">
        <f>"00892363"</f>
        <v>00892363</v>
      </c>
    </row>
    <row r="18596" spans="1:2" x14ac:dyDescent="0.25">
      <c r="A18596" s="2">
        <v>18591</v>
      </c>
      <c r="B18596" s="3" t="str">
        <f>"00892458"</f>
        <v>00892458</v>
      </c>
    </row>
    <row r="18597" spans="1:2" x14ac:dyDescent="0.25">
      <c r="A18597" s="2">
        <v>18592</v>
      </c>
      <c r="B18597" s="3" t="str">
        <f>"00892521"</f>
        <v>00892521</v>
      </c>
    </row>
    <row r="18598" spans="1:2" x14ac:dyDescent="0.25">
      <c r="A18598" s="2">
        <v>18593</v>
      </c>
      <c r="B18598" s="3" t="str">
        <f>"00892528"</f>
        <v>00892528</v>
      </c>
    </row>
    <row r="18599" spans="1:2" x14ac:dyDescent="0.25">
      <c r="A18599" s="2">
        <v>18594</v>
      </c>
      <c r="B18599" s="3" t="str">
        <f>"00892594"</f>
        <v>00892594</v>
      </c>
    </row>
    <row r="18600" spans="1:2" x14ac:dyDescent="0.25">
      <c r="A18600" s="2">
        <v>18595</v>
      </c>
      <c r="B18600" s="3" t="str">
        <f>"00892611"</f>
        <v>00892611</v>
      </c>
    </row>
    <row r="18601" spans="1:2" x14ac:dyDescent="0.25">
      <c r="A18601" s="2">
        <v>18596</v>
      </c>
      <c r="B18601" s="3" t="str">
        <f>"00892671"</f>
        <v>00892671</v>
      </c>
    </row>
    <row r="18602" spans="1:2" x14ac:dyDescent="0.25">
      <c r="A18602" s="2">
        <v>18597</v>
      </c>
      <c r="B18602" s="3" t="str">
        <f>"00892763"</f>
        <v>00892763</v>
      </c>
    </row>
    <row r="18603" spans="1:2" x14ac:dyDescent="0.25">
      <c r="A18603" s="2">
        <v>18598</v>
      </c>
      <c r="B18603" s="3" t="str">
        <f>"00892922"</f>
        <v>00892922</v>
      </c>
    </row>
    <row r="18604" spans="1:2" x14ac:dyDescent="0.25">
      <c r="A18604" s="2">
        <v>18599</v>
      </c>
      <c r="B18604" s="3" t="str">
        <f>"00892953"</f>
        <v>00892953</v>
      </c>
    </row>
    <row r="18605" spans="1:2" x14ac:dyDescent="0.25">
      <c r="A18605" s="2">
        <v>18600</v>
      </c>
      <c r="B18605" s="3" t="str">
        <f>"00892993"</f>
        <v>00892993</v>
      </c>
    </row>
    <row r="18606" spans="1:2" x14ac:dyDescent="0.25">
      <c r="A18606" s="2">
        <v>18601</v>
      </c>
      <c r="B18606" s="3" t="str">
        <f>"00893029"</f>
        <v>00893029</v>
      </c>
    </row>
    <row r="18607" spans="1:2" x14ac:dyDescent="0.25">
      <c r="A18607" s="2">
        <v>18602</v>
      </c>
      <c r="B18607" s="3" t="str">
        <f>"00893065"</f>
        <v>00893065</v>
      </c>
    </row>
    <row r="18608" spans="1:2" x14ac:dyDescent="0.25">
      <c r="A18608" s="2">
        <v>18603</v>
      </c>
      <c r="B18608" s="3" t="str">
        <f>"00893084"</f>
        <v>00893084</v>
      </c>
    </row>
    <row r="18609" spans="1:2" x14ac:dyDescent="0.25">
      <c r="A18609" s="2">
        <v>18604</v>
      </c>
      <c r="B18609" s="3" t="str">
        <f>"00893165"</f>
        <v>00893165</v>
      </c>
    </row>
    <row r="18610" spans="1:2" x14ac:dyDescent="0.25">
      <c r="A18610" s="2">
        <v>18605</v>
      </c>
      <c r="B18610" s="3" t="str">
        <f>"00893170"</f>
        <v>00893170</v>
      </c>
    </row>
    <row r="18611" spans="1:2" x14ac:dyDescent="0.25">
      <c r="A18611" s="2">
        <v>18606</v>
      </c>
      <c r="B18611" s="3" t="str">
        <f>"00893196"</f>
        <v>00893196</v>
      </c>
    </row>
    <row r="18612" spans="1:2" x14ac:dyDescent="0.25">
      <c r="A18612" s="2">
        <v>18607</v>
      </c>
      <c r="B18612" s="3" t="str">
        <f>"00893326"</f>
        <v>00893326</v>
      </c>
    </row>
    <row r="18613" spans="1:2" x14ac:dyDescent="0.25">
      <c r="A18613" s="2">
        <v>18608</v>
      </c>
      <c r="B18613" s="3" t="str">
        <f>"00893392"</f>
        <v>00893392</v>
      </c>
    </row>
    <row r="18614" spans="1:2" x14ac:dyDescent="0.25">
      <c r="A18614" s="2">
        <v>18609</v>
      </c>
      <c r="B18614" s="3" t="str">
        <f>"00896649"</f>
        <v>00896649</v>
      </c>
    </row>
    <row r="18615" spans="1:2" x14ac:dyDescent="0.25">
      <c r="A18615" s="2">
        <v>18610</v>
      </c>
      <c r="B18615" s="3" t="str">
        <f>"00896708"</f>
        <v>00896708</v>
      </c>
    </row>
    <row r="18616" spans="1:2" x14ac:dyDescent="0.25">
      <c r="A18616" s="2">
        <v>18611</v>
      </c>
      <c r="B18616" s="3" t="str">
        <f>"00896711"</f>
        <v>00896711</v>
      </c>
    </row>
    <row r="18617" spans="1:2" x14ac:dyDescent="0.25">
      <c r="A18617" s="2">
        <v>18612</v>
      </c>
      <c r="B18617" s="3" t="str">
        <f>"00896862"</f>
        <v>00896862</v>
      </c>
    </row>
    <row r="18618" spans="1:2" x14ac:dyDescent="0.25">
      <c r="A18618" s="2">
        <v>18613</v>
      </c>
      <c r="B18618" s="3" t="str">
        <f>"00896908"</f>
        <v>00896908</v>
      </c>
    </row>
    <row r="18619" spans="1:2" x14ac:dyDescent="0.25">
      <c r="A18619" s="2">
        <v>18614</v>
      </c>
      <c r="B18619" s="3" t="str">
        <f>"00896916"</f>
        <v>00896916</v>
      </c>
    </row>
    <row r="18620" spans="1:2" x14ac:dyDescent="0.25">
      <c r="A18620" s="2">
        <v>18615</v>
      </c>
      <c r="B18620" s="3" t="str">
        <f>"00897057"</f>
        <v>00897057</v>
      </c>
    </row>
    <row r="18621" spans="1:2" x14ac:dyDescent="0.25">
      <c r="A18621" s="2">
        <v>18616</v>
      </c>
      <c r="B18621" s="3" t="str">
        <f>"00897271"</f>
        <v>00897271</v>
      </c>
    </row>
    <row r="18622" spans="1:2" x14ac:dyDescent="0.25">
      <c r="A18622" s="2">
        <v>18617</v>
      </c>
      <c r="B18622" s="3" t="str">
        <f>"00897302"</f>
        <v>00897302</v>
      </c>
    </row>
    <row r="18623" spans="1:2" x14ac:dyDescent="0.25">
      <c r="A18623" s="2">
        <v>18618</v>
      </c>
      <c r="B18623" s="3" t="str">
        <f>"00897311"</f>
        <v>00897311</v>
      </c>
    </row>
    <row r="18624" spans="1:2" x14ac:dyDescent="0.25">
      <c r="A18624" s="2">
        <v>18619</v>
      </c>
      <c r="B18624" s="3" t="str">
        <f>"00897400"</f>
        <v>00897400</v>
      </c>
    </row>
    <row r="18625" spans="1:2" x14ac:dyDescent="0.25">
      <c r="A18625" s="2">
        <v>18620</v>
      </c>
      <c r="B18625" s="3" t="str">
        <f>"00897503"</f>
        <v>00897503</v>
      </c>
    </row>
    <row r="18626" spans="1:2" x14ac:dyDescent="0.25">
      <c r="A18626" s="2">
        <v>18621</v>
      </c>
      <c r="B18626" s="3" t="str">
        <f>"00897762"</f>
        <v>00897762</v>
      </c>
    </row>
    <row r="18627" spans="1:2" x14ac:dyDescent="0.25">
      <c r="A18627" s="2">
        <v>18622</v>
      </c>
      <c r="B18627" s="3" t="str">
        <f>"00897837"</f>
        <v>00897837</v>
      </c>
    </row>
    <row r="18628" spans="1:2" x14ac:dyDescent="0.25">
      <c r="A18628" s="2">
        <v>18623</v>
      </c>
      <c r="B18628" s="3" t="str">
        <f>"00897936"</f>
        <v>00897936</v>
      </c>
    </row>
    <row r="18629" spans="1:2" x14ac:dyDescent="0.25">
      <c r="A18629" s="2">
        <v>18624</v>
      </c>
      <c r="B18629" s="3" t="str">
        <f>"00898138"</f>
        <v>00898138</v>
      </c>
    </row>
    <row r="18630" spans="1:2" x14ac:dyDescent="0.25">
      <c r="A18630" s="2">
        <v>18625</v>
      </c>
      <c r="B18630" s="3" t="str">
        <f>"00898152"</f>
        <v>00898152</v>
      </c>
    </row>
    <row r="18631" spans="1:2" x14ac:dyDescent="0.25">
      <c r="A18631" s="2">
        <v>18626</v>
      </c>
      <c r="B18631" s="3" t="str">
        <f>"00898163"</f>
        <v>00898163</v>
      </c>
    </row>
    <row r="18632" spans="1:2" x14ac:dyDescent="0.25">
      <c r="A18632" s="2">
        <v>18627</v>
      </c>
      <c r="B18632" s="3" t="str">
        <f>"00898200"</f>
        <v>00898200</v>
      </c>
    </row>
    <row r="18633" spans="1:2" x14ac:dyDescent="0.25">
      <c r="A18633" s="2">
        <v>18628</v>
      </c>
      <c r="B18633" s="3" t="str">
        <f>"00898273"</f>
        <v>00898273</v>
      </c>
    </row>
    <row r="18634" spans="1:2" x14ac:dyDescent="0.25">
      <c r="A18634" s="2">
        <v>18629</v>
      </c>
      <c r="B18634" s="3" t="str">
        <f>"00898328"</f>
        <v>00898328</v>
      </c>
    </row>
    <row r="18635" spans="1:2" x14ac:dyDescent="0.25">
      <c r="A18635" s="2">
        <v>18630</v>
      </c>
      <c r="B18635" s="3" t="str">
        <f>"00898748"</f>
        <v>00898748</v>
      </c>
    </row>
    <row r="18636" spans="1:2" x14ac:dyDescent="0.25">
      <c r="A18636" s="2">
        <v>18631</v>
      </c>
      <c r="B18636" s="3" t="str">
        <f>"00899226"</f>
        <v>00899226</v>
      </c>
    </row>
    <row r="18637" spans="1:2" x14ac:dyDescent="0.25">
      <c r="A18637" s="2">
        <v>18632</v>
      </c>
      <c r="B18637" s="3" t="str">
        <f>"00899268"</f>
        <v>00899268</v>
      </c>
    </row>
    <row r="18638" spans="1:2" x14ac:dyDescent="0.25">
      <c r="A18638" s="2">
        <v>18633</v>
      </c>
      <c r="B18638" s="3" t="str">
        <f>"00899637"</f>
        <v>00899637</v>
      </c>
    </row>
    <row r="18639" spans="1:2" x14ac:dyDescent="0.25">
      <c r="A18639" s="2">
        <v>18634</v>
      </c>
      <c r="B18639" s="3" t="str">
        <f>"00899738"</f>
        <v>00899738</v>
      </c>
    </row>
    <row r="18640" spans="1:2" x14ac:dyDescent="0.25">
      <c r="A18640" s="2">
        <v>18635</v>
      </c>
      <c r="B18640" s="3" t="str">
        <f>"00899791"</f>
        <v>00899791</v>
      </c>
    </row>
    <row r="18641" spans="1:2" x14ac:dyDescent="0.25">
      <c r="A18641" s="2">
        <v>18636</v>
      </c>
      <c r="B18641" s="3" t="str">
        <f>"00899859"</f>
        <v>00899859</v>
      </c>
    </row>
    <row r="18642" spans="1:2" x14ac:dyDescent="0.25">
      <c r="A18642" s="2">
        <v>18637</v>
      </c>
      <c r="B18642" s="3" t="str">
        <f>"00899935"</f>
        <v>00899935</v>
      </c>
    </row>
    <row r="18643" spans="1:2" x14ac:dyDescent="0.25">
      <c r="A18643" s="2">
        <v>18638</v>
      </c>
      <c r="B18643" s="3" t="str">
        <f>"00899989"</f>
        <v>00899989</v>
      </c>
    </row>
    <row r="18644" spans="1:2" x14ac:dyDescent="0.25">
      <c r="A18644" s="2">
        <v>18639</v>
      </c>
      <c r="B18644" s="3" t="str">
        <f>"00900043"</f>
        <v>00900043</v>
      </c>
    </row>
    <row r="18645" spans="1:2" x14ac:dyDescent="0.25">
      <c r="A18645" s="2">
        <v>18640</v>
      </c>
      <c r="B18645" s="3" t="str">
        <f>"00900061"</f>
        <v>00900061</v>
      </c>
    </row>
    <row r="18646" spans="1:2" x14ac:dyDescent="0.25">
      <c r="A18646" s="2">
        <v>18641</v>
      </c>
      <c r="B18646" s="3" t="str">
        <f>"00900272"</f>
        <v>00900272</v>
      </c>
    </row>
    <row r="18647" spans="1:2" x14ac:dyDescent="0.25">
      <c r="A18647" s="2">
        <v>18642</v>
      </c>
      <c r="B18647" s="3" t="str">
        <f>"00900317"</f>
        <v>00900317</v>
      </c>
    </row>
    <row r="18648" spans="1:2" x14ac:dyDescent="0.25">
      <c r="A18648" s="2">
        <v>18643</v>
      </c>
      <c r="B18648" s="3" t="str">
        <f>"00900369"</f>
        <v>00900369</v>
      </c>
    </row>
    <row r="18649" spans="1:2" x14ac:dyDescent="0.25">
      <c r="A18649" s="2">
        <v>18644</v>
      </c>
      <c r="B18649" s="3" t="str">
        <f>"00900374"</f>
        <v>00900374</v>
      </c>
    </row>
    <row r="18650" spans="1:2" x14ac:dyDescent="0.25">
      <c r="A18650" s="2">
        <v>18645</v>
      </c>
      <c r="B18650" s="3" t="str">
        <f>"00900409"</f>
        <v>00900409</v>
      </c>
    </row>
    <row r="18651" spans="1:2" x14ac:dyDescent="0.25">
      <c r="A18651" s="2">
        <v>18646</v>
      </c>
      <c r="B18651" s="3" t="str">
        <f>"00900491"</f>
        <v>00900491</v>
      </c>
    </row>
    <row r="18652" spans="1:2" x14ac:dyDescent="0.25">
      <c r="A18652" s="2">
        <v>18647</v>
      </c>
      <c r="B18652" s="3" t="str">
        <f>"00900591"</f>
        <v>00900591</v>
      </c>
    </row>
    <row r="18653" spans="1:2" x14ac:dyDescent="0.25">
      <c r="A18653" s="2">
        <v>18648</v>
      </c>
      <c r="B18653" s="3" t="str">
        <f>"00900615"</f>
        <v>00900615</v>
      </c>
    </row>
    <row r="18654" spans="1:2" x14ac:dyDescent="0.25">
      <c r="A18654" s="2">
        <v>18649</v>
      </c>
      <c r="B18654" s="3" t="str">
        <f>"00900636"</f>
        <v>00900636</v>
      </c>
    </row>
    <row r="18655" spans="1:2" x14ac:dyDescent="0.25">
      <c r="A18655" s="2">
        <v>18650</v>
      </c>
      <c r="B18655" s="3" t="str">
        <f>"00900713"</f>
        <v>00900713</v>
      </c>
    </row>
    <row r="18656" spans="1:2" x14ac:dyDescent="0.25">
      <c r="A18656" s="2">
        <v>18651</v>
      </c>
      <c r="B18656" s="3" t="str">
        <f>"00900769"</f>
        <v>00900769</v>
      </c>
    </row>
    <row r="18657" spans="1:2" x14ac:dyDescent="0.25">
      <c r="A18657" s="2">
        <v>18652</v>
      </c>
      <c r="B18657" s="3" t="str">
        <f>"00900856"</f>
        <v>00900856</v>
      </c>
    </row>
    <row r="18658" spans="1:2" x14ac:dyDescent="0.25">
      <c r="A18658" s="2">
        <v>18653</v>
      </c>
      <c r="B18658" s="3" t="str">
        <f>"00900874"</f>
        <v>00900874</v>
      </c>
    </row>
    <row r="18659" spans="1:2" x14ac:dyDescent="0.25">
      <c r="A18659" s="2">
        <v>18654</v>
      </c>
      <c r="B18659" s="3" t="str">
        <f>"00900974"</f>
        <v>00900974</v>
      </c>
    </row>
    <row r="18660" spans="1:2" x14ac:dyDescent="0.25">
      <c r="A18660" s="2">
        <v>18655</v>
      </c>
      <c r="B18660" s="3" t="str">
        <f>"00900975"</f>
        <v>00900975</v>
      </c>
    </row>
    <row r="18661" spans="1:2" x14ac:dyDescent="0.25">
      <c r="A18661" s="2">
        <v>18656</v>
      </c>
      <c r="B18661" s="3" t="str">
        <f>"00901145"</f>
        <v>00901145</v>
      </c>
    </row>
    <row r="18662" spans="1:2" x14ac:dyDescent="0.25">
      <c r="A18662" s="2">
        <v>18657</v>
      </c>
      <c r="B18662" s="3" t="str">
        <f>"00901214"</f>
        <v>00901214</v>
      </c>
    </row>
    <row r="18663" spans="1:2" x14ac:dyDescent="0.25">
      <c r="A18663" s="2">
        <v>18658</v>
      </c>
      <c r="B18663" s="3" t="str">
        <f>"00901242"</f>
        <v>00901242</v>
      </c>
    </row>
    <row r="18664" spans="1:2" x14ac:dyDescent="0.25">
      <c r="A18664" s="2">
        <v>18659</v>
      </c>
      <c r="B18664" s="3" t="str">
        <f>"00901313"</f>
        <v>00901313</v>
      </c>
    </row>
    <row r="18665" spans="1:2" x14ac:dyDescent="0.25">
      <c r="A18665" s="2">
        <v>18660</v>
      </c>
      <c r="B18665" s="3" t="str">
        <f>"00901377"</f>
        <v>00901377</v>
      </c>
    </row>
    <row r="18666" spans="1:2" x14ac:dyDescent="0.25">
      <c r="A18666" s="2">
        <v>18661</v>
      </c>
      <c r="B18666" s="3" t="str">
        <f>"00901391"</f>
        <v>00901391</v>
      </c>
    </row>
    <row r="18667" spans="1:2" x14ac:dyDescent="0.25">
      <c r="A18667" s="2">
        <v>18662</v>
      </c>
      <c r="B18667" s="3" t="str">
        <f>"00901700"</f>
        <v>00901700</v>
      </c>
    </row>
    <row r="18668" spans="1:2" x14ac:dyDescent="0.25">
      <c r="A18668" s="2">
        <v>18663</v>
      </c>
      <c r="B18668" s="3" t="str">
        <f>"00901720"</f>
        <v>00901720</v>
      </c>
    </row>
    <row r="18669" spans="1:2" x14ac:dyDescent="0.25">
      <c r="A18669" s="2">
        <v>18664</v>
      </c>
      <c r="B18669" s="3" t="str">
        <f>"00901745"</f>
        <v>00901745</v>
      </c>
    </row>
    <row r="18670" spans="1:2" x14ac:dyDescent="0.25">
      <c r="A18670" s="2">
        <v>18665</v>
      </c>
      <c r="B18670" s="3" t="str">
        <f>"00901752"</f>
        <v>00901752</v>
      </c>
    </row>
    <row r="18671" spans="1:2" x14ac:dyDescent="0.25">
      <c r="A18671" s="2">
        <v>18666</v>
      </c>
      <c r="B18671" s="3" t="str">
        <f>"00901834"</f>
        <v>00901834</v>
      </c>
    </row>
    <row r="18672" spans="1:2" x14ac:dyDescent="0.25">
      <c r="A18672" s="2">
        <v>18667</v>
      </c>
      <c r="B18672" s="3" t="str">
        <f>"00901856"</f>
        <v>00901856</v>
      </c>
    </row>
    <row r="18673" spans="1:2" x14ac:dyDescent="0.25">
      <c r="A18673" s="2">
        <v>18668</v>
      </c>
      <c r="B18673" s="3" t="str">
        <f>"00901930"</f>
        <v>00901930</v>
      </c>
    </row>
    <row r="18674" spans="1:2" x14ac:dyDescent="0.25">
      <c r="A18674" s="2">
        <v>18669</v>
      </c>
      <c r="B18674" s="3" t="str">
        <f>"00901967"</f>
        <v>00901967</v>
      </c>
    </row>
    <row r="18675" spans="1:2" x14ac:dyDescent="0.25">
      <c r="A18675" s="2">
        <v>18670</v>
      </c>
      <c r="B18675" s="3" t="str">
        <f>"00902042"</f>
        <v>00902042</v>
      </c>
    </row>
    <row r="18676" spans="1:2" x14ac:dyDescent="0.25">
      <c r="A18676" s="2">
        <v>18671</v>
      </c>
      <c r="B18676" s="3" t="str">
        <f>"00902192"</f>
        <v>00902192</v>
      </c>
    </row>
    <row r="18677" spans="1:2" x14ac:dyDescent="0.25">
      <c r="A18677" s="2">
        <v>18672</v>
      </c>
      <c r="B18677" s="3" t="str">
        <f>"00902224"</f>
        <v>00902224</v>
      </c>
    </row>
    <row r="18678" spans="1:2" x14ac:dyDescent="0.25">
      <c r="A18678" s="2">
        <v>18673</v>
      </c>
      <c r="B18678" s="3" t="str">
        <f>"00902238"</f>
        <v>00902238</v>
      </c>
    </row>
    <row r="18679" spans="1:2" x14ac:dyDescent="0.25">
      <c r="A18679" s="2">
        <v>18674</v>
      </c>
      <c r="B18679" s="3" t="str">
        <f>"00902264"</f>
        <v>00902264</v>
      </c>
    </row>
    <row r="18680" spans="1:2" x14ac:dyDescent="0.25">
      <c r="A18680" s="2">
        <v>18675</v>
      </c>
      <c r="B18680" s="3" t="str">
        <f>"00902313"</f>
        <v>00902313</v>
      </c>
    </row>
    <row r="18681" spans="1:2" x14ac:dyDescent="0.25">
      <c r="A18681" s="2">
        <v>18676</v>
      </c>
      <c r="B18681" s="3" t="str">
        <f>"00902682"</f>
        <v>00902682</v>
      </c>
    </row>
    <row r="18682" spans="1:2" x14ac:dyDescent="0.25">
      <c r="A18682" s="2">
        <v>18677</v>
      </c>
      <c r="B18682" s="3" t="str">
        <f>"00902693"</f>
        <v>00902693</v>
      </c>
    </row>
    <row r="18683" spans="1:2" x14ac:dyDescent="0.25">
      <c r="A18683" s="2">
        <v>18678</v>
      </c>
      <c r="B18683" s="3" t="str">
        <f>"00902793"</f>
        <v>00902793</v>
      </c>
    </row>
    <row r="18684" spans="1:2" x14ac:dyDescent="0.25">
      <c r="A18684" s="2">
        <v>18679</v>
      </c>
      <c r="B18684" s="3" t="str">
        <f>"00902961"</f>
        <v>00902961</v>
      </c>
    </row>
    <row r="18685" spans="1:2" x14ac:dyDescent="0.25">
      <c r="A18685" s="2">
        <v>18680</v>
      </c>
      <c r="B18685" s="3" t="str">
        <f>"00903048"</f>
        <v>00903048</v>
      </c>
    </row>
    <row r="18686" spans="1:2" x14ac:dyDescent="0.25">
      <c r="A18686" s="2">
        <v>18681</v>
      </c>
      <c r="B18686" s="3" t="str">
        <f>"00903107"</f>
        <v>00903107</v>
      </c>
    </row>
    <row r="18687" spans="1:2" x14ac:dyDescent="0.25">
      <c r="A18687" s="2">
        <v>18682</v>
      </c>
      <c r="B18687" s="3" t="str">
        <f>"00903121"</f>
        <v>00903121</v>
      </c>
    </row>
    <row r="18688" spans="1:2" x14ac:dyDescent="0.25">
      <c r="A18688" s="2">
        <v>18683</v>
      </c>
      <c r="B18688" s="3" t="str">
        <f>"00903151"</f>
        <v>00903151</v>
      </c>
    </row>
    <row r="18689" spans="1:2" x14ac:dyDescent="0.25">
      <c r="A18689" s="2">
        <v>18684</v>
      </c>
      <c r="B18689" s="3" t="str">
        <f>"00903239"</f>
        <v>00903239</v>
      </c>
    </row>
    <row r="18690" spans="1:2" x14ac:dyDescent="0.25">
      <c r="A18690" s="2">
        <v>18685</v>
      </c>
      <c r="B18690" s="3" t="str">
        <f>"00903241"</f>
        <v>00903241</v>
      </c>
    </row>
    <row r="18691" spans="1:2" x14ac:dyDescent="0.25">
      <c r="A18691" s="2">
        <v>18686</v>
      </c>
      <c r="B18691" s="3" t="str">
        <f>"00903330"</f>
        <v>00903330</v>
      </c>
    </row>
    <row r="18692" spans="1:2" x14ac:dyDescent="0.25">
      <c r="A18692" s="2">
        <v>18687</v>
      </c>
      <c r="B18692" s="3" t="str">
        <f>"00903445"</f>
        <v>00903445</v>
      </c>
    </row>
    <row r="18693" spans="1:2" x14ac:dyDescent="0.25">
      <c r="A18693" s="2">
        <v>18688</v>
      </c>
      <c r="B18693" s="3" t="str">
        <f>"00903455"</f>
        <v>00903455</v>
      </c>
    </row>
    <row r="18694" spans="1:2" x14ac:dyDescent="0.25">
      <c r="A18694" s="2">
        <v>18689</v>
      </c>
      <c r="B18694" s="3" t="str">
        <f>"00903541"</f>
        <v>00903541</v>
      </c>
    </row>
    <row r="18695" spans="1:2" x14ac:dyDescent="0.25">
      <c r="A18695" s="2">
        <v>18690</v>
      </c>
      <c r="B18695" s="3" t="str">
        <f>"00903581"</f>
        <v>00903581</v>
      </c>
    </row>
    <row r="18696" spans="1:2" x14ac:dyDescent="0.25">
      <c r="A18696" s="2">
        <v>18691</v>
      </c>
      <c r="B18696" s="3" t="str">
        <f>"00903599"</f>
        <v>00903599</v>
      </c>
    </row>
    <row r="18697" spans="1:2" x14ac:dyDescent="0.25">
      <c r="A18697" s="2">
        <v>18692</v>
      </c>
      <c r="B18697" s="3" t="str">
        <f>"00903671"</f>
        <v>00903671</v>
      </c>
    </row>
    <row r="18698" spans="1:2" x14ac:dyDescent="0.25">
      <c r="A18698" s="2">
        <v>18693</v>
      </c>
      <c r="B18698" s="3" t="str">
        <f>"00903735"</f>
        <v>00903735</v>
      </c>
    </row>
    <row r="18699" spans="1:2" x14ac:dyDescent="0.25">
      <c r="A18699" s="2">
        <v>18694</v>
      </c>
      <c r="B18699" s="3" t="str">
        <f>"00903787"</f>
        <v>00903787</v>
      </c>
    </row>
    <row r="18700" spans="1:2" x14ac:dyDescent="0.25">
      <c r="A18700" s="2">
        <v>18695</v>
      </c>
      <c r="B18700" s="3" t="str">
        <f>"00903798"</f>
        <v>00903798</v>
      </c>
    </row>
    <row r="18701" spans="1:2" x14ac:dyDescent="0.25">
      <c r="A18701" s="2">
        <v>18696</v>
      </c>
      <c r="B18701" s="3" t="str">
        <f>"00903841"</f>
        <v>00903841</v>
      </c>
    </row>
    <row r="18702" spans="1:2" x14ac:dyDescent="0.25">
      <c r="A18702" s="2">
        <v>18697</v>
      </c>
      <c r="B18702" s="3" t="str">
        <f>"00903879"</f>
        <v>00903879</v>
      </c>
    </row>
    <row r="18703" spans="1:2" x14ac:dyDescent="0.25">
      <c r="A18703" s="2">
        <v>18698</v>
      </c>
      <c r="B18703" s="3" t="str">
        <f>"00903982"</f>
        <v>00903982</v>
      </c>
    </row>
    <row r="18704" spans="1:2" x14ac:dyDescent="0.25">
      <c r="A18704" s="2">
        <v>18699</v>
      </c>
      <c r="B18704" s="3" t="str">
        <f>"00904088"</f>
        <v>00904088</v>
      </c>
    </row>
    <row r="18705" spans="1:2" x14ac:dyDescent="0.25">
      <c r="A18705" s="2">
        <v>18700</v>
      </c>
      <c r="B18705" s="3" t="str">
        <f>"00904092"</f>
        <v>00904092</v>
      </c>
    </row>
    <row r="18706" spans="1:2" x14ac:dyDescent="0.25">
      <c r="A18706" s="2">
        <v>18701</v>
      </c>
      <c r="B18706" s="3" t="str">
        <f>"00904120"</f>
        <v>00904120</v>
      </c>
    </row>
    <row r="18707" spans="1:2" x14ac:dyDescent="0.25">
      <c r="A18707" s="2">
        <v>18702</v>
      </c>
      <c r="B18707" s="3" t="str">
        <f>"00904176"</f>
        <v>00904176</v>
      </c>
    </row>
    <row r="18708" spans="1:2" x14ac:dyDescent="0.25">
      <c r="A18708" s="2">
        <v>18703</v>
      </c>
      <c r="B18708" s="3" t="str">
        <f>"00904182"</f>
        <v>00904182</v>
      </c>
    </row>
    <row r="18709" spans="1:2" x14ac:dyDescent="0.25">
      <c r="A18709" s="2">
        <v>18704</v>
      </c>
      <c r="B18709" s="3" t="str">
        <f>"00904198"</f>
        <v>00904198</v>
      </c>
    </row>
    <row r="18710" spans="1:2" x14ac:dyDescent="0.25">
      <c r="A18710" s="2">
        <v>18705</v>
      </c>
      <c r="B18710" s="3" t="str">
        <f>"00904211"</f>
        <v>00904211</v>
      </c>
    </row>
    <row r="18711" spans="1:2" x14ac:dyDescent="0.25">
      <c r="A18711" s="2">
        <v>18706</v>
      </c>
      <c r="B18711" s="3" t="str">
        <f>"00904284"</f>
        <v>00904284</v>
      </c>
    </row>
    <row r="18712" spans="1:2" x14ac:dyDescent="0.25">
      <c r="A18712" s="2">
        <v>18707</v>
      </c>
      <c r="B18712" s="3" t="str">
        <f>"00904335"</f>
        <v>00904335</v>
      </c>
    </row>
    <row r="18713" spans="1:2" x14ac:dyDescent="0.25">
      <c r="A18713" s="2">
        <v>18708</v>
      </c>
      <c r="B18713" s="3" t="str">
        <f>"00904356"</f>
        <v>00904356</v>
      </c>
    </row>
    <row r="18714" spans="1:2" x14ac:dyDescent="0.25">
      <c r="A18714" s="2">
        <v>18709</v>
      </c>
      <c r="B18714" s="3" t="str">
        <f>"00904408"</f>
        <v>00904408</v>
      </c>
    </row>
    <row r="18715" spans="1:2" x14ac:dyDescent="0.25">
      <c r="A18715" s="2">
        <v>18710</v>
      </c>
      <c r="B18715" s="3" t="str">
        <f>"00904440"</f>
        <v>00904440</v>
      </c>
    </row>
    <row r="18716" spans="1:2" x14ac:dyDescent="0.25">
      <c r="A18716" s="2">
        <v>18711</v>
      </c>
      <c r="B18716" s="3" t="str">
        <f>"00904447"</f>
        <v>00904447</v>
      </c>
    </row>
    <row r="18717" spans="1:2" x14ac:dyDescent="0.25">
      <c r="A18717" s="2">
        <v>18712</v>
      </c>
      <c r="B18717" s="3" t="str">
        <f>"00904495"</f>
        <v>00904495</v>
      </c>
    </row>
    <row r="18718" spans="1:2" x14ac:dyDescent="0.25">
      <c r="A18718" s="2">
        <v>18713</v>
      </c>
      <c r="B18718" s="3" t="str">
        <f>"00904625"</f>
        <v>00904625</v>
      </c>
    </row>
    <row r="18719" spans="1:2" x14ac:dyDescent="0.25">
      <c r="A18719" s="2">
        <v>18714</v>
      </c>
      <c r="B18719" s="3" t="str">
        <f>"00904713"</f>
        <v>00904713</v>
      </c>
    </row>
    <row r="18720" spans="1:2" x14ac:dyDescent="0.25">
      <c r="A18720" s="2">
        <v>18715</v>
      </c>
      <c r="B18720" s="3" t="str">
        <f>"00904715"</f>
        <v>00904715</v>
      </c>
    </row>
    <row r="18721" spans="1:2" x14ac:dyDescent="0.25">
      <c r="A18721" s="2">
        <v>18716</v>
      </c>
      <c r="B18721" s="3" t="str">
        <f>"00904740"</f>
        <v>00904740</v>
      </c>
    </row>
    <row r="18722" spans="1:2" x14ac:dyDescent="0.25">
      <c r="A18722" s="2">
        <v>18717</v>
      </c>
      <c r="B18722" s="3" t="str">
        <f>"00904822"</f>
        <v>00904822</v>
      </c>
    </row>
    <row r="18723" spans="1:2" x14ac:dyDescent="0.25">
      <c r="A18723" s="2">
        <v>18718</v>
      </c>
      <c r="B18723" s="3" t="str">
        <f>"00904884"</f>
        <v>00904884</v>
      </c>
    </row>
    <row r="18724" spans="1:2" x14ac:dyDescent="0.25">
      <c r="A18724" s="2">
        <v>18719</v>
      </c>
      <c r="B18724" s="3" t="str">
        <f>"00905033"</f>
        <v>00905033</v>
      </c>
    </row>
    <row r="18725" spans="1:2" x14ac:dyDescent="0.25">
      <c r="A18725" s="2">
        <v>18720</v>
      </c>
      <c r="B18725" s="3" t="str">
        <f>"00905036"</f>
        <v>00905036</v>
      </c>
    </row>
    <row r="18726" spans="1:2" x14ac:dyDescent="0.25">
      <c r="A18726" s="2">
        <v>18721</v>
      </c>
      <c r="B18726" s="3" t="str">
        <f>"00905060"</f>
        <v>00905060</v>
      </c>
    </row>
    <row r="18727" spans="1:2" x14ac:dyDescent="0.25">
      <c r="A18727" s="2">
        <v>18722</v>
      </c>
      <c r="B18727" s="3" t="str">
        <f>"00905220"</f>
        <v>00905220</v>
      </c>
    </row>
    <row r="18728" spans="1:2" x14ac:dyDescent="0.25">
      <c r="A18728" s="2">
        <v>18723</v>
      </c>
      <c r="B18728" s="3" t="str">
        <f>"00905240"</f>
        <v>00905240</v>
      </c>
    </row>
    <row r="18729" spans="1:2" x14ac:dyDescent="0.25">
      <c r="A18729" s="2">
        <v>18724</v>
      </c>
      <c r="B18729" s="3" t="str">
        <f>"00905254"</f>
        <v>00905254</v>
      </c>
    </row>
    <row r="18730" spans="1:2" x14ac:dyDescent="0.25">
      <c r="A18730" s="2">
        <v>18725</v>
      </c>
      <c r="B18730" s="3" t="str">
        <f>"00905301"</f>
        <v>00905301</v>
      </c>
    </row>
    <row r="18731" spans="1:2" x14ac:dyDescent="0.25">
      <c r="A18731" s="2">
        <v>18726</v>
      </c>
      <c r="B18731" s="3" t="str">
        <f>"00905307"</f>
        <v>00905307</v>
      </c>
    </row>
    <row r="18732" spans="1:2" x14ac:dyDescent="0.25">
      <c r="A18732" s="2">
        <v>18727</v>
      </c>
      <c r="B18732" s="3" t="str">
        <f>"00905359"</f>
        <v>00905359</v>
      </c>
    </row>
    <row r="18733" spans="1:2" x14ac:dyDescent="0.25">
      <c r="A18733" s="2">
        <v>18728</v>
      </c>
      <c r="B18733" s="3" t="str">
        <f>"00905432"</f>
        <v>00905432</v>
      </c>
    </row>
    <row r="18734" spans="1:2" x14ac:dyDescent="0.25">
      <c r="A18734" s="2">
        <v>18729</v>
      </c>
      <c r="B18734" s="3" t="str">
        <f>"00905472"</f>
        <v>00905472</v>
      </c>
    </row>
    <row r="18735" spans="1:2" x14ac:dyDescent="0.25">
      <c r="A18735" s="2">
        <v>18730</v>
      </c>
      <c r="B18735" s="3" t="str">
        <f>"00905633"</f>
        <v>00905633</v>
      </c>
    </row>
    <row r="18736" spans="1:2" x14ac:dyDescent="0.25">
      <c r="A18736" s="2">
        <v>18731</v>
      </c>
      <c r="B18736" s="3" t="str">
        <f>"00905647"</f>
        <v>00905647</v>
      </c>
    </row>
    <row r="18737" spans="1:2" x14ac:dyDescent="0.25">
      <c r="A18737" s="2">
        <v>18732</v>
      </c>
      <c r="B18737" s="3" t="str">
        <f>"00905678"</f>
        <v>00905678</v>
      </c>
    </row>
    <row r="18738" spans="1:2" x14ac:dyDescent="0.25">
      <c r="A18738" s="2">
        <v>18733</v>
      </c>
      <c r="B18738" s="3" t="str">
        <f>"00905752"</f>
        <v>00905752</v>
      </c>
    </row>
    <row r="18739" spans="1:2" x14ac:dyDescent="0.25">
      <c r="A18739" s="2">
        <v>18734</v>
      </c>
      <c r="B18739" s="3" t="str">
        <f>"00905774"</f>
        <v>00905774</v>
      </c>
    </row>
    <row r="18740" spans="1:2" x14ac:dyDescent="0.25">
      <c r="A18740" s="2">
        <v>18735</v>
      </c>
      <c r="B18740" s="3" t="str">
        <f>"00905776"</f>
        <v>00905776</v>
      </c>
    </row>
    <row r="18741" spans="1:2" x14ac:dyDescent="0.25">
      <c r="A18741" s="2">
        <v>18736</v>
      </c>
      <c r="B18741" s="3" t="str">
        <f>"00905818"</f>
        <v>00905818</v>
      </c>
    </row>
    <row r="18742" spans="1:2" x14ac:dyDescent="0.25">
      <c r="A18742" s="2">
        <v>18737</v>
      </c>
      <c r="B18742" s="3" t="str">
        <f>"00905874"</f>
        <v>00905874</v>
      </c>
    </row>
    <row r="18743" spans="1:2" x14ac:dyDescent="0.25">
      <c r="A18743" s="2">
        <v>18738</v>
      </c>
      <c r="B18743" s="3" t="str">
        <f>"00905876"</f>
        <v>00905876</v>
      </c>
    </row>
    <row r="18744" spans="1:2" x14ac:dyDescent="0.25">
      <c r="A18744" s="2">
        <v>18739</v>
      </c>
      <c r="B18744" s="3" t="str">
        <f>"00905939"</f>
        <v>00905939</v>
      </c>
    </row>
    <row r="18745" spans="1:2" x14ac:dyDescent="0.25">
      <c r="A18745" s="2">
        <v>18740</v>
      </c>
      <c r="B18745" s="3" t="str">
        <f>"00905943"</f>
        <v>00905943</v>
      </c>
    </row>
    <row r="18746" spans="1:2" x14ac:dyDescent="0.25">
      <c r="A18746" s="2">
        <v>18741</v>
      </c>
      <c r="B18746" s="3" t="str">
        <f>"00906027"</f>
        <v>00906027</v>
      </c>
    </row>
    <row r="18747" spans="1:2" x14ac:dyDescent="0.25">
      <c r="A18747" s="2">
        <v>18742</v>
      </c>
      <c r="B18747" s="3" t="str">
        <f>"00906107"</f>
        <v>00906107</v>
      </c>
    </row>
    <row r="18748" spans="1:2" x14ac:dyDescent="0.25">
      <c r="A18748" s="2">
        <v>18743</v>
      </c>
      <c r="B18748" s="3" t="str">
        <f>"00906157"</f>
        <v>00906157</v>
      </c>
    </row>
    <row r="18749" spans="1:2" x14ac:dyDescent="0.25">
      <c r="A18749" s="2">
        <v>18744</v>
      </c>
      <c r="B18749" s="3" t="str">
        <f>"00906262"</f>
        <v>00906262</v>
      </c>
    </row>
    <row r="18750" spans="1:2" x14ac:dyDescent="0.25">
      <c r="A18750" s="2">
        <v>18745</v>
      </c>
      <c r="B18750" s="3" t="str">
        <f>"00906313"</f>
        <v>00906313</v>
      </c>
    </row>
    <row r="18751" spans="1:2" x14ac:dyDescent="0.25">
      <c r="A18751" s="2">
        <v>18746</v>
      </c>
      <c r="B18751" s="3" t="str">
        <f>"00906357"</f>
        <v>00906357</v>
      </c>
    </row>
    <row r="18752" spans="1:2" x14ac:dyDescent="0.25">
      <c r="A18752" s="2">
        <v>18747</v>
      </c>
      <c r="B18752" s="3" t="str">
        <f>"00906471"</f>
        <v>00906471</v>
      </c>
    </row>
    <row r="18753" spans="1:2" x14ac:dyDescent="0.25">
      <c r="A18753" s="2">
        <v>18748</v>
      </c>
      <c r="B18753" s="3" t="str">
        <f>"00906568"</f>
        <v>00906568</v>
      </c>
    </row>
    <row r="18754" spans="1:2" x14ac:dyDescent="0.25">
      <c r="A18754" s="2">
        <v>18749</v>
      </c>
      <c r="B18754" s="3" t="str">
        <f>"00906644"</f>
        <v>00906644</v>
      </c>
    </row>
    <row r="18755" spans="1:2" x14ac:dyDescent="0.25">
      <c r="A18755" s="2">
        <v>18750</v>
      </c>
      <c r="B18755" s="3" t="str">
        <f>"00906719"</f>
        <v>00906719</v>
      </c>
    </row>
    <row r="18756" spans="1:2" x14ac:dyDescent="0.25">
      <c r="A18756" s="2">
        <v>18751</v>
      </c>
      <c r="B18756" s="3" t="str">
        <f>"00906889"</f>
        <v>00906889</v>
      </c>
    </row>
    <row r="18757" spans="1:2" x14ac:dyDescent="0.25">
      <c r="A18757" s="2">
        <v>18752</v>
      </c>
      <c r="B18757" s="3" t="str">
        <f>"00906936"</f>
        <v>00906936</v>
      </c>
    </row>
    <row r="18758" spans="1:2" x14ac:dyDescent="0.25">
      <c r="A18758" s="2">
        <v>18753</v>
      </c>
      <c r="B18758" s="3" t="str">
        <f>"00907277"</f>
        <v>00907277</v>
      </c>
    </row>
    <row r="18759" spans="1:2" x14ac:dyDescent="0.25">
      <c r="A18759" s="2">
        <v>18754</v>
      </c>
      <c r="B18759" s="3" t="str">
        <f>"00907549"</f>
        <v>00907549</v>
      </c>
    </row>
    <row r="18760" spans="1:2" x14ac:dyDescent="0.25">
      <c r="A18760" s="2">
        <v>18755</v>
      </c>
      <c r="B18760" s="3" t="str">
        <f>"00907632"</f>
        <v>00907632</v>
      </c>
    </row>
    <row r="18761" spans="1:2" x14ac:dyDescent="0.25">
      <c r="A18761" s="2">
        <v>18756</v>
      </c>
      <c r="B18761" s="3" t="str">
        <f>"00907743"</f>
        <v>00907743</v>
      </c>
    </row>
    <row r="18762" spans="1:2" x14ac:dyDescent="0.25">
      <c r="A18762" s="2">
        <v>18757</v>
      </c>
      <c r="B18762" s="3" t="str">
        <f>"00907825"</f>
        <v>00907825</v>
      </c>
    </row>
    <row r="18763" spans="1:2" x14ac:dyDescent="0.25">
      <c r="A18763" s="2">
        <v>18758</v>
      </c>
      <c r="B18763" s="3" t="str">
        <f>"00907885"</f>
        <v>00907885</v>
      </c>
    </row>
    <row r="18764" spans="1:2" x14ac:dyDescent="0.25">
      <c r="A18764" s="2">
        <v>18759</v>
      </c>
      <c r="B18764" s="3" t="str">
        <f>"00908051"</f>
        <v>00908051</v>
      </c>
    </row>
    <row r="18765" spans="1:2" x14ac:dyDescent="0.25">
      <c r="A18765" s="2">
        <v>18760</v>
      </c>
      <c r="B18765" s="3" t="str">
        <f>"00908116"</f>
        <v>00908116</v>
      </c>
    </row>
    <row r="18766" spans="1:2" x14ac:dyDescent="0.25">
      <c r="A18766" s="2">
        <v>18761</v>
      </c>
      <c r="B18766" s="3" t="str">
        <f>"00908256"</f>
        <v>00908256</v>
      </c>
    </row>
    <row r="18767" spans="1:2" x14ac:dyDescent="0.25">
      <c r="A18767" s="2">
        <v>18762</v>
      </c>
      <c r="B18767" s="3" t="str">
        <f>"00908284"</f>
        <v>00908284</v>
      </c>
    </row>
    <row r="18768" spans="1:2" x14ac:dyDescent="0.25">
      <c r="A18768" s="2">
        <v>18763</v>
      </c>
      <c r="B18768" s="3" t="str">
        <f>"00908495"</f>
        <v>00908495</v>
      </c>
    </row>
    <row r="18769" spans="1:2" x14ac:dyDescent="0.25">
      <c r="A18769" s="2">
        <v>18764</v>
      </c>
      <c r="B18769" s="3" t="str">
        <f>"00908532"</f>
        <v>00908532</v>
      </c>
    </row>
    <row r="18770" spans="1:2" x14ac:dyDescent="0.25">
      <c r="A18770" s="2">
        <v>18765</v>
      </c>
      <c r="B18770" s="3" t="str">
        <f>"00908614"</f>
        <v>00908614</v>
      </c>
    </row>
    <row r="18771" spans="1:2" x14ac:dyDescent="0.25">
      <c r="A18771" s="2">
        <v>18766</v>
      </c>
      <c r="B18771" s="3" t="str">
        <f>"00908700"</f>
        <v>00908700</v>
      </c>
    </row>
    <row r="18772" spans="1:2" x14ac:dyDescent="0.25">
      <c r="A18772" s="2">
        <v>18767</v>
      </c>
      <c r="B18772" s="3" t="str">
        <f>"00908813"</f>
        <v>00908813</v>
      </c>
    </row>
    <row r="18773" spans="1:2" x14ac:dyDescent="0.25">
      <c r="A18773" s="2">
        <v>18768</v>
      </c>
      <c r="B18773" s="3" t="str">
        <f>"00908940"</f>
        <v>00908940</v>
      </c>
    </row>
    <row r="18774" spans="1:2" x14ac:dyDescent="0.25">
      <c r="A18774" s="2">
        <v>18769</v>
      </c>
      <c r="B18774" s="3" t="str">
        <f>"00908992"</f>
        <v>00908992</v>
      </c>
    </row>
    <row r="18775" spans="1:2" x14ac:dyDescent="0.25">
      <c r="A18775" s="2">
        <v>18770</v>
      </c>
      <c r="B18775" s="3" t="str">
        <f>"00909101"</f>
        <v>00909101</v>
      </c>
    </row>
    <row r="18776" spans="1:2" x14ac:dyDescent="0.25">
      <c r="A18776" s="2">
        <v>18771</v>
      </c>
      <c r="B18776" s="3" t="str">
        <f>"00909133"</f>
        <v>00909133</v>
      </c>
    </row>
    <row r="18777" spans="1:2" x14ac:dyDescent="0.25">
      <c r="A18777" s="2">
        <v>18772</v>
      </c>
      <c r="B18777" s="3" t="str">
        <f>"00909183"</f>
        <v>00909183</v>
      </c>
    </row>
    <row r="18778" spans="1:2" x14ac:dyDescent="0.25">
      <c r="A18778" s="2">
        <v>18773</v>
      </c>
      <c r="B18778" s="3" t="str">
        <f>"00909227"</f>
        <v>00909227</v>
      </c>
    </row>
    <row r="18779" spans="1:2" x14ac:dyDescent="0.25">
      <c r="A18779" s="2">
        <v>18774</v>
      </c>
      <c r="B18779" s="3" t="str">
        <f>"00909278"</f>
        <v>00909278</v>
      </c>
    </row>
    <row r="18780" spans="1:2" x14ac:dyDescent="0.25">
      <c r="A18780" s="2">
        <v>18775</v>
      </c>
      <c r="B18780" s="3" t="str">
        <f>"00909326"</f>
        <v>00909326</v>
      </c>
    </row>
    <row r="18781" spans="1:2" x14ac:dyDescent="0.25">
      <c r="A18781" s="2">
        <v>18776</v>
      </c>
      <c r="B18781" s="3" t="str">
        <f>"00909485"</f>
        <v>00909485</v>
      </c>
    </row>
    <row r="18782" spans="1:2" x14ac:dyDescent="0.25">
      <c r="A18782" s="2">
        <v>18777</v>
      </c>
      <c r="B18782" s="3" t="str">
        <f>"00909491"</f>
        <v>00909491</v>
      </c>
    </row>
    <row r="18783" spans="1:2" x14ac:dyDescent="0.25">
      <c r="A18783" s="2">
        <v>18778</v>
      </c>
      <c r="B18783" s="3" t="str">
        <f>"00909519"</f>
        <v>00909519</v>
      </c>
    </row>
    <row r="18784" spans="1:2" x14ac:dyDescent="0.25">
      <c r="A18784" s="2">
        <v>18779</v>
      </c>
      <c r="B18784" s="3" t="str">
        <f>"00909573"</f>
        <v>00909573</v>
      </c>
    </row>
    <row r="18785" spans="1:2" x14ac:dyDescent="0.25">
      <c r="A18785" s="2">
        <v>18780</v>
      </c>
      <c r="B18785" s="3" t="str">
        <f>"00909601"</f>
        <v>00909601</v>
      </c>
    </row>
    <row r="18786" spans="1:2" x14ac:dyDescent="0.25">
      <c r="A18786" s="2">
        <v>18781</v>
      </c>
      <c r="B18786" s="3" t="str">
        <f>"00909683"</f>
        <v>00909683</v>
      </c>
    </row>
    <row r="18787" spans="1:2" x14ac:dyDescent="0.25">
      <c r="A18787" s="2">
        <v>18782</v>
      </c>
      <c r="B18787" s="3" t="str">
        <f>"00909712"</f>
        <v>00909712</v>
      </c>
    </row>
    <row r="18788" spans="1:2" x14ac:dyDescent="0.25">
      <c r="A18788" s="2">
        <v>18783</v>
      </c>
      <c r="B18788" s="3" t="str">
        <f>"00909734"</f>
        <v>00909734</v>
      </c>
    </row>
    <row r="18789" spans="1:2" x14ac:dyDescent="0.25">
      <c r="A18789" s="2">
        <v>18784</v>
      </c>
      <c r="B18789" s="3" t="str">
        <f>"00909801"</f>
        <v>00909801</v>
      </c>
    </row>
    <row r="18790" spans="1:2" x14ac:dyDescent="0.25">
      <c r="A18790" s="2">
        <v>18785</v>
      </c>
      <c r="B18790" s="3" t="str">
        <f>"00909831"</f>
        <v>00909831</v>
      </c>
    </row>
    <row r="18791" spans="1:2" x14ac:dyDescent="0.25">
      <c r="A18791" s="2">
        <v>18786</v>
      </c>
      <c r="B18791" s="3" t="str">
        <f>"00909863"</f>
        <v>00909863</v>
      </c>
    </row>
    <row r="18792" spans="1:2" x14ac:dyDescent="0.25">
      <c r="A18792" s="2">
        <v>18787</v>
      </c>
      <c r="B18792" s="3" t="str">
        <f>"00909921"</f>
        <v>00909921</v>
      </c>
    </row>
    <row r="18793" spans="1:2" x14ac:dyDescent="0.25">
      <c r="A18793" s="2">
        <v>18788</v>
      </c>
      <c r="B18793" s="3" t="str">
        <f>"00910091"</f>
        <v>00910091</v>
      </c>
    </row>
    <row r="18794" spans="1:2" x14ac:dyDescent="0.25">
      <c r="A18794" s="2">
        <v>18789</v>
      </c>
      <c r="B18794" s="3" t="str">
        <f>"00910166"</f>
        <v>00910166</v>
      </c>
    </row>
    <row r="18795" spans="1:2" x14ac:dyDescent="0.25">
      <c r="A18795" s="2">
        <v>18790</v>
      </c>
      <c r="B18795" s="3" t="str">
        <f>"00910347"</f>
        <v>00910347</v>
      </c>
    </row>
    <row r="18796" spans="1:2" x14ac:dyDescent="0.25">
      <c r="A18796" s="2">
        <v>18791</v>
      </c>
      <c r="B18796" s="3" t="str">
        <f>"00910469"</f>
        <v>00910469</v>
      </c>
    </row>
    <row r="18797" spans="1:2" x14ac:dyDescent="0.25">
      <c r="A18797" s="2">
        <v>18792</v>
      </c>
      <c r="B18797" s="3" t="str">
        <f>"00910581"</f>
        <v>00910581</v>
      </c>
    </row>
    <row r="18798" spans="1:2" x14ac:dyDescent="0.25">
      <c r="A18798" s="2">
        <v>18793</v>
      </c>
      <c r="B18798" s="3" t="str">
        <f>"00910761"</f>
        <v>00910761</v>
      </c>
    </row>
    <row r="18799" spans="1:2" x14ac:dyDescent="0.25">
      <c r="A18799" s="2">
        <v>18794</v>
      </c>
      <c r="B18799" s="3" t="str">
        <f>"00910790"</f>
        <v>00910790</v>
      </c>
    </row>
    <row r="18800" spans="1:2" x14ac:dyDescent="0.25">
      <c r="A18800" s="2">
        <v>18795</v>
      </c>
      <c r="B18800" s="3" t="str">
        <f>"00910832"</f>
        <v>00910832</v>
      </c>
    </row>
    <row r="18801" spans="1:2" x14ac:dyDescent="0.25">
      <c r="A18801" s="2">
        <v>18796</v>
      </c>
      <c r="B18801" s="3" t="str">
        <f>"00910852"</f>
        <v>00910852</v>
      </c>
    </row>
    <row r="18802" spans="1:2" x14ac:dyDescent="0.25">
      <c r="A18802" s="2">
        <v>18797</v>
      </c>
      <c r="B18802" s="3" t="str">
        <f>"00910863"</f>
        <v>00910863</v>
      </c>
    </row>
    <row r="18803" spans="1:2" x14ac:dyDescent="0.25">
      <c r="A18803" s="2">
        <v>18798</v>
      </c>
      <c r="B18803" s="3" t="str">
        <f>"00910912"</f>
        <v>00910912</v>
      </c>
    </row>
    <row r="18804" spans="1:2" x14ac:dyDescent="0.25">
      <c r="A18804" s="2">
        <v>18799</v>
      </c>
      <c r="B18804" s="3" t="str">
        <f>"00910961"</f>
        <v>00910961</v>
      </c>
    </row>
    <row r="18805" spans="1:2" x14ac:dyDescent="0.25">
      <c r="A18805" s="2">
        <v>18800</v>
      </c>
      <c r="B18805" s="3" t="str">
        <f>"00910992"</f>
        <v>00910992</v>
      </c>
    </row>
    <row r="18806" spans="1:2" x14ac:dyDescent="0.25">
      <c r="A18806" s="2">
        <v>18801</v>
      </c>
      <c r="B18806" s="3" t="str">
        <f>"00911019"</f>
        <v>00911019</v>
      </c>
    </row>
    <row r="18807" spans="1:2" x14ac:dyDescent="0.25">
      <c r="A18807" s="2">
        <v>18802</v>
      </c>
      <c r="B18807" s="3" t="str">
        <f>"00911045"</f>
        <v>00911045</v>
      </c>
    </row>
    <row r="18808" spans="1:2" x14ac:dyDescent="0.25">
      <c r="A18808" s="2">
        <v>18803</v>
      </c>
      <c r="B18808" s="3" t="str">
        <f>"00911530"</f>
        <v>00911530</v>
      </c>
    </row>
    <row r="18809" spans="1:2" x14ac:dyDescent="0.25">
      <c r="A18809" s="2">
        <v>18804</v>
      </c>
      <c r="B18809" s="3" t="str">
        <f>"00911542"</f>
        <v>00911542</v>
      </c>
    </row>
    <row r="18810" spans="1:2" x14ac:dyDescent="0.25">
      <c r="A18810" s="2">
        <v>18805</v>
      </c>
      <c r="B18810" s="3" t="str">
        <f>"00911578"</f>
        <v>00911578</v>
      </c>
    </row>
    <row r="18811" spans="1:2" x14ac:dyDescent="0.25">
      <c r="A18811" s="2">
        <v>18806</v>
      </c>
      <c r="B18811" s="3" t="str">
        <f>"00911661"</f>
        <v>00911661</v>
      </c>
    </row>
    <row r="18812" spans="1:2" x14ac:dyDescent="0.25">
      <c r="A18812" s="2">
        <v>18807</v>
      </c>
      <c r="B18812" s="3" t="str">
        <f>"00911780"</f>
        <v>00911780</v>
      </c>
    </row>
    <row r="18813" spans="1:2" x14ac:dyDescent="0.25">
      <c r="A18813" s="2">
        <v>18808</v>
      </c>
      <c r="B18813" s="3" t="str">
        <f>"00911805"</f>
        <v>00911805</v>
      </c>
    </row>
    <row r="18814" spans="1:2" x14ac:dyDescent="0.25">
      <c r="A18814" s="2">
        <v>18809</v>
      </c>
      <c r="B18814" s="3" t="str">
        <f>"00911835"</f>
        <v>00911835</v>
      </c>
    </row>
    <row r="18815" spans="1:2" x14ac:dyDescent="0.25">
      <c r="A18815" s="2">
        <v>18810</v>
      </c>
      <c r="B18815" s="3" t="str">
        <f>"00911909"</f>
        <v>00911909</v>
      </c>
    </row>
    <row r="18816" spans="1:2" x14ac:dyDescent="0.25">
      <c r="A18816" s="2">
        <v>18811</v>
      </c>
      <c r="B18816" s="3" t="str">
        <f>"00911921"</f>
        <v>00911921</v>
      </c>
    </row>
    <row r="18817" spans="1:2" x14ac:dyDescent="0.25">
      <c r="A18817" s="2">
        <v>18812</v>
      </c>
      <c r="B18817" s="3" t="str">
        <f>"00912012"</f>
        <v>00912012</v>
      </c>
    </row>
    <row r="18818" spans="1:2" x14ac:dyDescent="0.25">
      <c r="A18818" s="2">
        <v>18813</v>
      </c>
      <c r="B18818" s="3" t="str">
        <f>"00912063"</f>
        <v>00912063</v>
      </c>
    </row>
    <row r="18819" spans="1:2" x14ac:dyDescent="0.25">
      <c r="A18819" s="2">
        <v>18814</v>
      </c>
      <c r="B18819" s="3" t="str">
        <f>"00912093"</f>
        <v>00912093</v>
      </c>
    </row>
    <row r="18820" spans="1:2" x14ac:dyDescent="0.25">
      <c r="A18820" s="2">
        <v>18815</v>
      </c>
      <c r="B18820" s="3" t="str">
        <f>"00912097"</f>
        <v>00912097</v>
      </c>
    </row>
    <row r="18821" spans="1:2" x14ac:dyDescent="0.25">
      <c r="A18821" s="2">
        <v>18816</v>
      </c>
      <c r="B18821" s="3" t="str">
        <f>"00912103"</f>
        <v>00912103</v>
      </c>
    </row>
    <row r="18822" spans="1:2" x14ac:dyDescent="0.25">
      <c r="A18822" s="2">
        <v>18817</v>
      </c>
      <c r="B18822" s="3" t="str">
        <f>"00912119"</f>
        <v>00912119</v>
      </c>
    </row>
    <row r="18823" spans="1:2" x14ac:dyDescent="0.25">
      <c r="A18823" s="2">
        <v>18818</v>
      </c>
      <c r="B18823" s="3" t="str">
        <f>"00912122"</f>
        <v>00912122</v>
      </c>
    </row>
    <row r="18824" spans="1:2" x14ac:dyDescent="0.25">
      <c r="A18824" s="2">
        <v>18819</v>
      </c>
      <c r="B18824" s="3" t="str">
        <f>"00912154"</f>
        <v>00912154</v>
      </c>
    </row>
    <row r="18825" spans="1:2" x14ac:dyDescent="0.25">
      <c r="A18825" s="2">
        <v>18820</v>
      </c>
      <c r="B18825" s="3" t="str">
        <f>"00912207"</f>
        <v>00912207</v>
      </c>
    </row>
    <row r="18826" spans="1:2" x14ac:dyDescent="0.25">
      <c r="A18826" s="2">
        <v>18821</v>
      </c>
      <c r="B18826" s="3" t="str">
        <f>"00912229"</f>
        <v>00912229</v>
      </c>
    </row>
    <row r="18827" spans="1:2" x14ac:dyDescent="0.25">
      <c r="A18827" s="2">
        <v>18822</v>
      </c>
      <c r="B18827" s="3" t="str">
        <f>"00912231"</f>
        <v>00912231</v>
      </c>
    </row>
    <row r="18828" spans="1:2" x14ac:dyDescent="0.25">
      <c r="A18828" s="2">
        <v>18823</v>
      </c>
      <c r="B18828" s="3" t="str">
        <f>"00912284"</f>
        <v>00912284</v>
      </c>
    </row>
    <row r="18829" spans="1:2" x14ac:dyDescent="0.25">
      <c r="A18829" s="2">
        <v>18824</v>
      </c>
      <c r="B18829" s="3" t="str">
        <f>"00912373"</f>
        <v>00912373</v>
      </c>
    </row>
    <row r="18830" spans="1:2" x14ac:dyDescent="0.25">
      <c r="A18830" s="2">
        <v>18825</v>
      </c>
      <c r="B18830" s="3" t="str">
        <f>"00912391"</f>
        <v>00912391</v>
      </c>
    </row>
    <row r="18831" spans="1:2" x14ac:dyDescent="0.25">
      <c r="A18831" s="2">
        <v>18826</v>
      </c>
      <c r="B18831" s="3" t="str">
        <f>"00912404"</f>
        <v>00912404</v>
      </c>
    </row>
    <row r="18832" spans="1:2" x14ac:dyDescent="0.25">
      <c r="A18832" s="2">
        <v>18827</v>
      </c>
      <c r="B18832" s="3" t="str">
        <f>"00912545"</f>
        <v>00912545</v>
      </c>
    </row>
    <row r="18833" spans="1:2" x14ac:dyDescent="0.25">
      <c r="A18833" s="2">
        <v>18828</v>
      </c>
      <c r="B18833" s="3" t="str">
        <f>"00912556"</f>
        <v>00912556</v>
      </c>
    </row>
    <row r="18834" spans="1:2" x14ac:dyDescent="0.25">
      <c r="A18834" s="2">
        <v>18829</v>
      </c>
      <c r="B18834" s="3" t="str">
        <f>"00912686"</f>
        <v>00912686</v>
      </c>
    </row>
    <row r="18835" spans="1:2" x14ac:dyDescent="0.25">
      <c r="A18835" s="2">
        <v>18830</v>
      </c>
      <c r="B18835" s="3" t="str">
        <f>"00912722"</f>
        <v>00912722</v>
      </c>
    </row>
    <row r="18836" spans="1:2" x14ac:dyDescent="0.25">
      <c r="A18836" s="2">
        <v>18831</v>
      </c>
      <c r="B18836" s="3" t="str">
        <f>"00912802"</f>
        <v>00912802</v>
      </c>
    </row>
    <row r="18837" spans="1:2" x14ac:dyDescent="0.25">
      <c r="A18837" s="2">
        <v>18832</v>
      </c>
      <c r="B18837" s="3" t="str">
        <f>"00912847"</f>
        <v>00912847</v>
      </c>
    </row>
    <row r="18838" spans="1:2" x14ac:dyDescent="0.25">
      <c r="A18838" s="2">
        <v>18833</v>
      </c>
      <c r="B18838" s="3" t="str">
        <f>"00912978"</f>
        <v>00912978</v>
      </c>
    </row>
    <row r="18839" spans="1:2" x14ac:dyDescent="0.25">
      <c r="A18839" s="2">
        <v>18834</v>
      </c>
      <c r="B18839" s="3" t="str">
        <f>"00913074"</f>
        <v>00913074</v>
      </c>
    </row>
    <row r="18840" spans="1:2" x14ac:dyDescent="0.25">
      <c r="A18840" s="2">
        <v>18835</v>
      </c>
      <c r="B18840" s="3" t="str">
        <f>"00913403"</f>
        <v>00913403</v>
      </c>
    </row>
    <row r="18841" spans="1:2" x14ac:dyDescent="0.25">
      <c r="A18841" s="2">
        <v>18836</v>
      </c>
      <c r="B18841" s="3" t="str">
        <f>"00913456"</f>
        <v>00913456</v>
      </c>
    </row>
    <row r="18842" spans="1:2" x14ac:dyDescent="0.25">
      <c r="A18842" s="2">
        <v>18837</v>
      </c>
      <c r="B18842" s="3" t="str">
        <f>"00913509"</f>
        <v>00913509</v>
      </c>
    </row>
    <row r="18843" spans="1:2" x14ac:dyDescent="0.25">
      <c r="A18843" s="2">
        <v>18838</v>
      </c>
      <c r="B18843" s="3" t="str">
        <f>"00913540"</f>
        <v>00913540</v>
      </c>
    </row>
    <row r="18844" spans="1:2" x14ac:dyDescent="0.25">
      <c r="A18844" s="2">
        <v>18839</v>
      </c>
      <c r="B18844" s="3" t="str">
        <f>"00913576"</f>
        <v>00913576</v>
      </c>
    </row>
    <row r="18845" spans="1:2" x14ac:dyDescent="0.25">
      <c r="A18845" s="2">
        <v>18840</v>
      </c>
      <c r="B18845" s="3" t="str">
        <f>"00913662"</f>
        <v>00913662</v>
      </c>
    </row>
    <row r="18846" spans="1:2" x14ac:dyDescent="0.25">
      <c r="A18846" s="2">
        <v>18841</v>
      </c>
      <c r="B18846" s="3" t="str">
        <f>"00913680"</f>
        <v>00913680</v>
      </c>
    </row>
    <row r="18847" spans="1:2" x14ac:dyDescent="0.25">
      <c r="A18847" s="2">
        <v>18842</v>
      </c>
      <c r="B18847" s="3" t="str">
        <f>"00914018"</f>
        <v>00914018</v>
      </c>
    </row>
    <row r="18848" spans="1:2" x14ac:dyDescent="0.25">
      <c r="A18848" s="2">
        <v>18843</v>
      </c>
      <c r="B18848" s="3" t="str">
        <f>"00914079"</f>
        <v>00914079</v>
      </c>
    </row>
    <row r="18849" spans="1:2" x14ac:dyDescent="0.25">
      <c r="A18849" s="2">
        <v>18844</v>
      </c>
      <c r="B18849" s="3" t="str">
        <f>"00914177"</f>
        <v>00914177</v>
      </c>
    </row>
    <row r="18850" spans="1:2" x14ac:dyDescent="0.25">
      <c r="A18850" s="2">
        <v>18845</v>
      </c>
      <c r="B18850" s="3" t="str">
        <f>"00914319"</f>
        <v>00914319</v>
      </c>
    </row>
    <row r="18851" spans="1:2" x14ac:dyDescent="0.25">
      <c r="A18851" s="2">
        <v>18846</v>
      </c>
      <c r="B18851" s="3" t="str">
        <f>"00914325"</f>
        <v>00914325</v>
      </c>
    </row>
    <row r="18852" spans="1:2" x14ac:dyDescent="0.25">
      <c r="A18852" s="2">
        <v>18847</v>
      </c>
      <c r="B18852" s="3" t="str">
        <f>"00914408"</f>
        <v>00914408</v>
      </c>
    </row>
    <row r="18853" spans="1:2" x14ac:dyDescent="0.25">
      <c r="A18853" s="2">
        <v>18848</v>
      </c>
      <c r="B18853" s="3" t="str">
        <f>"00914456"</f>
        <v>00914456</v>
      </c>
    </row>
    <row r="18854" spans="1:2" x14ac:dyDescent="0.25">
      <c r="A18854" s="2">
        <v>18849</v>
      </c>
      <c r="B18854" s="3" t="str">
        <f>"00914534"</f>
        <v>00914534</v>
      </c>
    </row>
    <row r="18855" spans="1:2" x14ac:dyDescent="0.25">
      <c r="A18855" s="2">
        <v>18850</v>
      </c>
      <c r="B18855" s="3" t="str">
        <f>"00914556"</f>
        <v>00914556</v>
      </c>
    </row>
    <row r="18856" spans="1:2" x14ac:dyDescent="0.25">
      <c r="A18856" s="2">
        <v>18851</v>
      </c>
      <c r="B18856" s="3" t="str">
        <f>"00914571"</f>
        <v>00914571</v>
      </c>
    </row>
    <row r="18857" spans="1:2" x14ac:dyDescent="0.25">
      <c r="A18857" s="2">
        <v>18852</v>
      </c>
      <c r="B18857" s="3" t="str">
        <f>"00914628"</f>
        <v>00914628</v>
      </c>
    </row>
    <row r="18858" spans="1:2" x14ac:dyDescent="0.25">
      <c r="A18858" s="2">
        <v>18853</v>
      </c>
      <c r="B18858" s="3" t="str">
        <f>"00914649"</f>
        <v>00914649</v>
      </c>
    </row>
    <row r="18859" spans="1:2" x14ac:dyDescent="0.25">
      <c r="A18859" s="2">
        <v>18854</v>
      </c>
      <c r="B18859" s="3" t="str">
        <f>"00914659"</f>
        <v>00914659</v>
      </c>
    </row>
    <row r="18860" spans="1:2" x14ac:dyDescent="0.25">
      <c r="A18860" s="2">
        <v>18855</v>
      </c>
      <c r="B18860" s="3" t="str">
        <f>"00914672"</f>
        <v>00914672</v>
      </c>
    </row>
    <row r="18861" spans="1:2" x14ac:dyDescent="0.25">
      <c r="A18861" s="2">
        <v>18856</v>
      </c>
      <c r="B18861" s="3" t="str">
        <f>"00914844"</f>
        <v>00914844</v>
      </c>
    </row>
    <row r="18862" spans="1:2" x14ac:dyDescent="0.25">
      <c r="A18862" s="2">
        <v>18857</v>
      </c>
      <c r="B18862" s="3" t="str">
        <f>"00914845"</f>
        <v>00914845</v>
      </c>
    </row>
    <row r="18863" spans="1:2" x14ac:dyDescent="0.25">
      <c r="A18863" s="2">
        <v>18858</v>
      </c>
      <c r="B18863" s="3" t="str">
        <f>"00914885"</f>
        <v>00914885</v>
      </c>
    </row>
    <row r="18864" spans="1:2" x14ac:dyDescent="0.25">
      <c r="A18864" s="2">
        <v>18859</v>
      </c>
      <c r="B18864" s="3" t="str">
        <f>"00915013"</f>
        <v>00915013</v>
      </c>
    </row>
    <row r="18865" spans="1:2" x14ac:dyDescent="0.25">
      <c r="A18865" s="2">
        <v>18860</v>
      </c>
      <c r="B18865" s="3" t="str">
        <f>"00915032"</f>
        <v>00915032</v>
      </c>
    </row>
    <row r="18866" spans="1:2" x14ac:dyDescent="0.25">
      <c r="A18866" s="2">
        <v>18861</v>
      </c>
      <c r="B18866" s="3" t="str">
        <f>"00915433"</f>
        <v>00915433</v>
      </c>
    </row>
    <row r="18867" spans="1:2" x14ac:dyDescent="0.25">
      <c r="A18867" s="2">
        <v>18862</v>
      </c>
      <c r="B18867" s="3" t="str">
        <f>"00915758"</f>
        <v>00915758</v>
      </c>
    </row>
    <row r="18868" spans="1:2" x14ac:dyDescent="0.25">
      <c r="A18868" s="2">
        <v>18863</v>
      </c>
      <c r="B18868" s="3" t="str">
        <f>"00915825"</f>
        <v>00915825</v>
      </c>
    </row>
    <row r="18869" spans="1:2" x14ac:dyDescent="0.25">
      <c r="A18869" s="2">
        <v>18864</v>
      </c>
      <c r="B18869" s="3" t="str">
        <f>"00915934"</f>
        <v>00915934</v>
      </c>
    </row>
    <row r="18870" spans="1:2" x14ac:dyDescent="0.25">
      <c r="A18870" s="2">
        <v>18865</v>
      </c>
      <c r="B18870" s="3" t="str">
        <f>"00915946"</f>
        <v>00915946</v>
      </c>
    </row>
    <row r="18871" spans="1:2" x14ac:dyDescent="0.25">
      <c r="A18871" s="2">
        <v>18866</v>
      </c>
      <c r="B18871" s="3" t="str">
        <f>"00915957"</f>
        <v>00915957</v>
      </c>
    </row>
    <row r="18872" spans="1:2" x14ac:dyDescent="0.25">
      <c r="A18872" s="2">
        <v>18867</v>
      </c>
      <c r="B18872" s="3" t="str">
        <f>"00916104"</f>
        <v>00916104</v>
      </c>
    </row>
    <row r="18873" spans="1:2" x14ac:dyDescent="0.25">
      <c r="A18873" s="2">
        <v>18868</v>
      </c>
      <c r="B18873" s="3" t="str">
        <f>"00916107"</f>
        <v>00916107</v>
      </c>
    </row>
    <row r="18874" spans="1:2" x14ac:dyDescent="0.25">
      <c r="A18874" s="2">
        <v>18869</v>
      </c>
      <c r="B18874" s="3" t="str">
        <f>"00916235"</f>
        <v>00916235</v>
      </c>
    </row>
    <row r="18875" spans="1:2" x14ac:dyDescent="0.25">
      <c r="A18875" s="2">
        <v>18870</v>
      </c>
      <c r="B18875" s="3" t="str">
        <f>"00916237"</f>
        <v>00916237</v>
      </c>
    </row>
    <row r="18876" spans="1:2" x14ac:dyDescent="0.25">
      <c r="A18876" s="2">
        <v>18871</v>
      </c>
      <c r="B18876" s="3" t="str">
        <f>"00916272"</f>
        <v>00916272</v>
      </c>
    </row>
    <row r="18877" spans="1:2" x14ac:dyDescent="0.25">
      <c r="A18877" s="2">
        <v>18872</v>
      </c>
      <c r="B18877" s="3" t="str">
        <f>"00916328"</f>
        <v>00916328</v>
      </c>
    </row>
    <row r="18878" spans="1:2" x14ac:dyDescent="0.25">
      <c r="A18878" s="2">
        <v>18873</v>
      </c>
      <c r="B18878" s="3" t="str">
        <f>"00916384"</f>
        <v>00916384</v>
      </c>
    </row>
    <row r="18879" spans="1:2" x14ac:dyDescent="0.25">
      <c r="A18879" s="2">
        <v>18874</v>
      </c>
      <c r="B18879" s="3" t="str">
        <f>"00916491"</f>
        <v>00916491</v>
      </c>
    </row>
    <row r="18880" spans="1:2" x14ac:dyDescent="0.25">
      <c r="A18880" s="2">
        <v>18875</v>
      </c>
      <c r="B18880" s="3" t="str">
        <f>"00916511"</f>
        <v>00916511</v>
      </c>
    </row>
    <row r="18881" spans="1:2" x14ac:dyDescent="0.25">
      <c r="A18881" s="2">
        <v>18876</v>
      </c>
      <c r="B18881" s="3" t="str">
        <f>"00916533"</f>
        <v>00916533</v>
      </c>
    </row>
    <row r="18882" spans="1:2" x14ac:dyDescent="0.25">
      <c r="A18882" s="2">
        <v>18877</v>
      </c>
      <c r="B18882" s="3" t="str">
        <f>"00916573"</f>
        <v>00916573</v>
      </c>
    </row>
    <row r="18883" spans="1:2" x14ac:dyDescent="0.25">
      <c r="A18883" s="2">
        <v>18878</v>
      </c>
      <c r="B18883" s="3" t="str">
        <f>"00916576"</f>
        <v>00916576</v>
      </c>
    </row>
    <row r="18884" spans="1:2" x14ac:dyDescent="0.25">
      <c r="A18884" s="2">
        <v>18879</v>
      </c>
      <c r="B18884" s="3" t="str">
        <f>"00916626"</f>
        <v>00916626</v>
      </c>
    </row>
    <row r="18885" spans="1:2" x14ac:dyDescent="0.25">
      <c r="A18885" s="2">
        <v>18880</v>
      </c>
      <c r="B18885" s="3" t="str">
        <f>"00916705"</f>
        <v>00916705</v>
      </c>
    </row>
    <row r="18886" spans="1:2" x14ac:dyDescent="0.25">
      <c r="A18886" s="2">
        <v>18881</v>
      </c>
      <c r="B18886" s="3" t="str">
        <f>"00916750"</f>
        <v>00916750</v>
      </c>
    </row>
    <row r="18887" spans="1:2" x14ac:dyDescent="0.25">
      <c r="A18887" s="2">
        <v>18882</v>
      </c>
      <c r="B18887" s="3" t="str">
        <f>"00917035"</f>
        <v>00917035</v>
      </c>
    </row>
    <row r="18888" spans="1:2" x14ac:dyDescent="0.25">
      <c r="A18888" s="2">
        <v>18883</v>
      </c>
      <c r="B18888" s="3" t="str">
        <f>"00917085"</f>
        <v>00917085</v>
      </c>
    </row>
    <row r="18889" spans="1:2" x14ac:dyDescent="0.25">
      <c r="A18889" s="2">
        <v>18884</v>
      </c>
      <c r="B18889" s="3" t="str">
        <f>"00917178"</f>
        <v>00917178</v>
      </c>
    </row>
    <row r="18890" spans="1:2" x14ac:dyDescent="0.25">
      <c r="A18890" s="2">
        <v>18885</v>
      </c>
      <c r="B18890" s="3" t="str">
        <f>"00917355"</f>
        <v>00917355</v>
      </c>
    </row>
    <row r="18891" spans="1:2" x14ac:dyDescent="0.25">
      <c r="A18891" s="2">
        <v>18886</v>
      </c>
      <c r="B18891" s="3" t="str">
        <f>"00917473"</f>
        <v>00917473</v>
      </c>
    </row>
    <row r="18892" spans="1:2" x14ac:dyDescent="0.25">
      <c r="A18892" s="2">
        <v>18887</v>
      </c>
      <c r="B18892" s="3" t="str">
        <f>"00917531"</f>
        <v>00917531</v>
      </c>
    </row>
    <row r="18893" spans="1:2" x14ac:dyDescent="0.25">
      <c r="A18893" s="2">
        <v>18888</v>
      </c>
      <c r="B18893" s="3" t="str">
        <f>"00917658"</f>
        <v>00917658</v>
      </c>
    </row>
    <row r="18894" spans="1:2" x14ac:dyDescent="0.25">
      <c r="A18894" s="2">
        <v>18889</v>
      </c>
      <c r="B18894" s="3" t="str">
        <f>"00918016"</f>
        <v>00918016</v>
      </c>
    </row>
    <row r="18895" spans="1:2" x14ac:dyDescent="0.25">
      <c r="A18895" s="2">
        <v>18890</v>
      </c>
      <c r="B18895" s="3" t="str">
        <f>"00918038"</f>
        <v>00918038</v>
      </c>
    </row>
    <row r="18896" spans="1:2" x14ac:dyDescent="0.25">
      <c r="A18896" s="2">
        <v>18891</v>
      </c>
      <c r="B18896" s="3" t="str">
        <f>"00918041"</f>
        <v>00918041</v>
      </c>
    </row>
    <row r="18897" spans="1:2" x14ac:dyDescent="0.25">
      <c r="A18897" s="2">
        <v>18892</v>
      </c>
      <c r="B18897" s="3" t="str">
        <f>"00918267"</f>
        <v>00918267</v>
      </c>
    </row>
    <row r="18898" spans="1:2" x14ac:dyDescent="0.25">
      <c r="A18898" s="2">
        <v>18893</v>
      </c>
      <c r="B18898" s="3" t="str">
        <f>"00918294"</f>
        <v>00918294</v>
      </c>
    </row>
    <row r="18899" spans="1:2" x14ac:dyDescent="0.25">
      <c r="A18899" s="2">
        <v>18894</v>
      </c>
      <c r="B18899" s="3" t="str">
        <f>"00918386"</f>
        <v>00918386</v>
      </c>
    </row>
    <row r="18900" spans="1:2" x14ac:dyDescent="0.25">
      <c r="A18900" s="2">
        <v>18895</v>
      </c>
      <c r="B18900" s="3" t="str">
        <f>"00918391"</f>
        <v>00918391</v>
      </c>
    </row>
    <row r="18901" spans="1:2" x14ac:dyDescent="0.25">
      <c r="A18901" s="2">
        <v>18896</v>
      </c>
      <c r="B18901" s="3" t="str">
        <f>"00918415"</f>
        <v>00918415</v>
      </c>
    </row>
    <row r="18902" spans="1:2" x14ac:dyDescent="0.25">
      <c r="A18902" s="2">
        <v>18897</v>
      </c>
      <c r="B18902" s="3" t="str">
        <f>"00918669"</f>
        <v>00918669</v>
      </c>
    </row>
    <row r="18903" spans="1:2" x14ac:dyDescent="0.25">
      <c r="A18903" s="2">
        <v>18898</v>
      </c>
      <c r="B18903" s="3" t="str">
        <f>"00918683"</f>
        <v>00918683</v>
      </c>
    </row>
    <row r="18904" spans="1:2" x14ac:dyDescent="0.25">
      <c r="A18904" s="2">
        <v>18899</v>
      </c>
      <c r="B18904" s="3" t="str">
        <f>"00918714"</f>
        <v>00918714</v>
      </c>
    </row>
    <row r="18905" spans="1:2" x14ac:dyDescent="0.25">
      <c r="A18905" s="2">
        <v>18900</v>
      </c>
      <c r="B18905" s="3" t="str">
        <f>"00918721"</f>
        <v>00918721</v>
      </c>
    </row>
    <row r="18906" spans="1:2" x14ac:dyDescent="0.25">
      <c r="A18906" s="2">
        <v>18901</v>
      </c>
      <c r="B18906" s="3" t="str">
        <f>"00918941"</f>
        <v>00918941</v>
      </c>
    </row>
    <row r="18907" spans="1:2" x14ac:dyDescent="0.25">
      <c r="A18907" s="2">
        <v>18902</v>
      </c>
      <c r="B18907" s="3" t="str">
        <f>"00919028"</f>
        <v>00919028</v>
      </c>
    </row>
    <row r="18908" spans="1:2" x14ac:dyDescent="0.25">
      <c r="A18908" s="2">
        <v>18903</v>
      </c>
      <c r="B18908" s="3" t="str">
        <f>"00919090"</f>
        <v>00919090</v>
      </c>
    </row>
    <row r="18909" spans="1:2" x14ac:dyDescent="0.25">
      <c r="A18909" s="2">
        <v>18904</v>
      </c>
      <c r="B18909" s="3" t="str">
        <f>"00919183"</f>
        <v>00919183</v>
      </c>
    </row>
    <row r="18910" spans="1:2" x14ac:dyDescent="0.25">
      <c r="A18910" s="2">
        <v>18905</v>
      </c>
      <c r="B18910" s="3" t="str">
        <f>"00919238"</f>
        <v>00919238</v>
      </c>
    </row>
    <row r="18911" spans="1:2" x14ac:dyDescent="0.25">
      <c r="A18911" s="2">
        <v>18906</v>
      </c>
      <c r="B18911" s="3" t="str">
        <f>"00919248"</f>
        <v>00919248</v>
      </c>
    </row>
    <row r="18912" spans="1:2" x14ac:dyDescent="0.25">
      <c r="A18912" s="2">
        <v>18907</v>
      </c>
      <c r="B18912" s="3" t="str">
        <f>"00919288"</f>
        <v>00919288</v>
      </c>
    </row>
    <row r="18913" spans="1:2" x14ac:dyDescent="0.25">
      <c r="A18913" s="2">
        <v>18908</v>
      </c>
      <c r="B18913" s="3" t="str">
        <f>"00919409"</f>
        <v>00919409</v>
      </c>
    </row>
    <row r="18914" spans="1:2" x14ac:dyDescent="0.25">
      <c r="A18914" s="2">
        <v>18909</v>
      </c>
      <c r="B18914" s="3" t="str">
        <f>"00919411"</f>
        <v>00919411</v>
      </c>
    </row>
    <row r="18915" spans="1:2" x14ac:dyDescent="0.25">
      <c r="A18915" s="2">
        <v>18910</v>
      </c>
      <c r="B18915" s="3" t="str">
        <f>"00919439"</f>
        <v>00919439</v>
      </c>
    </row>
    <row r="18916" spans="1:2" x14ac:dyDescent="0.25">
      <c r="A18916" s="2">
        <v>18911</v>
      </c>
      <c r="B18916" s="3" t="str">
        <f>"00919463"</f>
        <v>00919463</v>
      </c>
    </row>
    <row r="18917" spans="1:2" x14ac:dyDescent="0.25">
      <c r="A18917" s="2">
        <v>18912</v>
      </c>
      <c r="B18917" s="3" t="str">
        <f>"00919706"</f>
        <v>00919706</v>
      </c>
    </row>
    <row r="18918" spans="1:2" x14ac:dyDescent="0.25">
      <c r="A18918" s="2">
        <v>18913</v>
      </c>
      <c r="B18918" s="3" t="str">
        <f>"00919842"</f>
        <v>00919842</v>
      </c>
    </row>
    <row r="18919" spans="1:2" x14ac:dyDescent="0.25">
      <c r="A18919" s="2">
        <v>18914</v>
      </c>
      <c r="B18919" s="3" t="str">
        <f>"00920103"</f>
        <v>00920103</v>
      </c>
    </row>
    <row r="18920" spans="1:2" x14ac:dyDescent="0.25">
      <c r="A18920" s="2">
        <v>18915</v>
      </c>
      <c r="B18920" s="3" t="str">
        <f>"00920134"</f>
        <v>00920134</v>
      </c>
    </row>
    <row r="18921" spans="1:2" x14ac:dyDescent="0.25">
      <c r="A18921" s="2">
        <v>18916</v>
      </c>
      <c r="B18921" s="3" t="str">
        <f>"00920369"</f>
        <v>00920369</v>
      </c>
    </row>
    <row r="18922" spans="1:2" x14ac:dyDescent="0.25">
      <c r="A18922" s="2">
        <v>18917</v>
      </c>
      <c r="B18922" s="3" t="str">
        <f>"00920485"</f>
        <v>00920485</v>
      </c>
    </row>
    <row r="18923" spans="1:2" x14ac:dyDescent="0.25">
      <c r="A18923" s="2">
        <v>18918</v>
      </c>
      <c r="B18923" s="3" t="str">
        <f>"00920530"</f>
        <v>00920530</v>
      </c>
    </row>
    <row r="18924" spans="1:2" x14ac:dyDescent="0.25">
      <c r="A18924" s="2">
        <v>18919</v>
      </c>
      <c r="B18924" s="3" t="str">
        <f>"00920674"</f>
        <v>00920674</v>
      </c>
    </row>
    <row r="18925" spans="1:2" x14ac:dyDescent="0.25">
      <c r="A18925" s="2">
        <v>18920</v>
      </c>
      <c r="B18925" s="3" t="str">
        <f>"00920733"</f>
        <v>00920733</v>
      </c>
    </row>
    <row r="18926" spans="1:2" x14ac:dyDescent="0.25">
      <c r="A18926" s="2">
        <v>18921</v>
      </c>
      <c r="B18926" s="3" t="str">
        <f>"00920839"</f>
        <v>00920839</v>
      </c>
    </row>
    <row r="18927" spans="1:2" x14ac:dyDescent="0.25">
      <c r="A18927" s="2">
        <v>18922</v>
      </c>
      <c r="B18927" s="3" t="str">
        <f>"00920896"</f>
        <v>00920896</v>
      </c>
    </row>
    <row r="18928" spans="1:2" x14ac:dyDescent="0.25">
      <c r="A18928" s="2">
        <v>18923</v>
      </c>
      <c r="B18928" s="3" t="str">
        <f>"00920907"</f>
        <v>00920907</v>
      </c>
    </row>
    <row r="18929" spans="1:2" x14ac:dyDescent="0.25">
      <c r="A18929" s="2">
        <v>18924</v>
      </c>
      <c r="B18929" s="3" t="str">
        <f>"00920916"</f>
        <v>00920916</v>
      </c>
    </row>
    <row r="18930" spans="1:2" x14ac:dyDescent="0.25">
      <c r="A18930" s="2">
        <v>18925</v>
      </c>
      <c r="B18930" s="3" t="str">
        <f>"00920996"</f>
        <v>00920996</v>
      </c>
    </row>
    <row r="18931" spans="1:2" x14ac:dyDescent="0.25">
      <c r="A18931" s="2">
        <v>18926</v>
      </c>
      <c r="B18931" s="3" t="str">
        <f>"00921025"</f>
        <v>00921025</v>
      </c>
    </row>
    <row r="18932" spans="1:2" x14ac:dyDescent="0.25">
      <c r="A18932" s="2">
        <v>18927</v>
      </c>
      <c r="B18932" s="3" t="str">
        <f>"00921193"</f>
        <v>00921193</v>
      </c>
    </row>
    <row r="18933" spans="1:2" x14ac:dyDescent="0.25">
      <c r="A18933" s="2">
        <v>18928</v>
      </c>
      <c r="B18933" s="3" t="str">
        <f>"00921218"</f>
        <v>00921218</v>
      </c>
    </row>
    <row r="18934" spans="1:2" x14ac:dyDescent="0.25">
      <c r="A18934" s="2">
        <v>18929</v>
      </c>
      <c r="B18934" s="3" t="str">
        <f>"00921300"</f>
        <v>00921300</v>
      </c>
    </row>
    <row r="18935" spans="1:2" x14ac:dyDescent="0.25">
      <c r="A18935" s="2">
        <v>18930</v>
      </c>
      <c r="B18935" s="3" t="str">
        <f>"00921482"</f>
        <v>00921482</v>
      </c>
    </row>
    <row r="18936" spans="1:2" x14ac:dyDescent="0.25">
      <c r="A18936" s="2">
        <v>18931</v>
      </c>
      <c r="B18936" s="3" t="str">
        <f>"00921628"</f>
        <v>00921628</v>
      </c>
    </row>
    <row r="18937" spans="1:2" x14ac:dyDescent="0.25">
      <c r="A18937" s="2">
        <v>18932</v>
      </c>
      <c r="B18937" s="3" t="str">
        <f>"00921782"</f>
        <v>00921782</v>
      </c>
    </row>
    <row r="18938" spans="1:2" x14ac:dyDescent="0.25">
      <c r="A18938" s="2">
        <v>18933</v>
      </c>
      <c r="B18938" s="3" t="str">
        <f>"00921816"</f>
        <v>00921816</v>
      </c>
    </row>
    <row r="18939" spans="1:2" x14ac:dyDescent="0.25">
      <c r="A18939" s="2">
        <v>18934</v>
      </c>
      <c r="B18939" s="3" t="str">
        <f>"00921953"</f>
        <v>00921953</v>
      </c>
    </row>
    <row r="18940" spans="1:2" x14ac:dyDescent="0.25">
      <c r="A18940" s="2">
        <v>18935</v>
      </c>
      <c r="B18940" s="3" t="str">
        <f>"00922045"</f>
        <v>00922045</v>
      </c>
    </row>
    <row r="18941" spans="1:2" x14ac:dyDescent="0.25">
      <c r="A18941" s="2">
        <v>18936</v>
      </c>
      <c r="B18941" s="3" t="str">
        <f>"00922049"</f>
        <v>00922049</v>
      </c>
    </row>
    <row r="18942" spans="1:2" x14ac:dyDescent="0.25">
      <c r="A18942" s="2">
        <v>18937</v>
      </c>
      <c r="B18942" s="3" t="str">
        <f>"00922079"</f>
        <v>00922079</v>
      </c>
    </row>
    <row r="18943" spans="1:2" x14ac:dyDescent="0.25">
      <c r="A18943" s="2">
        <v>18938</v>
      </c>
      <c r="B18943" s="3" t="str">
        <f>"00922091"</f>
        <v>00922091</v>
      </c>
    </row>
    <row r="18944" spans="1:2" x14ac:dyDescent="0.25">
      <c r="A18944" s="2">
        <v>18939</v>
      </c>
      <c r="B18944" s="3" t="str">
        <f>"00922366"</f>
        <v>00922366</v>
      </c>
    </row>
    <row r="18945" spans="1:2" x14ac:dyDescent="0.25">
      <c r="A18945" s="2">
        <v>18940</v>
      </c>
      <c r="B18945" s="3" t="str">
        <f>"00922508"</f>
        <v>00922508</v>
      </c>
    </row>
    <row r="18946" spans="1:2" x14ac:dyDescent="0.25">
      <c r="A18946" s="2">
        <v>18941</v>
      </c>
      <c r="B18946" s="3" t="str">
        <f>"00922654"</f>
        <v>00922654</v>
      </c>
    </row>
    <row r="18947" spans="1:2" x14ac:dyDescent="0.25">
      <c r="A18947" s="2">
        <v>18942</v>
      </c>
      <c r="B18947" s="3" t="str">
        <f>"00922776"</f>
        <v>00922776</v>
      </c>
    </row>
    <row r="18948" spans="1:2" x14ac:dyDescent="0.25">
      <c r="A18948" s="2">
        <v>18943</v>
      </c>
      <c r="B18948" s="3" t="str">
        <f>"00922785"</f>
        <v>00922785</v>
      </c>
    </row>
    <row r="18949" spans="1:2" x14ac:dyDescent="0.25">
      <c r="A18949" s="2">
        <v>18944</v>
      </c>
      <c r="B18949" s="3" t="str">
        <f>"00922905"</f>
        <v>00922905</v>
      </c>
    </row>
    <row r="18950" spans="1:2" x14ac:dyDescent="0.25">
      <c r="A18950" s="2">
        <v>18945</v>
      </c>
      <c r="B18950" s="3" t="str">
        <f>"00922964"</f>
        <v>00922964</v>
      </c>
    </row>
    <row r="18951" spans="1:2" x14ac:dyDescent="0.25">
      <c r="A18951" s="2">
        <v>18946</v>
      </c>
      <c r="B18951" s="3" t="str">
        <f>"00923018"</f>
        <v>00923018</v>
      </c>
    </row>
    <row r="18952" spans="1:2" x14ac:dyDescent="0.25">
      <c r="A18952" s="2">
        <v>18947</v>
      </c>
      <c r="B18952" s="3" t="str">
        <f>"00923119"</f>
        <v>00923119</v>
      </c>
    </row>
    <row r="18953" spans="1:2" x14ac:dyDescent="0.25">
      <c r="A18953" s="2">
        <v>18948</v>
      </c>
      <c r="B18953" s="3" t="str">
        <f>"00923141"</f>
        <v>00923141</v>
      </c>
    </row>
    <row r="18954" spans="1:2" x14ac:dyDescent="0.25">
      <c r="A18954" s="2">
        <v>18949</v>
      </c>
      <c r="B18954" s="3" t="str">
        <f>"00923311"</f>
        <v>00923311</v>
      </c>
    </row>
    <row r="18955" spans="1:2" x14ac:dyDescent="0.25">
      <c r="A18955" s="2">
        <v>18950</v>
      </c>
      <c r="B18955" s="3" t="str">
        <f>"00923400"</f>
        <v>00923400</v>
      </c>
    </row>
    <row r="18956" spans="1:2" x14ac:dyDescent="0.25">
      <c r="A18956" s="2">
        <v>18951</v>
      </c>
      <c r="B18956" s="3" t="str">
        <f>"00923457"</f>
        <v>00923457</v>
      </c>
    </row>
    <row r="18957" spans="1:2" x14ac:dyDescent="0.25">
      <c r="A18957" s="2">
        <v>18952</v>
      </c>
      <c r="B18957" s="3" t="str">
        <f>"00923668"</f>
        <v>00923668</v>
      </c>
    </row>
    <row r="18958" spans="1:2" x14ac:dyDescent="0.25">
      <c r="A18958" s="2">
        <v>18953</v>
      </c>
      <c r="B18958" s="3" t="str">
        <f>"00923810"</f>
        <v>00923810</v>
      </c>
    </row>
    <row r="18959" spans="1:2" x14ac:dyDescent="0.25">
      <c r="A18959" s="2">
        <v>18954</v>
      </c>
      <c r="B18959" s="3" t="str">
        <f>"00923845"</f>
        <v>00923845</v>
      </c>
    </row>
    <row r="18960" spans="1:2" x14ac:dyDescent="0.25">
      <c r="A18960" s="2">
        <v>18955</v>
      </c>
      <c r="B18960" s="3" t="str">
        <f>"00923846"</f>
        <v>00923846</v>
      </c>
    </row>
    <row r="18961" spans="1:2" x14ac:dyDescent="0.25">
      <c r="A18961" s="2">
        <v>18956</v>
      </c>
      <c r="B18961" s="3" t="str">
        <f>"00923864"</f>
        <v>00923864</v>
      </c>
    </row>
    <row r="18962" spans="1:2" x14ac:dyDescent="0.25">
      <c r="A18962" s="2">
        <v>18957</v>
      </c>
      <c r="B18962" s="3" t="str">
        <f>"00924063"</f>
        <v>00924063</v>
      </c>
    </row>
    <row r="18963" spans="1:2" x14ac:dyDescent="0.25">
      <c r="A18963" s="2">
        <v>18958</v>
      </c>
      <c r="B18963" s="3" t="str">
        <f>"00924170"</f>
        <v>00924170</v>
      </c>
    </row>
    <row r="18964" spans="1:2" x14ac:dyDescent="0.25">
      <c r="A18964" s="2">
        <v>18959</v>
      </c>
      <c r="B18964" s="3" t="str">
        <f>"00924255"</f>
        <v>00924255</v>
      </c>
    </row>
    <row r="18965" spans="1:2" x14ac:dyDescent="0.25">
      <c r="A18965" s="2">
        <v>18960</v>
      </c>
      <c r="B18965" s="3" t="str">
        <f>"00924279"</f>
        <v>00924279</v>
      </c>
    </row>
    <row r="18966" spans="1:2" x14ac:dyDescent="0.25">
      <c r="A18966" s="2">
        <v>18961</v>
      </c>
      <c r="B18966" s="3" t="str">
        <f>"00924679"</f>
        <v>00924679</v>
      </c>
    </row>
    <row r="18967" spans="1:2" x14ac:dyDescent="0.25">
      <c r="A18967" s="2">
        <v>18962</v>
      </c>
      <c r="B18967" s="3" t="str">
        <f>"00924890"</f>
        <v>00924890</v>
      </c>
    </row>
    <row r="18968" spans="1:2" x14ac:dyDescent="0.25">
      <c r="A18968" s="2">
        <v>18963</v>
      </c>
      <c r="B18968" s="3" t="str">
        <f>"00924903"</f>
        <v>00924903</v>
      </c>
    </row>
    <row r="18969" spans="1:2" x14ac:dyDescent="0.25">
      <c r="A18969" s="2">
        <v>18964</v>
      </c>
      <c r="B18969" s="3" t="str">
        <f>"00925098"</f>
        <v>00925098</v>
      </c>
    </row>
    <row r="18970" spans="1:2" x14ac:dyDescent="0.25">
      <c r="A18970" s="2">
        <v>18965</v>
      </c>
      <c r="B18970" s="3" t="str">
        <f>"00925215"</f>
        <v>00925215</v>
      </c>
    </row>
    <row r="18971" spans="1:2" x14ac:dyDescent="0.25">
      <c r="A18971" s="2">
        <v>18966</v>
      </c>
      <c r="B18971" s="3" t="str">
        <f>"00925244"</f>
        <v>00925244</v>
      </c>
    </row>
    <row r="18972" spans="1:2" x14ac:dyDescent="0.25">
      <c r="A18972" s="2">
        <v>18967</v>
      </c>
      <c r="B18972" s="3" t="str">
        <f>"00925248"</f>
        <v>00925248</v>
      </c>
    </row>
    <row r="18973" spans="1:2" x14ac:dyDescent="0.25">
      <c r="A18973" s="2">
        <v>18968</v>
      </c>
      <c r="B18973" s="3" t="str">
        <f>"00925268"</f>
        <v>00925268</v>
      </c>
    </row>
    <row r="18974" spans="1:2" x14ac:dyDescent="0.25">
      <c r="A18974" s="2">
        <v>18969</v>
      </c>
      <c r="B18974" s="3" t="str">
        <f>"00925303"</f>
        <v>00925303</v>
      </c>
    </row>
    <row r="18975" spans="1:2" x14ac:dyDescent="0.25">
      <c r="A18975" s="2">
        <v>18970</v>
      </c>
      <c r="B18975" s="3" t="str">
        <f>"00925318"</f>
        <v>00925318</v>
      </c>
    </row>
    <row r="18976" spans="1:2" x14ac:dyDescent="0.25">
      <c r="A18976" s="2">
        <v>18971</v>
      </c>
      <c r="B18976" s="3" t="str">
        <f>"00925355"</f>
        <v>00925355</v>
      </c>
    </row>
    <row r="18977" spans="1:2" x14ac:dyDescent="0.25">
      <c r="A18977" s="2">
        <v>18972</v>
      </c>
      <c r="B18977" s="3" t="str">
        <f>"00925369"</f>
        <v>00925369</v>
      </c>
    </row>
    <row r="18978" spans="1:2" x14ac:dyDescent="0.25">
      <c r="A18978" s="2">
        <v>18973</v>
      </c>
      <c r="B18978" s="3" t="str">
        <f>"00925472"</f>
        <v>00925472</v>
      </c>
    </row>
    <row r="18979" spans="1:2" x14ac:dyDescent="0.25">
      <c r="A18979" s="2">
        <v>18974</v>
      </c>
      <c r="B18979" s="3" t="str">
        <f>"00925504"</f>
        <v>00925504</v>
      </c>
    </row>
    <row r="18980" spans="1:2" x14ac:dyDescent="0.25">
      <c r="A18980" s="2">
        <v>18975</v>
      </c>
      <c r="B18980" s="3" t="str">
        <f>"00925510"</f>
        <v>00925510</v>
      </c>
    </row>
    <row r="18981" spans="1:2" x14ac:dyDescent="0.25">
      <c r="A18981" s="2">
        <v>18976</v>
      </c>
      <c r="B18981" s="3" t="str">
        <f>"00925528"</f>
        <v>00925528</v>
      </c>
    </row>
    <row r="18982" spans="1:2" x14ac:dyDescent="0.25">
      <c r="A18982" s="2">
        <v>18977</v>
      </c>
      <c r="B18982" s="3" t="str">
        <f>"00925598"</f>
        <v>00925598</v>
      </c>
    </row>
    <row r="18983" spans="1:2" x14ac:dyDescent="0.25">
      <c r="A18983" s="2">
        <v>18978</v>
      </c>
      <c r="B18983" s="3" t="str">
        <f>"00925645"</f>
        <v>00925645</v>
      </c>
    </row>
    <row r="18984" spans="1:2" x14ac:dyDescent="0.25">
      <c r="A18984" s="2">
        <v>18979</v>
      </c>
      <c r="B18984" s="3" t="str">
        <f>"00925767"</f>
        <v>00925767</v>
      </c>
    </row>
    <row r="18985" spans="1:2" x14ac:dyDescent="0.25">
      <c r="A18985" s="2">
        <v>18980</v>
      </c>
      <c r="B18985" s="3" t="str">
        <f>"00925770"</f>
        <v>00925770</v>
      </c>
    </row>
    <row r="18986" spans="1:2" x14ac:dyDescent="0.25">
      <c r="A18986" s="2">
        <v>18981</v>
      </c>
      <c r="B18986" s="3" t="str">
        <f>"00925806"</f>
        <v>00925806</v>
      </c>
    </row>
    <row r="18987" spans="1:2" x14ac:dyDescent="0.25">
      <c r="A18987" s="2">
        <v>18982</v>
      </c>
      <c r="B18987" s="3" t="str">
        <f>"00925816"</f>
        <v>00925816</v>
      </c>
    </row>
    <row r="18988" spans="1:2" x14ac:dyDescent="0.25">
      <c r="A18988" s="2">
        <v>18983</v>
      </c>
      <c r="B18988" s="3" t="str">
        <f>"00925878"</f>
        <v>00925878</v>
      </c>
    </row>
    <row r="18989" spans="1:2" x14ac:dyDescent="0.25">
      <c r="A18989" s="2">
        <v>18984</v>
      </c>
      <c r="B18989" s="3" t="str">
        <f>"00925887"</f>
        <v>00925887</v>
      </c>
    </row>
    <row r="18990" spans="1:2" x14ac:dyDescent="0.25">
      <c r="A18990" s="2">
        <v>18985</v>
      </c>
      <c r="B18990" s="3" t="str">
        <f>"00925920"</f>
        <v>00925920</v>
      </c>
    </row>
    <row r="18991" spans="1:2" x14ac:dyDescent="0.25">
      <c r="A18991" s="2">
        <v>18986</v>
      </c>
      <c r="B18991" s="3" t="str">
        <f>"00925932"</f>
        <v>00925932</v>
      </c>
    </row>
    <row r="18992" spans="1:2" x14ac:dyDescent="0.25">
      <c r="A18992" s="2">
        <v>18987</v>
      </c>
      <c r="B18992" s="3" t="str">
        <f>"00925948"</f>
        <v>00925948</v>
      </c>
    </row>
    <row r="18993" spans="1:2" x14ac:dyDescent="0.25">
      <c r="A18993" s="2">
        <v>18988</v>
      </c>
      <c r="B18993" s="3" t="str">
        <f>"00926035"</f>
        <v>00926035</v>
      </c>
    </row>
    <row r="18994" spans="1:2" x14ac:dyDescent="0.25">
      <c r="A18994" s="2">
        <v>18989</v>
      </c>
      <c r="B18994" s="3" t="str">
        <f>"00926061"</f>
        <v>00926061</v>
      </c>
    </row>
    <row r="18995" spans="1:2" x14ac:dyDescent="0.25">
      <c r="A18995" s="2">
        <v>18990</v>
      </c>
      <c r="B18995" s="3" t="str">
        <f>"00926063"</f>
        <v>00926063</v>
      </c>
    </row>
    <row r="18996" spans="1:2" x14ac:dyDescent="0.25">
      <c r="A18996" s="2">
        <v>18991</v>
      </c>
      <c r="B18996" s="3" t="str">
        <f>"00926163"</f>
        <v>00926163</v>
      </c>
    </row>
    <row r="18997" spans="1:2" x14ac:dyDescent="0.25">
      <c r="A18997" s="2">
        <v>18992</v>
      </c>
      <c r="B18997" s="3" t="str">
        <f>"00926190"</f>
        <v>00926190</v>
      </c>
    </row>
    <row r="18998" spans="1:2" x14ac:dyDescent="0.25">
      <c r="A18998" s="2">
        <v>18993</v>
      </c>
      <c r="B18998" s="3" t="str">
        <f>"00926256"</f>
        <v>00926256</v>
      </c>
    </row>
    <row r="18999" spans="1:2" x14ac:dyDescent="0.25">
      <c r="A18999" s="2">
        <v>18994</v>
      </c>
      <c r="B18999" s="3" t="str">
        <f>"00926270"</f>
        <v>00926270</v>
      </c>
    </row>
    <row r="19000" spans="1:2" x14ac:dyDescent="0.25">
      <c r="A19000" s="2">
        <v>18995</v>
      </c>
      <c r="B19000" s="3" t="str">
        <f>"00926322"</f>
        <v>00926322</v>
      </c>
    </row>
    <row r="19001" spans="1:2" x14ac:dyDescent="0.25">
      <c r="A19001" s="2">
        <v>18996</v>
      </c>
      <c r="B19001" s="3" t="str">
        <f>"00926434"</f>
        <v>00926434</v>
      </c>
    </row>
    <row r="19002" spans="1:2" x14ac:dyDescent="0.25">
      <c r="A19002" s="2">
        <v>18997</v>
      </c>
      <c r="B19002" s="3" t="str">
        <f>"00926440"</f>
        <v>00926440</v>
      </c>
    </row>
    <row r="19003" spans="1:2" x14ac:dyDescent="0.25">
      <c r="A19003" s="2">
        <v>18998</v>
      </c>
      <c r="B19003" s="3" t="str">
        <f>"00926556"</f>
        <v>00926556</v>
      </c>
    </row>
    <row r="19004" spans="1:2" x14ac:dyDescent="0.25">
      <c r="A19004" s="2">
        <v>18999</v>
      </c>
      <c r="B19004" s="3" t="str">
        <f>"00926587"</f>
        <v>00926587</v>
      </c>
    </row>
    <row r="19005" spans="1:2" x14ac:dyDescent="0.25">
      <c r="A19005" s="2">
        <v>19000</v>
      </c>
      <c r="B19005" s="3" t="str">
        <f>"00926652"</f>
        <v>00926652</v>
      </c>
    </row>
    <row r="19006" spans="1:2" x14ac:dyDescent="0.25">
      <c r="A19006" s="2">
        <v>19001</v>
      </c>
      <c r="B19006" s="3" t="str">
        <f>"00926715"</f>
        <v>00926715</v>
      </c>
    </row>
    <row r="19007" spans="1:2" x14ac:dyDescent="0.25">
      <c r="A19007" s="2">
        <v>19002</v>
      </c>
      <c r="B19007" s="3" t="str">
        <f>"00926793"</f>
        <v>00926793</v>
      </c>
    </row>
    <row r="19008" spans="1:2" x14ac:dyDescent="0.25">
      <c r="A19008" s="2">
        <v>19003</v>
      </c>
      <c r="B19008" s="3" t="str">
        <f>"00926903"</f>
        <v>00926903</v>
      </c>
    </row>
    <row r="19009" spans="1:2" x14ac:dyDescent="0.25">
      <c r="A19009" s="2">
        <v>19004</v>
      </c>
      <c r="B19009" s="3" t="str">
        <f>"00926908"</f>
        <v>00926908</v>
      </c>
    </row>
    <row r="19010" spans="1:2" x14ac:dyDescent="0.25">
      <c r="A19010" s="2">
        <v>19005</v>
      </c>
      <c r="B19010" s="3" t="str">
        <f>"00927061"</f>
        <v>00927061</v>
      </c>
    </row>
    <row r="19011" spans="1:2" x14ac:dyDescent="0.25">
      <c r="A19011" s="2">
        <v>19006</v>
      </c>
      <c r="B19011" s="3" t="str">
        <f>"00927073"</f>
        <v>00927073</v>
      </c>
    </row>
    <row r="19012" spans="1:2" x14ac:dyDescent="0.25">
      <c r="A19012" s="2">
        <v>19007</v>
      </c>
      <c r="B19012" s="3" t="str">
        <f>"00927083"</f>
        <v>00927083</v>
      </c>
    </row>
    <row r="19013" spans="1:2" x14ac:dyDescent="0.25">
      <c r="A19013" s="2">
        <v>19008</v>
      </c>
      <c r="B19013" s="3" t="str">
        <f>"00927236"</f>
        <v>00927236</v>
      </c>
    </row>
    <row r="19014" spans="1:2" x14ac:dyDescent="0.25">
      <c r="A19014" s="2">
        <v>19009</v>
      </c>
      <c r="B19014" s="3" t="str">
        <f>"00927269"</f>
        <v>00927269</v>
      </c>
    </row>
    <row r="19015" spans="1:2" x14ac:dyDescent="0.25">
      <c r="A19015" s="2">
        <v>19010</v>
      </c>
      <c r="B19015" s="3" t="str">
        <f>"00927297"</f>
        <v>00927297</v>
      </c>
    </row>
    <row r="19016" spans="1:2" x14ac:dyDescent="0.25">
      <c r="A19016" s="2">
        <v>19011</v>
      </c>
      <c r="B19016" s="3" t="str">
        <f>"00927349"</f>
        <v>00927349</v>
      </c>
    </row>
    <row r="19017" spans="1:2" x14ac:dyDescent="0.25">
      <c r="A19017" s="2">
        <v>19012</v>
      </c>
      <c r="B19017" s="3" t="str">
        <f>"00927357"</f>
        <v>00927357</v>
      </c>
    </row>
    <row r="19018" spans="1:2" x14ac:dyDescent="0.25">
      <c r="A19018" s="2">
        <v>19013</v>
      </c>
      <c r="B19018" s="3" t="str">
        <f>"00927441"</f>
        <v>00927441</v>
      </c>
    </row>
    <row r="19019" spans="1:2" x14ac:dyDescent="0.25">
      <c r="A19019" s="2">
        <v>19014</v>
      </c>
      <c r="B19019" s="3" t="str">
        <f>"00927588"</f>
        <v>00927588</v>
      </c>
    </row>
    <row r="19020" spans="1:2" x14ac:dyDescent="0.25">
      <c r="A19020" s="2">
        <v>19015</v>
      </c>
      <c r="B19020" s="3" t="str">
        <f>"00927678"</f>
        <v>00927678</v>
      </c>
    </row>
    <row r="19021" spans="1:2" x14ac:dyDescent="0.25">
      <c r="A19021" s="2">
        <v>19016</v>
      </c>
      <c r="B19021" s="3" t="str">
        <f>"00927721"</f>
        <v>00927721</v>
      </c>
    </row>
    <row r="19022" spans="1:2" x14ac:dyDescent="0.25">
      <c r="A19022" s="2">
        <v>19017</v>
      </c>
      <c r="B19022" s="3" t="str">
        <f>"00927730"</f>
        <v>00927730</v>
      </c>
    </row>
    <row r="19023" spans="1:2" x14ac:dyDescent="0.25">
      <c r="A19023" s="2">
        <v>19018</v>
      </c>
      <c r="B19023" s="3" t="str">
        <f>"00927736"</f>
        <v>00927736</v>
      </c>
    </row>
    <row r="19024" spans="1:2" x14ac:dyDescent="0.25">
      <c r="A19024" s="2">
        <v>19019</v>
      </c>
      <c r="B19024" s="3" t="str">
        <f>"00927772"</f>
        <v>00927772</v>
      </c>
    </row>
    <row r="19025" spans="1:2" x14ac:dyDescent="0.25">
      <c r="A19025" s="2">
        <v>19020</v>
      </c>
      <c r="B19025" s="3" t="str">
        <f>"00927781"</f>
        <v>00927781</v>
      </c>
    </row>
    <row r="19026" spans="1:2" x14ac:dyDescent="0.25">
      <c r="A19026" s="2">
        <v>19021</v>
      </c>
      <c r="B19026" s="3" t="str">
        <f>"00927788"</f>
        <v>00927788</v>
      </c>
    </row>
    <row r="19027" spans="1:2" x14ac:dyDescent="0.25">
      <c r="A19027" s="2">
        <v>19022</v>
      </c>
      <c r="B19027" s="3" t="str">
        <f>"00927794"</f>
        <v>00927794</v>
      </c>
    </row>
    <row r="19028" spans="1:2" x14ac:dyDescent="0.25">
      <c r="A19028" s="2">
        <v>19023</v>
      </c>
      <c r="B19028" s="3" t="str">
        <f>"00927887"</f>
        <v>00927887</v>
      </c>
    </row>
    <row r="19029" spans="1:2" x14ac:dyDescent="0.25">
      <c r="A19029" s="2">
        <v>19024</v>
      </c>
      <c r="B19029" s="3" t="str">
        <f>"00927924"</f>
        <v>00927924</v>
      </c>
    </row>
    <row r="19030" spans="1:2" x14ac:dyDescent="0.25">
      <c r="A19030" s="2">
        <v>19025</v>
      </c>
      <c r="B19030" s="3" t="str">
        <f>"00927956"</f>
        <v>00927956</v>
      </c>
    </row>
    <row r="19031" spans="1:2" x14ac:dyDescent="0.25">
      <c r="A19031" s="2">
        <v>19026</v>
      </c>
      <c r="B19031" s="3" t="str">
        <f>"00928056"</f>
        <v>00928056</v>
      </c>
    </row>
    <row r="19032" spans="1:2" x14ac:dyDescent="0.25">
      <c r="A19032" s="2">
        <v>19027</v>
      </c>
      <c r="B19032" s="3" t="str">
        <f>"00928158"</f>
        <v>00928158</v>
      </c>
    </row>
    <row r="19033" spans="1:2" x14ac:dyDescent="0.25">
      <c r="A19033" s="2">
        <v>19028</v>
      </c>
      <c r="B19033" s="3" t="str">
        <f>"00928410"</f>
        <v>00928410</v>
      </c>
    </row>
    <row r="19034" spans="1:2" x14ac:dyDescent="0.25">
      <c r="A19034" s="2">
        <v>19029</v>
      </c>
      <c r="B19034" s="3" t="str">
        <f>"00928479"</f>
        <v>00928479</v>
      </c>
    </row>
    <row r="19035" spans="1:2" x14ac:dyDescent="0.25">
      <c r="A19035" s="2">
        <v>19030</v>
      </c>
      <c r="B19035" s="3" t="str">
        <f>"00928558"</f>
        <v>00928558</v>
      </c>
    </row>
    <row r="19036" spans="1:2" x14ac:dyDescent="0.25">
      <c r="A19036" s="2">
        <v>19031</v>
      </c>
      <c r="B19036" s="3" t="str">
        <f>"00928632"</f>
        <v>00928632</v>
      </c>
    </row>
    <row r="19037" spans="1:2" x14ac:dyDescent="0.25">
      <c r="A19037" s="2">
        <v>19032</v>
      </c>
      <c r="B19037" s="3" t="str">
        <f>"00928686"</f>
        <v>00928686</v>
      </c>
    </row>
    <row r="19038" spans="1:2" x14ac:dyDescent="0.25">
      <c r="A19038" s="2">
        <v>19033</v>
      </c>
      <c r="B19038" s="3" t="str">
        <f>"00928731"</f>
        <v>00928731</v>
      </c>
    </row>
    <row r="19039" spans="1:2" x14ac:dyDescent="0.25">
      <c r="A19039" s="2">
        <v>19034</v>
      </c>
      <c r="B19039" s="3" t="str">
        <f>"00928756"</f>
        <v>00928756</v>
      </c>
    </row>
    <row r="19040" spans="1:2" x14ac:dyDescent="0.25">
      <c r="A19040" s="2">
        <v>19035</v>
      </c>
      <c r="B19040" s="3" t="str">
        <f>"00928759"</f>
        <v>00928759</v>
      </c>
    </row>
    <row r="19041" spans="1:2" x14ac:dyDescent="0.25">
      <c r="A19041" s="2">
        <v>19036</v>
      </c>
      <c r="B19041" s="3" t="str">
        <f>"00928977"</f>
        <v>00928977</v>
      </c>
    </row>
    <row r="19042" spans="1:2" x14ac:dyDescent="0.25">
      <c r="A19042" s="2">
        <v>19037</v>
      </c>
      <c r="B19042" s="3" t="str">
        <f>"00928983"</f>
        <v>00928983</v>
      </c>
    </row>
    <row r="19043" spans="1:2" x14ac:dyDescent="0.25">
      <c r="A19043" s="2">
        <v>19038</v>
      </c>
      <c r="B19043" s="3" t="str">
        <f>"00928990"</f>
        <v>00928990</v>
      </c>
    </row>
    <row r="19044" spans="1:2" x14ac:dyDescent="0.25">
      <c r="A19044" s="2">
        <v>19039</v>
      </c>
      <c r="B19044" s="3" t="str">
        <f>"00929016"</f>
        <v>00929016</v>
      </c>
    </row>
    <row r="19045" spans="1:2" x14ac:dyDescent="0.25">
      <c r="A19045" s="2">
        <v>19040</v>
      </c>
      <c r="B19045" s="3" t="str">
        <f>"00929068"</f>
        <v>00929068</v>
      </c>
    </row>
    <row r="19046" spans="1:2" x14ac:dyDescent="0.25">
      <c r="A19046" s="2">
        <v>19041</v>
      </c>
      <c r="B19046" s="3" t="str">
        <f>"00929079"</f>
        <v>00929079</v>
      </c>
    </row>
    <row r="19047" spans="1:2" x14ac:dyDescent="0.25">
      <c r="A19047" s="2">
        <v>19042</v>
      </c>
      <c r="B19047" s="3" t="str">
        <f>"00929147"</f>
        <v>00929147</v>
      </c>
    </row>
    <row r="19048" spans="1:2" x14ac:dyDescent="0.25">
      <c r="A19048" s="2">
        <v>19043</v>
      </c>
      <c r="B19048" s="3" t="str">
        <f>"00929148"</f>
        <v>00929148</v>
      </c>
    </row>
    <row r="19049" spans="1:2" x14ac:dyDescent="0.25">
      <c r="A19049" s="2">
        <v>19044</v>
      </c>
      <c r="B19049" s="3" t="str">
        <f>"00929189"</f>
        <v>00929189</v>
      </c>
    </row>
    <row r="19050" spans="1:2" x14ac:dyDescent="0.25">
      <c r="A19050" s="2">
        <v>19045</v>
      </c>
      <c r="B19050" s="3" t="str">
        <f>"00929209"</f>
        <v>00929209</v>
      </c>
    </row>
    <row r="19051" spans="1:2" x14ac:dyDescent="0.25">
      <c r="A19051" s="2">
        <v>19046</v>
      </c>
      <c r="B19051" s="3" t="str">
        <f>"00929219"</f>
        <v>00929219</v>
      </c>
    </row>
    <row r="19052" spans="1:2" x14ac:dyDescent="0.25">
      <c r="A19052" s="2">
        <v>19047</v>
      </c>
      <c r="B19052" s="3" t="str">
        <f>"00929224"</f>
        <v>00929224</v>
      </c>
    </row>
    <row r="19053" spans="1:2" x14ac:dyDescent="0.25">
      <c r="A19053" s="2">
        <v>19048</v>
      </c>
      <c r="B19053" s="3" t="str">
        <f>"00929256"</f>
        <v>00929256</v>
      </c>
    </row>
    <row r="19054" spans="1:2" x14ac:dyDescent="0.25">
      <c r="A19054" s="2">
        <v>19049</v>
      </c>
      <c r="B19054" s="3" t="str">
        <f>"00929277"</f>
        <v>00929277</v>
      </c>
    </row>
    <row r="19055" spans="1:2" x14ac:dyDescent="0.25">
      <c r="A19055" s="2">
        <v>19050</v>
      </c>
      <c r="B19055" s="3" t="str">
        <f>"00929304"</f>
        <v>00929304</v>
      </c>
    </row>
    <row r="19056" spans="1:2" x14ac:dyDescent="0.25">
      <c r="A19056" s="2">
        <v>19051</v>
      </c>
      <c r="B19056" s="3" t="str">
        <f>"00929320"</f>
        <v>00929320</v>
      </c>
    </row>
    <row r="19057" spans="1:2" x14ac:dyDescent="0.25">
      <c r="A19057" s="2">
        <v>19052</v>
      </c>
      <c r="B19057" s="3" t="str">
        <f>"00929388"</f>
        <v>00929388</v>
      </c>
    </row>
    <row r="19058" spans="1:2" x14ac:dyDescent="0.25">
      <c r="A19058" s="2">
        <v>19053</v>
      </c>
      <c r="B19058" s="3" t="str">
        <f>"00929398"</f>
        <v>00929398</v>
      </c>
    </row>
    <row r="19059" spans="1:2" x14ac:dyDescent="0.25">
      <c r="A19059" s="2">
        <v>19054</v>
      </c>
      <c r="B19059" s="3" t="str">
        <f>"00929412"</f>
        <v>00929412</v>
      </c>
    </row>
    <row r="19060" spans="1:2" x14ac:dyDescent="0.25">
      <c r="A19060" s="2">
        <v>19055</v>
      </c>
      <c r="B19060" s="3" t="str">
        <f>"00929427"</f>
        <v>00929427</v>
      </c>
    </row>
    <row r="19061" spans="1:2" x14ac:dyDescent="0.25">
      <c r="A19061" s="2">
        <v>19056</v>
      </c>
      <c r="B19061" s="3" t="str">
        <f>"00929444"</f>
        <v>00929444</v>
      </c>
    </row>
    <row r="19062" spans="1:2" x14ac:dyDescent="0.25">
      <c r="A19062" s="2">
        <v>19057</v>
      </c>
      <c r="B19062" s="3" t="str">
        <f>"00929451"</f>
        <v>00929451</v>
      </c>
    </row>
    <row r="19063" spans="1:2" x14ac:dyDescent="0.25">
      <c r="A19063" s="2">
        <v>19058</v>
      </c>
      <c r="B19063" s="3" t="str">
        <f>"00929567"</f>
        <v>00929567</v>
      </c>
    </row>
    <row r="19064" spans="1:2" x14ac:dyDescent="0.25">
      <c r="A19064" s="2">
        <v>19059</v>
      </c>
      <c r="B19064" s="3" t="str">
        <f>"00929598"</f>
        <v>00929598</v>
      </c>
    </row>
    <row r="19065" spans="1:2" x14ac:dyDescent="0.25">
      <c r="A19065" s="2">
        <v>19060</v>
      </c>
      <c r="B19065" s="3" t="str">
        <f>"00929695"</f>
        <v>00929695</v>
      </c>
    </row>
    <row r="19066" spans="1:2" x14ac:dyDescent="0.25">
      <c r="A19066" s="2">
        <v>19061</v>
      </c>
      <c r="B19066" s="3" t="str">
        <f>"00929731"</f>
        <v>00929731</v>
      </c>
    </row>
    <row r="19067" spans="1:2" x14ac:dyDescent="0.25">
      <c r="A19067" s="2">
        <v>19062</v>
      </c>
      <c r="B19067" s="3" t="str">
        <f>"00929794"</f>
        <v>00929794</v>
      </c>
    </row>
    <row r="19068" spans="1:2" x14ac:dyDescent="0.25">
      <c r="A19068" s="2">
        <v>19063</v>
      </c>
      <c r="B19068" s="3" t="str">
        <f>"00929881"</f>
        <v>00929881</v>
      </c>
    </row>
    <row r="19069" spans="1:2" x14ac:dyDescent="0.25">
      <c r="A19069" s="2">
        <v>19064</v>
      </c>
      <c r="B19069" s="3" t="str">
        <f>"00929920"</f>
        <v>00929920</v>
      </c>
    </row>
    <row r="19070" spans="1:2" x14ac:dyDescent="0.25">
      <c r="A19070" s="2">
        <v>19065</v>
      </c>
      <c r="B19070" s="3" t="str">
        <f>"00929930"</f>
        <v>00929930</v>
      </c>
    </row>
    <row r="19071" spans="1:2" x14ac:dyDescent="0.25">
      <c r="A19071" s="2">
        <v>19066</v>
      </c>
      <c r="B19071" s="3" t="str">
        <f>"00930032"</f>
        <v>00930032</v>
      </c>
    </row>
    <row r="19072" spans="1:2" x14ac:dyDescent="0.25">
      <c r="A19072" s="2">
        <v>19067</v>
      </c>
      <c r="B19072" s="3" t="str">
        <f>"00930045"</f>
        <v>00930045</v>
      </c>
    </row>
    <row r="19073" spans="1:2" x14ac:dyDescent="0.25">
      <c r="A19073" s="2">
        <v>19068</v>
      </c>
      <c r="B19073" s="3" t="str">
        <f>"00930098"</f>
        <v>00930098</v>
      </c>
    </row>
    <row r="19074" spans="1:2" x14ac:dyDescent="0.25">
      <c r="A19074" s="2">
        <v>19069</v>
      </c>
      <c r="B19074" s="3" t="str">
        <f>"00930208"</f>
        <v>00930208</v>
      </c>
    </row>
    <row r="19075" spans="1:2" x14ac:dyDescent="0.25">
      <c r="A19075" s="2">
        <v>19070</v>
      </c>
      <c r="B19075" s="3" t="str">
        <f>"00930236"</f>
        <v>00930236</v>
      </c>
    </row>
    <row r="19076" spans="1:2" x14ac:dyDescent="0.25">
      <c r="A19076" s="2">
        <v>19071</v>
      </c>
      <c r="B19076" s="3" t="str">
        <f>"00930278"</f>
        <v>00930278</v>
      </c>
    </row>
    <row r="19077" spans="1:2" x14ac:dyDescent="0.25">
      <c r="A19077" s="2">
        <v>19072</v>
      </c>
      <c r="B19077" s="3" t="str">
        <f>"00930317"</f>
        <v>00930317</v>
      </c>
    </row>
    <row r="19078" spans="1:2" x14ac:dyDescent="0.25">
      <c r="A19078" s="2">
        <v>19073</v>
      </c>
      <c r="B19078" s="3" t="str">
        <f>"00930318"</f>
        <v>00930318</v>
      </c>
    </row>
    <row r="19079" spans="1:2" x14ac:dyDescent="0.25">
      <c r="A19079" s="2">
        <v>19074</v>
      </c>
      <c r="B19079" s="3" t="str">
        <f>"00930335"</f>
        <v>00930335</v>
      </c>
    </row>
    <row r="19080" spans="1:2" x14ac:dyDescent="0.25">
      <c r="A19080" s="2">
        <v>19075</v>
      </c>
      <c r="B19080" s="3" t="str">
        <f>"00930355"</f>
        <v>00930355</v>
      </c>
    </row>
    <row r="19081" spans="1:2" x14ac:dyDescent="0.25">
      <c r="A19081" s="2">
        <v>19076</v>
      </c>
      <c r="B19081" s="3" t="str">
        <f>"00930420"</f>
        <v>00930420</v>
      </c>
    </row>
    <row r="19082" spans="1:2" x14ac:dyDescent="0.25">
      <c r="A19082" s="2">
        <v>19077</v>
      </c>
      <c r="B19082" s="3" t="str">
        <f>"00930467"</f>
        <v>00930467</v>
      </c>
    </row>
    <row r="19083" spans="1:2" x14ac:dyDescent="0.25">
      <c r="A19083" s="2">
        <v>19078</v>
      </c>
      <c r="B19083" s="3" t="str">
        <f>"00930474"</f>
        <v>00930474</v>
      </c>
    </row>
    <row r="19084" spans="1:2" x14ac:dyDescent="0.25">
      <c r="A19084" s="2">
        <v>19079</v>
      </c>
      <c r="B19084" s="3" t="str">
        <f>"00930478"</f>
        <v>00930478</v>
      </c>
    </row>
    <row r="19085" spans="1:2" x14ac:dyDescent="0.25">
      <c r="A19085" s="2">
        <v>19080</v>
      </c>
      <c r="B19085" s="3" t="str">
        <f>"00930520"</f>
        <v>00930520</v>
      </c>
    </row>
    <row r="19086" spans="1:2" x14ac:dyDescent="0.25">
      <c r="A19086" s="2">
        <v>19081</v>
      </c>
      <c r="B19086" s="3" t="str">
        <f>"00930542"</f>
        <v>00930542</v>
      </c>
    </row>
    <row r="19087" spans="1:2" x14ac:dyDescent="0.25">
      <c r="A19087" s="2">
        <v>19082</v>
      </c>
      <c r="B19087" s="3" t="str">
        <f>"00930628"</f>
        <v>00930628</v>
      </c>
    </row>
    <row r="19088" spans="1:2" x14ac:dyDescent="0.25">
      <c r="A19088" s="2">
        <v>19083</v>
      </c>
      <c r="B19088" s="3" t="str">
        <f>"00930630"</f>
        <v>00930630</v>
      </c>
    </row>
    <row r="19089" spans="1:2" x14ac:dyDescent="0.25">
      <c r="A19089" s="2">
        <v>19084</v>
      </c>
      <c r="B19089" s="3" t="str">
        <f>"00930691"</f>
        <v>00930691</v>
      </c>
    </row>
    <row r="19090" spans="1:2" x14ac:dyDescent="0.25">
      <c r="A19090" s="2">
        <v>19085</v>
      </c>
      <c r="B19090" s="3" t="str">
        <f>"00930698"</f>
        <v>00930698</v>
      </c>
    </row>
    <row r="19091" spans="1:2" x14ac:dyDescent="0.25">
      <c r="A19091" s="2">
        <v>19086</v>
      </c>
      <c r="B19091" s="3" t="str">
        <f>"00930836"</f>
        <v>00930836</v>
      </c>
    </row>
    <row r="19092" spans="1:2" x14ac:dyDescent="0.25">
      <c r="A19092" s="2">
        <v>19087</v>
      </c>
      <c r="B19092" s="3" t="str">
        <f>"00930841"</f>
        <v>00930841</v>
      </c>
    </row>
    <row r="19093" spans="1:2" x14ac:dyDescent="0.25">
      <c r="A19093" s="2">
        <v>19088</v>
      </c>
      <c r="B19093" s="3" t="str">
        <f>"00930902"</f>
        <v>00930902</v>
      </c>
    </row>
    <row r="19094" spans="1:2" x14ac:dyDescent="0.25">
      <c r="A19094" s="2">
        <v>19089</v>
      </c>
      <c r="B19094" s="3" t="str">
        <f>"00930950"</f>
        <v>00930950</v>
      </c>
    </row>
    <row r="19095" spans="1:2" x14ac:dyDescent="0.25">
      <c r="A19095" s="2">
        <v>19090</v>
      </c>
      <c r="B19095" s="3" t="str">
        <f>"00930970"</f>
        <v>00930970</v>
      </c>
    </row>
    <row r="19096" spans="1:2" x14ac:dyDescent="0.25">
      <c r="A19096" s="2">
        <v>19091</v>
      </c>
      <c r="B19096" s="3" t="str">
        <f>"00931013"</f>
        <v>00931013</v>
      </c>
    </row>
    <row r="19097" spans="1:2" x14ac:dyDescent="0.25">
      <c r="A19097" s="2">
        <v>19092</v>
      </c>
      <c r="B19097" s="3" t="str">
        <f>"00931023"</f>
        <v>00931023</v>
      </c>
    </row>
    <row r="19098" spans="1:2" x14ac:dyDescent="0.25">
      <c r="A19098" s="2">
        <v>19093</v>
      </c>
      <c r="B19098" s="3" t="str">
        <f>"00931089"</f>
        <v>00931089</v>
      </c>
    </row>
    <row r="19099" spans="1:2" x14ac:dyDescent="0.25">
      <c r="A19099" s="2">
        <v>19094</v>
      </c>
      <c r="B19099" s="3" t="str">
        <f>"00931127"</f>
        <v>00931127</v>
      </c>
    </row>
    <row r="19100" spans="1:2" x14ac:dyDescent="0.25">
      <c r="A19100" s="2">
        <v>19095</v>
      </c>
      <c r="B19100" s="3" t="str">
        <f>"00931150"</f>
        <v>00931150</v>
      </c>
    </row>
    <row r="19101" spans="1:2" x14ac:dyDescent="0.25">
      <c r="A19101" s="2">
        <v>19096</v>
      </c>
      <c r="B19101" s="3" t="str">
        <f>"00931227"</f>
        <v>00931227</v>
      </c>
    </row>
    <row r="19102" spans="1:2" x14ac:dyDescent="0.25">
      <c r="A19102" s="2">
        <v>19097</v>
      </c>
      <c r="B19102" s="3" t="str">
        <f>"00931378"</f>
        <v>00931378</v>
      </c>
    </row>
    <row r="19103" spans="1:2" x14ac:dyDescent="0.25">
      <c r="A19103" s="2">
        <v>19098</v>
      </c>
      <c r="B19103" s="3" t="str">
        <f>"00931380"</f>
        <v>00931380</v>
      </c>
    </row>
    <row r="19104" spans="1:2" x14ac:dyDescent="0.25">
      <c r="A19104" s="2">
        <v>19099</v>
      </c>
      <c r="B19104" s="3" t="str">
        <f>"00931418"</f>
        <v>00931418</v>
      </c>
    </row>
    <row r="19105" spans="1:2" x14ac:dyDescent="0.25">
      <c r="A19105" s="2">
        <v>19100</v>
      </c>
      <c r="B19105" s="3" t="str">
        <f>"00931422"</f>
        <v>00931422</v>
      </c>
    </row>
    <row r="19106" spans="1:2" x14ac:dyDescent="0.25">
      <c r="A19106" s="2">
        <v>19101</v>
      </c>
      <c r="B19106" s="3" t="str">
        <f>"00931436"</f>
        <v>00931436</v>
      </c>
    </row>
    <row r="19107" spans="1:2" x14ac:dyDescent="0.25">
      <c r="A19107" s="2">
        <v>19102</v>
      </c>
      <c r="B19107" s="3" t="str">
        <f>"00931453"</f>
        <v>00931453</v>
      </c>
    </row>
    <row r="19108" spans="1:2" x14ac:dyDescent="0.25">
      <c r="A19108" s="2">
        <v>19103</v>
      </c>
      <c r="B19108" s="3" t="str">
        <f>"00931476"</f>
        <v>00931476</v>
      </c>
    </row>
    <row r="19109" spans="1:2" x14ac:dyDescent="0.25">
      <c r="A19109" s="2">
        <v>19104</v>
      </c>
      <c r="B19109" s="3" t="str">
        <f>"00931477"</f>
        <v>00931477</v>
      </c>
    </row>
    <row r="19110" spans="1:2" x14ac:dyDescent="0.25">
      <c r="A19110" s="2">
        <v>19105</v>
      </c>
      <c r="B19110" s="3" t="str">
        <f>"00931573"</f>
        <v>00931573</v>
      </c>
    </row>
    <row r="19111" spans="1:2" x14ac:dyDescent="0.25">
      <c r="A19111" s="2">
        <v>19106</v>
      </c>
      <c r="B19111" s="3" t="str">
        <f>"00931606"</f>
        <v>00931606</v>
      </c>
    </row>
    <row r="19112" spans="1:2" x14ac:dyDescent="0.25">
      <c r="A19112" s="2">
        <v>19107</v>
      </c>
      <c r="B19112" s="3" t="str">
        <f>"00931634"</f>
        <v>00931634</v>
      </c>
    </row>
    <row r="19113" spans="1:2" x14ac:dyDescent="0.25">
      <c r="A19113" s="2">
        <v>19108</v>
      </c>
      <c r="B19113" s="3" t="str">
        <f>"00931641"</f>
        <v>00931641</v>
      </c>
    </row>
    <row r="19114" spans="1:2" x14ac:dyDescent="0.25">
      <c r="A19114" s="2">
        <v>19109</v>
      </c>
      <c r="B19114" s="3" t="str">
        <f>"00931646"</f>
        <v>00931646</v>
      </c>
    </row>
    <row r="19115" spans="1:2" x14ac:dyDescent="0.25">
      <c r="A19115" s="2">
        <v>19110</v>
      </c>
      <c r="B19115" s="3" t="str">
        <f>"00931653"</f>
        <v>00931653</v>
      </c>
    </row>
    <row r="19116" spans="1:2" x14ac:dyDescent="0.25">
      <c r="A19116" s="2">
        <v>19111</v>
      </c>
      <c r="B19116" s="3" t="str">
        <f>"00931684"</f>
        <v>00931684</v>
      </c>
    </row>
    <row r="19117" spans="1:2" x14ac:dyDescent="0.25">
      <c r="A19117" s="2">
        <v>19112</v>
      </c>
      <c r="B19117" s="3" t="str">
        <f>"00931687"</f>
        <v>00931687</v>
      </c>
    </row>
    <row r="19118" spans="1:2" x14ac:dyDescent="0.25">
      <c r="A19118" s="2">
        <v>19113</v>
      </c>
      <c r="B19118" s="3" t="str">
        <f>"00931767"</f>
        <v>00931767</v>
      </c>
    </row>
    <row r="19119" spans="1:2" x14ac:dyDescent="0.25">
      <c r="A19119" s="2">
        <v>19114</v>
      </c>
      <c r="B19119" s="3" t="str">
        <f>"00931772"</f>
        <v>00931772</v>
      </c>
    </row>
    <row r="19120" spans="1:2" x14ac:dyDescent="0.25">
      <c r="A19120" s="2">
        <v>19115</v>
      </c>
      <c r="B19120" s="3" t="str">
        <f>"00931777"</f>
        <v>00931777</v>
      </c>
    </row>
    <row r="19121" spans="1:2" x14ac:dyDescent="0.25">
      <c r="A19121" s="2">
        <v>19116</v>
      </c>
      <c r="B19121" s="3" t="str">
        <f>"00931779"</f>
        <v>00931779</v>
      </c>
    </row>
    <row r="19122" spans="1:2" x14ac:dyDescent="0.25">
      <c r="A19122" s="2">
        <v>19117</v>
      </c>
      <c r="B19122" s="3" t="str">
        <f>"00931787"</f>
        <v>00931787</v>
      </c>
    </row>
    <row r="19123" spans="1:2" x14ac:dyDescent="0.25">
      <c r="A19123" s="2">
        <v>19118</v>
      </c>
      <c r="B19123" s="3" t="str">
        <f>"00931789"</f>
        <v>00931789</v>
      </c>
    </row>
    <row r="19124" spans="1:2" x14ac:dyDescent="0.25">
      <c r="A19124" s="2">
        <v>19119</v>
      </c>
      <c r="B19124" s="3" t="str">
        <f>"00931820"</f>
        <v>00931820</v>
      </c>
    </row>
    <row r="19125" spans="1:2" x14ac:dyDescent="0.25">
      <c r="A19125" s="2">
        <v>19120</v>
      </c>
      <c r="B19125" s="3" t="str">
        <f>"00931849"</f>
        <v>00931849</v>
      </c>
    </row>
    <row r="19126" spans="1:2" x14ac:dyDescent="0.25">
      <c r="A19126" s="2">
        <v>19121</v>
      </c>
      <c r="B19126" s="3" t="str">
        <f>"00931930"</f>
        <v>00931930</v>
      </c>
    </row>
    <row r="19127" spans="1:2" x14ac:dyDescent="0.25">
      <c r="A19127" s="2">
        <v>19122</v>
      </c>
      <c r="B19127" s="3" t="str">
        <f>"00931936"</f>
        <v>00931936</v>
      </c>
    </row>
    <row r="19128" spans="1:2" x14ac:dyDescent="0.25">
      <c r="A19128" s="2">
        <v>19123</v>
      </c>
      <c r="B19128" s="3" t="str">
        <f>"00931937"</f>
        <v>00931937</v>
      </c>
    </row>
    <row r="19129" spans="1:2" x14ac:dyDescent="0.25">
      <c r="A19129" s="2">
        <v>19124</v>
      </c>
      <c r="B19129" s="3" t="str">
        <f>"00931939"</f>
        <v>00931939</v>
      </c>
    </row>
    <row r="19130" spans="1:2" x14ac:dyDescent="0.25">
      <c r="A19130" s="2">
        <v>19125</v>
      </c>
      <c r="B19130" s="3" t="str">
        <f>"00931943"</f>
        <v>00931943</v>
      </c>
    </row>
    <row r="19131" spans="1:2" x14ac:dyDescent="0.25">
      <c r="A19131" s="2">
        <v>19126</v>
      </c>
      <c r="B19131" s="3" t="str">
        <f>"00931971"</f>
        <v>00931971</v>
      </c>
    </row>
    <row r="19132" spans="1:2" x14ac:dyDescent="0.25">
      <c r="A19132" s="2">
        <v>19127</v>
      </c>
      <c r="B19132" s="3" t="str">
        <f>"00931979"</f>
        <v>00931979</v>
      </c>
    </row>
    <row r="19133" spans="1:2" x14ac:dyDescent="0.25">
      <c r="A19133" s="2">
        <v>19128</v>
      </c>
      <c r="B19133" s="3" t="str">
        <f>"00931990"</f>
        <v>00931990</v>
      </c>
    </row>
    <row r="19134" spans="1:2" x14ac:dyDescent="0.25">
      <c r="A19134" s="2">
        <v>19129</v>
      </c>
      <c r="B19134" s="3" t="str">
        <f>"00931998"</f>
        <v>00931998</v>
      </c>
    </row>
    <row r="19135" spans="1:2" x14ac:dyDescent="0.25">
      <c r="A19135" s="2">
        <v>19130</v>
      </c>
      <c r="B19135" s="3" t="str">
        <f>"00932025"</f>
        <v>00932025</v>
      </c>
    </row>
    <row r="19136" spans="1:2" x14ac:dyDescent="0.25">
      <c r="A19136" s="2">
        <v>19131</v>
      </c>
      <c r="B19136" s="3" t="str">
        <f>"00932031"</f>
        <v>00932031</v>
      </c>
    </row>
    <row r="19137" spans="1:2" x14ac:dyDescent="0.25">
      <c r="A19137" s="2">
        <v>19132</v>
      </c>
      <c r="B19137" s="3" t="str">
        <f>"00932055"</f>
        <v>00932055</v>
      </c>
    </row>
    <row r="19138" spans="1:2" x14ac:dyDescent="0.25">
      <c r="A19138" s="2">
        <v>19133</v>
      </c>
      <c r="B19138" s="3" t="str">
        <f>"00932056"</f>
        <v>00932056</v>
      </c>
    </row>
    <row r="19139" spans="1:2" x14ac:dyDescent="0.25">
      <c r="A19139" s="2">
        <v>19134</v>
      </c>
      <c r="B19139" s="3" t="str">
        <f>"00932100"</f>
        <v>00932100</v>
      </c>
    </row>
    <row r="19140" spans="1:2" x14ac:dyDescent="0.25">
      <c r="A19140" s="2">
        <v>19135</v>
      </c>
      <c r="B19140" s="3" t="str">
        <f>"00932101"</f>
        <v>00932101</v>
      </c>
    </row>
    <row r="19141" spans="1:2" x14ac:dyDescent="0.25">
      <c r="A19141" s="2">
        <v>19136</v>
      </c>
      <c r="B19141" s="3" t="str">
        <f>"00932104"</f>
        <v>00932104</v>
      </c>
    </row>
    <row r="19142" spans="1:2" x14ac:dyDescent="0.25">
      <c r="A19142" s="2">
        <v>19137</v>
      </c>
      <c r="B19142" s="3" t="str">
        <f>"00932118"</f>
        <v>00932118</v>
      </c>
    </row>
    <row r="19143" spans="1:2" x14ac:dyDescent="0.25">
      <c r="A19143" s="2">
        <v>19138</v>
      </c>
      <c r="B19143" s="3" t="str">
        <f>"00932122"</f>
        <v>00932122</v>
      </c>
    </row>
    <row r="19144" spans="1:2" x14ac:dyDescent="0.25">
      <c r="A19144" s="2">
        <v>19139</v>
      </c>
      <c r="B19144" s="3" t="str">
        <f>"00932147"</f>
        <v>00932147</v>
      </c>
    </row>
    <row r="19145" spans="1:2" x14ac:dyDescent="0.25">
      <c r="A19145" s="2">
        <v>19140</v>
      </c>
      <c r="B19145" s="3" t="str">
        <f>"00932179"</f>
        <v>00932179</v>
      </c>
    </row>
    <row r="19146" spans="1:2" x14ac:dyDescent="0.25">
      <c r="A19146" s="2">
        <v>19141</v>
      </c>
      <c r="B19146" s="3" t="str">
        <f>"00932183"</f>
        <v>00932183</v>
      </c>
    </row>
    <row r="19147" spans="1:2" x14ac:dyDescent="0.25">
      <c r="A19147" s="2">
        <v>19142</v>
      </c>
      <c r="B19147" s="3" t="str">
        <f>"00932229"</f>
        <v>00932229</v>
      </c>
    </row>
    <row r="19148" spans="1:2" x14ac:dyDescent="0.25">
      <c r="A19148" s="2">
        <v>19143</v>
      </c>
      <c r="B19148" s="3" t="str">
        <f>"00932261"</f>
        <v>00932261</v>
      </c>
    </row>
    <row r="19149" spans="1:2" x14ac:dyDescent="0.25">
      <c r="A19149" s="2">
        <v>19144</v>
      </c>
      <c r="B19149" s="3" t="str">
        <f>"00932263"</f>
        <v>00932263</v>
      </c>
    </row>
    <row r="19150" spans="1:2" x14ac:dyDescent="0.25">
      <c r="A19150" s="2">
        <v>19145</v>
      </c>
      <c r="B19150" s="3" t="str">
        <f>"00932304"</f>
        <v>00932304</v>
      </c>
    </row>
    <row r="19151" spans="1:2" x14ac:dyDescent="0.25">
      <c r="A19151" s="2">
        <v>19146</v>
      </c>
      <c r="B19151" s="3" t="str">
        <f>"00932310"</f>
        <v>00932310</v>
      </c>
    </row>
    <row r="19152" spans="1:2" x14ac:dyDescent="0.25">
      <c r="A19152" s="2">
        <v>19147</v>
      </c>
      <c r="B19152" s="3" t="str">
        <f>"00932425"</f>
        <v>00932425</v>
      </c>
    </row>
    <row r="19153" spans="1:2" x14ac:dyDescent="0.25">
      <c r="A19153" s="2">
        <v>19148</v>
      </c>
      <c r="B19153" s="3" t="str">
        <f>"00932428"</f>
        <v>00932428</v>
      </c>
    </row>
    <row r="19154" spans="1:2" x14ac:dyDescent="0.25">
      <c r="A19154" s="2">
        <v>19149</v>
      </c>
      <c r="B19154" s="3" t="str">
        <f>"00932447"</f>
        <v>00932447</v>
      </c>
    </row>
    <row r="19155" spans="1:2" x14ac:dyDescent="0.25">
      <c r="A19155" s="2">
        <v>19150</v>
      </c>
      <c r="B19155" s="3" t="str">
        <f>"00932474"</f>
        <v>00932474</v>
      </c>
    </row>
    <row r="19156" spans="1:2" x14ac:dyDescent="0.25">
      <c r="A19156" s="2">
        <v>19151</v>
      </c>
      <c r="B19156" s="3" t="str">
        <f>"00932476"</f>
        <v>00932476</v>
      </c>
    </row>
    <row r="19157" spans="1:2" x14ac:dyDescent="0.25">
      <c r="A19157" s="2">
        <v>19152</v>
      </c>
      <c r="B19157" s="3" t="str">
        <f>"00932492"</f>
        <v>00932492</v>
      </c>
    </row>
    <row r="19158" spans="1:2" x14ac:dyDescent="0.25">
      <c r="A19158" s="2">
        <v>19153</v>
      </c>
      <c r="B19158" s="3" t="str">
        <f>"00932496"</f>
        <v>00932496</v>
      </c>
    </row>
    <row r="19159" spans="1:2" x14ac:dyDescent="0.25">
      <c r="A19159" s="2">
        <v>19154</v>
      </c>
      <c r="B19159" s="3" t="str">
        <f>"00932508"</f>
        <v>00932508</v>
      </c>
    </row>
    <row r="19160" spans="1:2" x14ac:dyDescent="0.25">
      <c r="A19160" s="2">
        <v>19155</v>
      </c>
      <c r="B19160" s="3" t="str">
        <f>"00932514"</f>
        <v>00932514</v>
      </c>
    </row>
    <row r="19161" spans="1:2" x14ac:dyDescent="0.25">
      <c r="A19161" s="2">
        <v>19156</v>
      </c>
      <c r="B19161" s="3" t="str">
        <f>"00932540"</f>
        <v>00932540</v>
      </c>
    </row>
    <row r="19162" spans="1:2" x14ac:dyDescent="0.25">
      <c r="A19162" s="2">
        <v>19157</v>
      </c>
      <c r="B19162" s="3" t="str">
        <f>"00932572"</f>
        <v>00932572</v>
      </c>
    </row>
    <row r="19163" spans="1:2" x14ac:dyDescent="0.25">
      <c r="A19163" s="2">
        <v>19158</v>
      </c>
      <c r="B19163" s="3" t="str">
        <f>"00932596"</f>
        <v>00932596</v>
      </c>
    </row>
    <row r="19164" spans="1:2" x14ac:dyDescent="0.25">
      <c r="A19164" s="2">
        <v>19159</v>
      </c>
      <c r="B19164" s="3" t="str">
        <f>"00932649"</f>
        <v>00932649</v>
      </c>
    </row>
    <row r="19165" spans="1:2" x14ac:dyDescent="0.25">
      <c r="A19165" s="2">
        <v>19160</v>
      </c>
      <c r="B19165" s="3" t="str">
        <f>"00932655"</f>
        <v>00932655</v>
      </c>
    </row>
    <row r="19166" spans="1:2" x14ac:dyDescent="0.25">
      <c r="A19166" s="2">
        <v>19161</v>
      </c>
      <c r="B19166" s="3" t="str">
        <f>"00932668"</f>
        <v>00932668</v>
      </c>
    </row>
    <row r="19167" spans="1:2" x14ac:dyDescent="0.25">
      <c r="A19167" s="2">
        <v>19162</v>
      </c>
      <c r="B19167" s="3" t="str">
        <f>"00932876"</f>
        <v>00932876</v>
      </c>
    </row>
    <row r="19168" spans="1:2" x14ac:dyDescent="0.25">
      <c r="A19168" s="2">
        <v>19163</v>
      </c>
      <c r="B19168" s="3" t="str">
        <f>"00932885"</f>
        <v>00932885</v>
      </c>
    </row>
    <row r="19169" spans="1:2" x14ac:dyDescent="0.25">
      <c r="A19169" s="2">
        <v>19164</v>
      </c>
      <c r="B19169" s="3" t="str">
        <f>"00932908"</f>
        <v>00932908</v>
      </c>
    </row>
    <row r="19170" spans="1:2" x14ac:dyDescent="0.25">
      <c r="A19170" s="2">
        <v>19165</v>
      </c>
      <c r="B19170" s="3" t="str">
        <f>"00932924"</f>
        <v>00932924</v>
      </c>
    </row>
    <row r="19171" spans="1:2" x14ac:dyDescent="0.25">
      <c r="A19171" s="2">
        <v>19166</v>
      </c>
      <c r="B19171" s="3" t="str">
        <f>"00933052"</f>
        <v>00933052</v>
      </c>
    </row>
    <row r="19172" spans="1:2" x14ac:dyDescent="0.25">
      <c r="A19172" s="2">
        <v>19167</v>
      </c>
      <c r="B19172" s="3" t="str">
        <f>"00933202"</f>
        <v>00933202</v>
      </c>
    </row>
    <row r="19173" spans="1:2" x14ac:dyDescent="0.25">
      <c r="A19173" s="2">
        <v>19168</v>
      </c>
      <c r="B19173" s="3" t="str">
        <f>"00933212"</f>
        <v>00933212</v>
      </c>
    </row>
    <row r="19174" spans="1:2" x14ac:dyDescent="0.25">
      <c r="A19174" s="2">
        <v>19169</v>
      </c>
      <c r="B19174" s="3" t="str">
        <f>"00933292"</f>
        <v>00933292</v>
      </c>
    </row>
    <row r="19175" spans="1:2" x14ac:dyDescent="0.25">
      <c r="A19175" s="2">
        <v>19170</v>
      </c>
      <c r="B19175" s="3" t="str">
        <f>"00933321"</f>
        <v>00933321</v>
      </c>
    </row>
    <row r="19176" spans="1:2" x14ac:dyDescent="0.25">
      <c r="A19176" s="2">
        <v>19171</v>
      </c>
      <c r="B19176" s="3" t="str">
        <f>"00933329"</f>
        <v>00933329</v>
      </c>
    </row>
    <row r="19177" spans="1:2" x14ac:dyDescent="0.25">
      <c r="A19177" s="2">
        <v>19172</v>
      </c>
      <c r="B19177" s="3" t="str">
        <f>"00933375"</f>
        <v>00933375</v>
      </c>
    </row>
    <row r="19178" spans="1:2" x14ac:dyDescent="0.25">
      <c r="A19178" s="2">
        <v>19173</v>
      </c>
      <c r="B19178" s="3" t="str">
        <f>"00933390"</f>
        <v>00933390</v>
      </c>
    </row>
    <row r="19179" spans="1:2" x14ac:dyDescent="0.25">
      <c r="A19179" s="2">
        <v>19174</v>
      </c>
      <c r="B19179" s="3" t="str">
        <f>"00933406"</f>
        <v>00933406</v>
      </c>
    </row>
    <row r="19180" spans="1:2" x14ac:dyDescent="0.25">
      <c r="A19180" s="2">
        <v>19175</v>
      </c>
      <c r="B19180" s="3" t="str">
        <f>"00933432"</f>
        <v>00933432</v>
      </c>
    </row>
    <row r="19181" spans="1:2" x14ac:dyDescent="0.25">
      <c r="A19181" s="2">
        <v>19176</v>
      </c>
      <c r="B19181" s="3" t="str">
        <f>"00933440"</f>
        <v>00933440</v>
      </c>
    </row>
    <row r="19182" spans="1:2" x14ac:dyDescent="0.25">
      <c r="A19182" s="2">
        <v>19177</v>
      </c>
      <c r="B19182" s="3" t="str">
        <f>"00933459"</f>
        <v>00933459</v>
      </c>
    </row>
    <row r="19183" spans="1:2" x14ac:dyDescent="0.25">
      <c r="A19183" s="2">
        <v>19178</v>
      </c>
      <c r="B19183" s="3" t="str">
        <f>"00933474"</f>
        <v>00933474</v>
      </c>
    </row>
    <row r="19184" spans="1:2" x14ac:dyDescent="0.25">
      <c r="A19184" s="2">
        <v>19179</v>
      </c>
      <c r="B19184" s="3" t="str">
        <f>"00933475"</f>
        <v>00933475</v>
      </c>
    </row>
    <row r="19185" spans="1:2" x14ac:dyDescent="0.25">
      <c r="A19185" s="2">
        <v>19180</v>
      </c>
      <c r="B19185" s="3" t="str">
        <f>"00933478"</f>
        <v>00933478</v>
      </c>
    </row>
    <row r="19186" spans="1:2" x14ac:dyDescent="0.25">
      <c r="A19186" s="2">
        <v>19181</v>
      </c>
      <c r="B19186" s="3" t="str">
        <f>"00933493"</f>
        <v>00933493</v>
      </c>
    </row>
    <row r="19187" spans="1:2" x14ac:dyDescent="0.25">
      <c r="A19187" s="2">
        <v>19182</v>
      </c>
      <c r="B19187" s="3" t="str">
        <f>"00933509"</f>
        <v>00933509</v>
      </c>
    </row>
    <row r="19188" spans="1:2" x14ac:dyDescent="0.25">
      <c r="A19188" s="2">
        <v>19183</v>
      </c>
      <c r="B19188" s="3" t="str">
        <f>"00933571"</f>
        <v>00933571</v>
      </c>
    </row>
    <row r="19189" spans="1:2" x14ac:dyDescent="0.25">
      <c r="A19189" s="2">
        <v>19184</v>
      </c>
      <c r="B19189" s="3" t="str">
        <f>"00933643"</f>
        <v>00933643</v>
      </c>
    </row>
    <row r="19190" spans="1:2" x14ac:dyDescent="0.25">
      <c r="A19190" s="2">
        <v>19185</v>
      </c>
      <c r="B19190" s="3" t="str">
        <f>"00933659"</f>
        <v>00933659</v>
      </c>
    </row>
    <row r="19191" spans="1:2" x14ac:dyDescent="0.25">
      <c r="A19191" s="2">
        <v>19186</v>
      </c>
      <c r="B19191" s="3" t="str">
        <f>"00933674"</f>
        <v>00933674</v>
      </c>
    </row>
    <row r="19192" spans="1:2" x14ac:dyDescent="0.25">
      <c r="A19192" s="2">
        <v>19187</v>
      </c>
      <c r="B19192" s="3" t="str">
        <f>"00933676"</f>
        <v>00933676</v>
      </c>
    </row>
    <row r="19193" spans="1:2" x14ac:dyDescent="0.25">
      <c r="A19193" s="2">
        <v>19188</v>
      </c>
      <c r="B19193" s="3" t="str">
        <f>"00933700"</f>
        <v>00933700</v>
      </c>
    </row>
    <row r="19194" spans="1:2" x14ac:dyDescent="0.25">
      <c r="A19194" s="2">
        <v>19189</v>
      </c>
      <c r="B19194" s="3" t="str">
        <f>"00933703"</f>
        <v>00933703</v>
      </c>
    </row>
    <row r="19195" spans="1:2" x14ac:dyDescent="0.25">
      <c r="A19195" s="2">
        <v>19190</v>
      </c>
      <c r="B19195" s="3" t="str">
        <f>"00933723"</f>
        <v>00933723</v>
      </c>
    </row>
    <row r="19196" spans="1:2" x14ac:dyDescent="0.25">
      <c r="A19196" s="2">
        <v>19191</v>
      </c>
      <c r="B19196" s="3" t="str">
        <f>"00933769"</f>
        <v>00933769</v>
      </c>
    </row>
    <row r="19197" spans="1:2" x14ac:dyDescent="0.25">
      <c r="A19197" s="2">
        <v>19192</v>
      </c>
      <c r="B19197" s="3" t="str">
        <f>"00933869"</f>
        <v>00933869</v>
      </c>
    </row>
    <row r="19198" spans="1:2" x14ac:dyDescent="0.25">
      <c r="A19198" s="2">
        <v>19193</v>
      </c>
      <c r="B19198" s="3" t="str">
        <f>"00933899"</f>
        <v>00933899</v>
      </c>
    </row>
    <row r="19199" spans="1:2" x14ac:dyDescent="0.25">
      <c r="A19199" s="2">
        <v>19194</v>
      </c>
      <c r="B19199" s="3" t="str">
        <f>"00933971"</f>
        <v>00933971</v>
      </c>
    </row>
    <row r="19200" spans="1:2" x14ac:dyDescent="0.25">
      <c r="A19200" s="2">
        <v>19195</v>
      </c>
      <c r="B19200" s="3" t="str">
        <f>"00933976"</f>
        <v>00933976</v>
      </c>
    </row>
    <row r="19201" spans="1:2" x14ac:dyDescent="0.25">
      <c r="A19201" s="2">
        <v>19196</v>
      </c>
      <c r="B19201" s="3" t="str">
        <f>"00933984"</f>
        <v>00933984</v>
      </c>
    </row>
    <row r="19202" spans="1:2" x14ac:dyDescent="0.25">
      <c r="A19202" s="2">
        <v>19197</v>
      </c>
      <c r="B19202" s="3" t="str">
        <f>"00934008"</f>
        <v>00934008</v>
      </c>
    </row>
    <row r="19203" spans="1:2" x14ac:dyDescent="0.25">
      <c r="A19203" s="2">
        <v>19198</v>
      </c>
      <c r="B19203" s="3" t="str">
        <f>"00934045"</f>
        <v>00934045</v>
      </c>
    </row>
    <row r="19204" spans="1:2" x14ac:dyDescent="0.25">
      <c r="A19204" s="2">
        <v>19199</v>
      </c>
      <c r="B19204" s="3" t="str">
        <f>"00934050"</f>
        <v>00934050</v>
      </c>
    </row>
    <row r="19205" spans="1:2" x14ac:dyDescent="0.25">
      <c r="A19205" s="2">
        <v>19200</v>
      </c>
      <c r="B19205" s="3" t="str">
        <f>"00934066"</f>
        <v>00934066</v>
      </c>
    </row>
    <row r="19206" spans="1:2" x14ac:dyDescent="0.25">
      <c r="A19206" s="2">
        <v>19201</v>
      </c>
      <c r="B19206" s="3" t="str">
        <f>"00934089"</f>
        <v>00934089</v>
      </c>
    </row>
    <row r="19207" spans="1:2" x14ac:dyDescent="0.25">
      <c r="A19207" s="2">
        <v>19202</v>
      </c>
      <c r="B19207" s="3" t="str">
        <f>"00934130"</f>
        <v>00934130</v>
      </c>
    </row>
    <row r="19208" spans="1:2" x14ac:dyDescent="0.25">
      <c r="A19208" s="2">
        <v>19203</v>
      </c>
      <c r="B19208" s="3" t="str">
        <f>"00934199"</f>
        <v>00934199</v>
      </c>
    </row>
    <row r="19209" spans="1:2" x14ac:dyDescent="0.25">
      <c r="A19209" s="2">
        <v>19204</v>
      </c>
      <c r="B19209" s="3" t="str">
        <f>"00934208"</f>
        <v>00934208</v>
      </c>
    </row>
    <row r="19210" spans="1:2" x14ac:dyDescent="0.25">
      <c r="A19210" s="2">
        <v>19205</v>
      </c>
      <c r="B19210" s="3" t="str">
        <f>"00934240"</f>
        <v>00934240</v>
      </c>
    </row>
    <row r="19211" spans="1:2" x14ac:dyDescent="0.25">
      <c r="A19211" s="2">
        <v>19206</v>
      </c>
      <c r="B19211" s="3" t="str">
        <f>"00934247"</f>
        <v>00934247</v>
      </c>
    </row>
    <row r="19212" spans="1:2" x14ac:dyDescent="0.25">
      <c r="A19212" s="2">
        <v>19207</v>
      </c>
      <c r="B19212" s="3" t="str">
        <f>"00934253"</f>
        <v>00934253</v>
      </c>
    </row>
    <row r="19213" spans="1:2" x14ac:dyDescent="0.25">
      <c r="A19213" s="2">
        <v>19208</v>
      </c>
      <c r="B19213" s="3" t="str">
        <f>"00934263"</f>
        <v>00934263</v>
      </c>
    </row>
    <row r="19214" spans="1:2" x14ac:dyDescent="0.25">
      <c r="A19214" s="2">
        <v>19209</v>
      </c>
      <c r="B19214" s="3" t="str">
        <f>"00934288"</f>
        <v>00934288</v>
      </c>
    </row>
    <row r="19215" spans="1:2" x14ac:dyDescent="0.25">
      <c r="A19215" s="2">
        <v>19210</v>
      </c>
      <c r="B19215" s="3" t="str">
        <f>"00934300"</f>
        <v>00934300</v>
      </c>
    </row>
    <row r="19216" spans="1:2" x14ac:dyDescent="0.25">
      <c r="A19216" s="2">
        <v>19211</v>
      </c>
      <c r="B19216" s="3" t="str">
        <f>"00934342"</f>
        <v>00934342</v>
      </c>
    </row>
    <row r="19217" spans="1:2" x14ac:dyDescent="0.25">
      <c r="A19217" s="2">
        <v>19212</v>
      </c>
      <c r="B19217" s="3" t="str">
        <f>"00934354"</f>
        <v>00934354</v>
      </c>
    </row>
    <row r="19218" spans="1:2" x14ac:dyDescent="0.25">
      <c r="A19218" s="2">
        <v>19213</v>
      </c>
      <c r="B19218" s="3" t="str">
        <f>"00934362"</f>
        <v>00934362</v>
      </c>
    </row>
    <row r="19219" spans="1:2" x14ac:dyDescent="0.25">
      <c r="A19219" s="2">
        <v>19214</v>
      </c>
      <c r="B19219" s="3" t="str">
        <f>"00934386"</f>
        <v>00934386</v>
      </c>
    </row>
    <row r="19220" spans="1:2" x14ac:dyDescent="0.25">
      <c r="A19220" s="2">
        <v>19215</v>
      </c>
      <c r="B19220" s="3" t="str">
        <f>"00934390"</f>
        <v>00934390</v>
      </c>
    </row>
    <row r="19221" spans="1:2" x14ac:dyDescent="0.25">
      <c r="A19221" s="2">
        <v>19216</v>
      </c>
      <c r="B19221" s="3" t="str">
        <f>"00934439"</f>
        <v>00934439</v>
      </c>
    </row>
    <row r="19222" spans="1:2" x14ac:dyDescent="0.25">
      <c r="A19222" s="2">
        <v>19217</v>
      </c>
      <c r="B19222" s="3" t="str">
        <f>"00934508"</f>
        <v>00934508</v>
      </c>
    </row>
    <row r="19223" spans="1:2" x14ac:dyDescent="0.25">
      <c r="A19223" s="2">
        <v>19218</v>
      </c>
      <c r="B19223" s="3" t="str">
        <f>"00934509"</f>
        <v>00934509</v>
      </c>
    </row>
    <row r="19224" spans="1:2" x14ac:dyDescent="0.25">
      <c r="A19224" s="2">
        <v>19219</v>
      </c>
      <c r="B19224" s="3" t="str">
        <f>"00934543"</f>
        <v>00934543</v>
      </c>
    </row>
    <row r="19225" spans="1:2" x14ac:dyDescent="0.25">
      <c r="A19225" s="2">
        <v>19220</v>
      </c>
      <c r="B19225" s="3" t="str">
        <f>"00934556"</f>
        <v>00934556</v>
      </c>
    </row>
    <row r="19226" spans="1:2" x14ac:dyDescent="0.25">
      <c r="A19226" s="2">
        <v>19221</v>
      </c>
      <c r="B19226" s="3" t="str">
        <f>"00934596"</f>
        <v>00934596</v>
      </c>
    </row>
    <row r="19227" spans="1:2" x14ac:dyDescent="0.25">
      <c r="A19227" s="2">
        <v>19222</v>
      </c>
      <c r="B19227" s="3" t="str">
        <f>"00934616"</f>
        <v>00934616</v>
      </c>
    </row>
    <row r="19228" spans="1:2" x14ac:dyDescent="0.25">
      <c r="A19228" s="2">
        <v>19223</v>
      </c>
      <c r="B19228" s="3" t="str">
        <f>"00934657"</f>
        <v>00934657</v>
      </c>
    </row>
    <row r="19229" spans="1:2" x14ac:dyDescent="0.25">
      <c r="A19229" s="2">
        <v>19224</v>
      </c>
      <c r="B19229" s="3" t="str">
        <f>"00934703"</f>
        <v>00934703</v>
      </c>
    </row>
    <row r="19230" spans="1:2" x14ac:dyDescent="0.25">
      <c r="A19230" s="2">
        <v>19225</v>
      </c>
      <c r="B19230" s="3" t="str">
        <f>"00934729"</f>
        <v>00934729</v>
      </c>
    </row>
    <row r="19231" spans="1:2" x14ac:dyDescent="0.25">
      <c r="A19231" s="2">
        <v>19226</v>
      </c>
      <c r="B19231" s="3" t="str">
        <f>"00934768"</f>
        <v>00934768</v>
      </c>
    </row>
    <row r="19232" spans="1:2" x14ac:dyDescent="0.25">
      <c r="A19232" s="2">
        <v>19227</v>
      </c>
      <c r="B19232" s="3" t="str">
        <f>"00934831"</f>
        <v>00934831</v>
      </c>
    </row>
    <row r="19233" spans="1:2" x14ac:dyDescent="0.25">
      <c r="A19233" s="2">
        <v>19228</v>
      </c>
      <c r="B19233" s="3" t="str">
        <f>"00934833"</f>
        <v>00934833</v>
      </c>
    </row>
    <row r="19234" spans="1:2" x14ac:dyDescent="0.25">
      <c r="A19234" s="2">
        <v>19229</v>
      </c>
      <c r="B19234" s="3" t="str">
        <f>"00934840"</f>
        <v>00934840</v>
      </c>
    </row>
    <row r="19235" spans="1:2" x14ac:dyDescent="0.25">
      <c r="A19235" s="2">
        <v>19230</v>
      </c>
      <c r="B19235" s="3" t="str">
        <f>"00934859"</f>
        <v>00934859</v>
      </c>
    </row>
    <row r="19236" spans="1:2" x14ac:dyDescent="0.25">
      <c r="A19236" s="2">
        <v>19231</v>
      </c>
      <c r="B19236" s="3" t="str">
        <f>"00934903"</f>
        <v>00934903</v>
      </c>
    </row>
    <row r="19237" spans="1:2" x14ac:dyDescent="0.25">
      <c r="A19237" s="2">
        <v>19232</v>
      </c>
      <c r="B19237" s="3" t="str">
        <f>"00934929"</f>
        <v>00934929</v>
      </c>
    </row>
    <row r="19238" spans="1:2" x14ac:dyDescent="0.25">
      <c r="A19238" s="2">
        <v>19233</v>
      </c>
      <c r="B19238" s="3" t="str">
        <f>"00934975"</f>
        <v>00934975</v>
      </c>
    </row>
    <row r="19239" spans="1:2" x14ac:dyDescent="0.25">
      <c r="A19239" s="2">
        <v>19234</v>
      </c>
      <c r="B19239" s="3" t="str">
        <f>"00934990"</f>
        <v>00934990</v>
      </c>
    </row>
    <row r="19240" spans="1:2" x14ac:dyDescent="0.25">
      <c r="A19240" s="2">
        <v>19235</v>
      </c>
      <c r="B19240" s="3" t="str">
        <f>"00935028"</f>
        <v>00935028</v>
      </c>
    </row>
    <row r="19241" spans="1:2" x14ac:dyDescent="0.25">
      <c r="A19241" s="2">
        <v>19236</v>
      </c>
      <c r="B19241" s="3" t="str">
        <f>"00935062"</f>
        <v>00935062</v>
      </c>
    </row>
    <row r="19242" spans="1:2" x14ac:dyDescent="0.25">
      <c r="A19242" s="2">
        <v>19237</v>
      </c>
      <c r="B19242" s="3" t="str">
        <f>"00935116"</f>
        <v>00935116</v>
      </c>
    </row>
    <row r="19243" spans="1:2" x14ac:dyDescent="0.25">
      <c r="A19243" s="2">
        <v>19238</v>
      </c>
      <c r="B19243" s="3" t="str">
        <f>"00935125"</f>
        <v>00935125</v>
      </c>
    </row>
    <row r="19244" spans="1:2" x14ac:dyDescent="0.25">
      <c r="A19244" s="2">
        <v>19239</v>
      </c>
      <c r="B19244" s="3" t="str">
        <f>"00935139"</f>
        <v>00935139</v>
      </c>
    </row>
    <row r="19245" spans="1:2" x14ac:dyDescent="0.25">
      <c r="A19245" s="2">
        <v>19240</v>
      </c>
      <c r="B19245" s="3" t="str">
        <f>"00935187"</f>
        <v>00935187</v>
      </c>
    </row>
    <row r="19246" spans="1:2" x14ac:dyDescent="0.25">
      <c r="A19246" s="2">
        <v>19241</v>
      </c>
      <c r="B19246" s="3" t="str">
        <f>"00935240"</f>
        <v>00935240</v>
      </c>
    </row>
    <row r="19247" spans="1:2" x14ac:dyDescent="0.25">
      <c r="A19247" s="2">
        <v>19242</v>
      </c>
      <c r="B19247" s="3" t="str">
        <f>"00935249"</f>
        <v>00935249</v>
      </c>
    </row>
    <row r="19248" spans="1:2" x14ac:dyDescent="0.25">
      <c r="A19248" s="2">
        <v>19243</v>
      </c>
      <c r="B19248" s="3" t="str">
        <f>"00935265"</f>
        <v>00935265</v>
      </c>
    </row>
    <row r="19249" spans="1:2" x14ac:dyDescent="0.25">
      <c r="A19249" s="2">
        <v>19244</v>
      </c>
      <c r="B19249" s="3" t="str">
        <f>"00935268"</f>
        <v>00935268</v>
      </c>
    </row>
    <row r="19250" spans="1:2" x14ac:dyDescent="0.25">
      <c r="A19250" s="2">
        <v>19245</v>
      </c>
      <c r="B19250" s="3" t="str">
        <f>"00935274"</f>
        <v>00935274</v>
      </c>
    </row>
    <row r="19251" spans="1:2" x14ac:dyDescent="0.25">
      <c r="A19251" s="2">
        <v>19246</v>
      </c>
      <c r="B19251" s="3" t="str">
        <f>"00935309"</f>
        <v>00935309</v>
      </c>
    </row>
    <row r="19252" spans="1:2" x14ac:dyDescent="0.25">
      <c r="A19252" s="2">
        <v>19247</v>
      </c>
      <c r="B19252" s="3" t="str">
        <f>"00935327"</f>
        <v>00935327</v>
      </c>
    </row>
    <row r="19253" spans="1:2" x14ac:dyDescent="0.25">
      <c r="A19253" s="2">
        <v>19248</v>
      </c>
      <c r="B19253" s="3" t="str">
        <f>"00935332"</f>
        <v>00935332</v>
      </c>
    </row>
    <row r="19254" spans="1:2" x14ac:dyDescent="0.25">
      <c r="A19254" s="2">
        <v>19249</v>
      </c>
      <c r="B19254" s="3" t="str">
        <f>"00935355"</f>
        <v>00935355</v>
      </c>
    </row>
    <row r="19255" spans="1:2" x14ac:dyDescent="0.25">
      <c r="A19255" s="2">
        <v>19250</v>
      </c>
      <c r="B19255" s="3" t="str">
        <f>"00935556"</f>
        <v>00935556</v>
      </c>
    </row>
    <row r="19256" spans="1:2" x14ac:dyDescent="0.25">
      <c r="A19256" s="2">
        <v>19251</v>
      </c>
      <c r="B19256" s="3" t="str">
        <f>"00935663"</f>
        <v>00935663</v>
      </c>
    </row>
    <row r="19257" spans="1:2" x14ac:dyDescent="0.25">
      <c r="A19257" s="2">
        <v>19252</v>
      </c>
      <c r="B19257" s="3" t="str">
        <f>"00935747"</f>
        <v>00935747</v>
      </c>
    </row>
    <row r="19258" spans="1:2" x14ac:dyDescent="0.25">
      <c r="A19258" s="2">
        <v>19253</v>
      </c>
      <c r="B19258" s="3" t="str">
        <f>"00935781"</f>
        <v>00935781</v>
      </c>
    </row>
    <row r="19259" spans="1:2" x14ac:dyDescent="0.25">
      <c r="A19259" s="2">
        <v>19254</v>
      </c>
      <c r="B19259" s="3" t="str">
        <f>"00935796"</f>
        <v>00935796</v>
      </c>
    </row>
    <row r="19260" spans="1:2" x14ac:dyDescent="0.25">
      <c r="A19260" s="2">
        <v>19255</v>
      </c>
      <c r="B19260" s="3" t="str">
        <f>"00935802"</f>
        <v>00935802</v>
      </c>
    </row>
    <row r="19261" spans="1:2" x14ac:dyDescent="0.25">
      <c r="A19261" s="2">
        <v>19256</v>
      </c>
      <c r="B19261" s="3" t="str">
        <f>"00935819"</f>
        <v>00935819</v>
      </c>
    </row>
    <row r="19262" spans="1:2" x14ac:dyDescent="0.25">
      <c r="A19262" s="2">
        <v>19257</v>
      </c>
      <c r="B19262" s="3" t="str">
        <f>"00935864"</f>
        <v>00935864</v>
      </c>
    </row>
    <row r="19263" spans="1:2" x14ac:dyDescent="0.25">
      <c r="A19263" s="2">
        <v>19258</v>
      </c>
      <c r="B19263" s="3" t="str">
        <f>"00935935"</f>
        <v>00935935</v>
      </c>
    </row>
    <row r="19264" spans="1:2" x14ac:dyDescent="0.25">
      <c r="A19264" s="2">
        <v>19259</v>
      </c>
      <c r="B19264" s="3" t="str">
        <f>"00935984"</f>
        <v>00935984</v>
      </c>
    </row>
    <row r="19265" spans="1:2" x14ac:dyDescent="0.25">
      <c r="A19265" s="2">
        <v>19260</v>
      </c>
      <c r="B19265" s="3" t="str">
        <f>"00936002"</f>
        <v>00936002</v>
      </c>
    </row>
    <row r="19266" spans="1:2" x14ac:dyDescent="0.25">
      <c r="A19266" s="2">
        <v>19261</v>
      </c>
      <c r="B19266" s="3" t="str">
        <f>"00936047"</f>
        <v>00936047</v>
      </c>
    </row>
    <row r="19267" spans="1:2" x14ac:dyDescent="0.25">
      <c r="A19267" s="2">
        <v>19262</v>
      </c>
      <c r="B19267" s="3" t="str">
        <f>"00936127"</f>
        <v>00936127</v>
      </c>
    </row>
    <row r="19268" spans="1:2" x14ac:dyDescent="0.25">
      <c r="A19268" s="2">
        <v>19263</v>
      </c>
      <c r="B19268" s="3" t="str">
        <f>"00936142"</f>
        <v>00936142</v>
      </c>
    </row>
    <row r="19269" spans="1:2" x14ac:dyDescent="0.25">
      <c r="A19269" s="2">
        <v>19264</v>
      </c>
      <c r="B19269" s="3" t="str">
        <f>"00936392"</f>
        <v>00936392</v>
      </c>
    </row>
    <row r="19270" spans="1:2" x14ac:dyDescent="0.25">
      <c r="A19270" s="2">
        <v>19265</v>
      </c>
      <c r="B19270" s="3" t="str">
        <f>"00936401"</f>
        <v>00936401</v>
      </c>
    </row>
    <row r="19271" spans="1:2" x14ac:dyDescent="0.25">
      <c r="A19271" s="2">
        <v>19266</v>
      </c>
      <c r="B19271" s="3" t="str">
        <f>"00936428"</f>
        <v>00936428</v>
      </c>
    </row>
    <row r="19272" spans="1:2" x14ac:dyDescent="0.25">
      <c r="A19272" s="2">
        <v>19267</v>
      </c>
      <c r="B19272" s="3" t="str">
        <f>"00936437"</f>
        <v>00936437</v>
      </c>
    </row>
    <row r="19273" spans="1:2" x14ac:dyDescent="0.25">
      <c r="A19273" s="2">
        <v>19268</v>
      </c>
      <c r="B19273" s="3" t="str">
        <f>"00936463"</f>
        <v>00936463</v>
      </c>
    </row>
    <row r="19274" spans="1:2" x14ac:dyDescent="0.25">
      <c r="A19274" s="2">
        <v>19269</v>
      </c>
      <c r="B19274" s="3" t="str">
        <f>"00936515"</f>
        <v>00936515</v>
      </c>
    </row>
    <row r="19275" spans="1:2" x14ac:dyDescent="0.25">
      <c r="A19275" s="2">
        <v>19270</v>
      </c>
      <c r="B19275" s="3" t="str">
        <f>"00936529"</f>
        <v>00936529</v>
      </c>
    </row>
    <row r="19276" spans="1:2" x14ac:dyDescent="0.25">
      <c r="A19276" s="2">
        <v>19271</v>
      </c>
      <c r="B19276" s="3" t="str">
        <f>"00936591"</f>
        <v>00936591</v>
      </c>
    </row>
    <row r="19277" spans="1:2" x14ac:dyDescent="0.25">
      <c r="A19277" s="2">
        <v>19272</v>
      </c>
      <c r="B19277" s="3" t="str">
        <f>"00936635"</f>
        <v>00936635</v>
      </c>
    </row>
    <row r="19278" spans="1:2" x14ac:dyDescent="0.25">
      <c r="A19278" s="2">
        <v>19273</v>
      </c>
      <c r="B19278" s="3" t="str">
        <f>"00936789"</f>
        <v>00936789</v>
      </c>
    </row>
    <row r="19279" spans="1:2" x14ac:dyDescent="0.25">
      <c r="A19279" s="2">
        <v>19274</v>
      </c>
      <c r="B19279" s="3" t="str">
        <f>"00936937"</f>
        <v>00936937</v>
      </c>
    </row>
    <row r="19280" spans="1:2" x14ac:dyDescent="0.25">
      <c r="A19280" s="2">
        <v>19275</v>
      </c>
      <c r="B19280" s="3" t="str">
        <f>"00937036"</f>
        <v>00937036</v>
      </c>
    </row>
    <row r="19281" spans="1:2" x14ac:dyDescent="0.25">
      <c r="A19281" s="2">
        <v>19276</v>
      </c>
      <c r="B19281" s="3" t="str">
        <f>"00937088"</f>
        <v>00937088</v>
      </c>
    </row>
    <row r="19282" spans="1:2" x14ac:dyDescent="0.25">
      <c r="A19282" s="2">
        <v>19277</v>
      </c>
      <c r="B19282" s="3" t="str">
        <f>"00937154"</f>
        <v>00937154</v>
      </c>
    </row>
    <row r="19283" spans="1:2" x14ac:dyDescent="0.25">
      <c r="A19283" s="2">
        <v>19278</v>
      </c>
      <c r="B19283" s="3" t="str">
        <f>"00937221"</f>
        <v>00937221</v>
      </c>
    </row>
    <row r="19284" spans="1:2" x14ac:dyDescent="0.25">
      <c r="A19284" s="2">
        <v>19279</v>
      </c>
      <c r="B19284" s="3" t="str">
        <f>"00937264"</f>
        <v>00937264</v>
      </c>
    </row>
    <row r="19285" spans="1:2" x14ac:dyDescent="0.25">
      <c r="A19285" s="2">
        <v>19280</v>
      </c>
      <c r="B19285" s="3" t="str">
        <f>"00937278"</f>
        <v>00937278</v>
      </c>
    </row>
    <row r="19286" spans="1:2" x14ac:dyDescent="0.25">
      <c r="A19286" s="2">
        <v>19281</v>
      </c>
      <c r="B19286" s="3" t="str">
        <f>"00937446"</f>
        <v>00937446</v>
      </c>
    </row>
    <row r="19287" spans="1:2" x14ac:dyDescent="0.25">
      <c r="A19287" s="2">
        <v>19282</v>
      </c>
      <c r="B19287" s="3" t="str">
        <f>"00937460"</f>
        <v>00937460</v>
      </c>
    </row>
    <row r="19288" spans="1:2" x14ac:dyDescent="0.25">
      <c r="A19288" s="2">
        <v>19283</v>
      </c>
      <c r="B19288" s="3" t="str">
        <f>"00937686"</f>
        <v>00937686</v>
      </c>
    </row>
    <row r="19289" spans="1:2" x14ac:dyDescent="0.25">
      <c r="A19289" s="2">
        <v>19284</v>
      </c>
      <c r="B19289" s="3" t="str">
        <f>"00937803"</f>
        <v>00937803</v>
      </c>
    </row>
    <row r="19290" spans="1:2" x14ac:dyDescent="0.25">
      <c r="A19290" s="2">
        <v>19285</v>
      </c>
      <c r="B19290" s="3" t="str">
        <f>"00937830"</f>
        <v>00937830</v>
      </c>
    </row>
    <row r="19291" spans="1:2" x14ac:dyDescent="0.25">
      <c r="A19291" s="2">
        <v>19286</v>
      </c>
      <c r="B19291" s="3" t="str">
        <f>"00937974"</f>
        <v>00937974</v>
      </c>
    </row>
    <row r="19292" spans="1:2" x14ac:dyDescent="0.25">
      <c r="A19292" s="2">
        <v>19287</v>
      </c>
      <c r="B19292" s="3" t="str">
        <f>"00938184"</f>
        <v>00938184</v>
      </c>
    </row>
    <row r="19293" spans="1:2" x14ac:dyDescent="0.25">
      <c r="A19293" s="2">
        <v>19288</v>
      </c>
      <c r="B19293" s="3" t="str">
        <f>"00938316"</f>
        <v>00938316</v>
      </c>
    </row>
    <row r="19294" spans="1:2" x14ac:dyDescent="0.25">
      <c r="A19294" s="2">
        <v>19289</v>
      </c>
      <c r="B19294" s="3" t="str">
        <f>"00938327"</f>
        <v>00938327</v>
      </c>
    </row>
    <row r="19295" spans="1:2" x14ac:dyDescent="0.25">
      <c r="A19295" s="2">
        <v>19290</v>
      </c>
      <c r="B19295" s="3" t="str">
        <f>"00938537"</f>
        <v>00938537</v>
      </c>
    </row>
    <row r="19296" spans="1:2" x14ac:dyDescent="0.25">
      <c r="A19296" s="2">
        <v>19291</v>
      </c>
      <c r="B19296" s="3" t="str">
        <f>"00938667"</f>
        <v>00938667</v>
      </c>
    </row>
    <row r="19297" spans="1:2" x14ac:dyDescent="0.25">
      <c r="A19297" s="2">
        <v>19292</v>
      </c>
      <c r="B19297" s="3" t="str">
        <f>"00938776"</f>
        <v>00938776</v>
      </c>
    </row>
    <row r="19298" spans="1:2" x14ac:dyDescent="0.25">
      <c r="A19298" s="2">
        <v>19293</v>
      </c>
      <c r="B19298" s="3" t="str">
        <f>"00939009"</f>
        <v>00939009</v>
      </c>
    </row>
    <row r="19299" spans="1:2" x14ac:dyDescent="0.25">
      <c r="A19299" s="2">
        <v>19294</v>
      </c>
      <c r="B19299" s="3" t="str">
        <f>"00939210"</f>
        <v>00939210</v>
      </c>
    </row>
    <row r="19300" spans="1:2" x14ac:dyDescent="0.25">
      <c r="A19300" s="2">
        <v>19295</v>
      </c>
      <c r="B19300" s="3" t="str">
        <f>"00939281"</f>
        <v>00939281</v>
      </c>
    </row>
    <row r="19301" spans="1:2" x14ac:dyDescent="0.25">
      <c r="A19301" s="2">
        <v>19296</v>
      </c>
      <c r="B19301" s="3" t="str">
        <f>"00939400"</f>
        <v>00939400</v>
      </c>
    </row>
    <row r="19302" spans="1:2" x14ac:dyDescent="0.25">
      <c r="A19302" s="2">
        <v>19297</v>
      </c>
      <c r="B19302" s="3" t="str">
        <f>"00939565"</f>
        <v>00939565</v>
      </c>
    </row>
    <row r="19303" spans="1:2" x14ac:dyDescent="0.25">
      <c r="A19303" s="2">
        <v>19298</v>
      </c>
      <c r="B19303" s="3" t="str">
        <f>"00939723"</f>
        <v>00939723</v>
      </c>
    </row>
    <row r="19304" spans="1:2" x14ac:dyDescent="0.25">
      <c r="A19304" s="2">
        <v>19299</v>
      </c>
      <c r="B19304" s="3" t="str">
        <f>"00939797"</f>
        <v>00939797</v>
      </c>
    </row>
    <row r="19305" spans="1:2" x14ac:dyDescent="0.25">
      <c r="A19305" s="2">
        <v>19300</v>
      </c>
      <c r="B19305" s="3" t="str">
        <f>"00939844"</f>
        <v>00939844</v>
      </c>
    </row>
    <row r="19306" spans="1:2" x14ac:dyDescent="0.25">
      <c r="A19306" s="2">
        <v>19301</v>
      </c>
      <c r="B19306" s="3" t="str">
        <f>"00939901"</f>
        <v>00939901</v>
      </c>
    </row>
    <row r="19307" spans="1:2" x14ac:dyDescent="0.25">
      <c r="A19307" s="2">
        <v>19302</v>
      </c>
      <c r="B19307" s="3" t="str">
        <f>"00939938"</f>
        <v>00939938</v>
      </c>
    </row>
    <row r="19308" spans="1:2" x14ac:dyDescent="0.25">
      <c r="A19308" s="2">
        <v>19303</v>
      </c>
      <c r="B19308" s="3" t="str">
        <f>"00939986"</f>
        <v>00939986</v>
      </c>
    </row>
    <row r="19309" spans="1:2" x14ac:dyDescent="0.25">
      <c r="A19309" s="2">
        <v>19304</v>
      </c>
      <c r="B19309" s="3" t="str">
        <f>"00940022"</f>
        <v>00940022</v>
      </c>
    </row>
    <row r="19310" spans="1:2" x14ac:dyDescent="0.25">
      <c r="A19310" s="2">
        <v>19305</v>
      </c>
      <c r="B19310" s="3" t="str">
        <f>"00940222"</f>
        <v>00940222</v>
      </c>
    </row>
    <row r="19311" spans="1:2" x14ac:dyDescent="0.25">
      <c r="A19311" s="2">
        <v>19306</v>
      </c>
      <c r="B19311" s="3" t="str">
        <f>"00940413"</f>
        <v>00940413</v>
      </c>
    </row>
    <row r="19312" spans="1:2" x14ac:dyDescent="0.25">
      <c r="A19312" s="2">
        <v>19307</v>
      </c>
      <c r="B19312" s="3" t="str">
        <f>"00940454"</f>
        <v>00940454</v>
      </c>
    </row>
    <row r="19313" spans="1:2" x14ac:dyDescent="0.25">
      <c r="A19313" s="2">
        <v>19308</v>
      </c>
      <c r="B19313" s="3" t="str">
        <f>"00940560"</f>
        <v>00940560</v>
      </c>
    </row>
    <row r="19314" spans="1:2" x14ac:dyDescent="0.25">
      <c r="A19314" s="2">
        <v>19309</v>
      </c>
      <c r="B19314" s="3" t="str">
        <f>"00940605"</f>
        <v>00940605</v>
      </c>
    </row>
    <row r="19315" spans="1:2" x14ac:dyDescent="0.25">
      <c r="A19315" s="2">
        <v>19310</v>
      </c>
      <c r="B19315" s="3" t="str">
        <f>"00940671"</f>
        <v>00940671</v>
      </c>
    </row>
    <row r="19316" spans="1:2" x14ac:dyDescent="0.25">
      <c r="A19316" s="2">
        <v>19311</v>
      </c>
      <c r="B19316" s="3" t="str">
        <f>"00940976"</f>
        <v>00940976</v>
      </c>
    </row>
    <row r="19317" spans="1:2" x14ac:dyDescent="0.25">
      <c r="A19317" s="2">
        <v>19312</v>
      </c>
      <c r="B19317" s="3" t="str">
        <f>"00941189"</f>
        <v>00941189</v>
      </c>
    </row>
    <row r="19318" spans="1:2" x14ac:dyDescent="0.25">
      <c r="A19318" s="2">
        <v>19313</v>
      </c>
      <c r="B19318" s="3" t="str">
        <f>"00941207"</f>
        <v>00941207</v>
      </c>
    </row>
    <row r="19319" spans="1:2" x14ac:dyDescent="0.25">
      <c r="A19319" s="2">
        <v>19314</v>
      </c>
      <c r="B19319" s="3" t="str">
        <f>"00941233"</f>
        <v>00941233</v>
      </c>
    </row>
    <row r="19320" spans="1:2" x14ac:dyDescent="0.25">
      <c r="A19320" s="2">
        <v>19315</v>
      </c>
      <c r="B19320" s="3" t="str">
        <f>"00941265"</f>
        <v>00941265</v>
      </c>
    </row>
    <row r="19321" spans="1:2" x14ac:dyDescent="0.25">
      <c r="A19321" s="2">
        <v>19316</v>
      </c>
      <c r="B19321" s="3" t="str">
        <f>"00941602"</f>
        <v>00941602</v>
      </c>
    </row>
    <row r="19322" spans="1:2" x14ac:dyDescent="0.25">
      <c r="A19322" s="2">
        <v>19317</v>
      </c>
      <c r="B19322" s="3" t="str">
        <f>"00941629"</f>
        <v>00941629</v>
      </c>
    </row>
    <row r="19323" spans="1:2" x14ac:dyDescent="0.25">
      <c r="A19323" s="2">
        <v>19318</v>
      </c>
      <c r="B19323" s="3" t="str">
        <f>"00941909"</f>
        <v>00941909</v>
      </c>
    </row>
    <row r="19324" spans="1:2" x14ac:dyDescent="0.25">
      <c r="A19324" s="2">
        <v>19319</v>
      </c>
      <c r="B19324" s="3" t="str">
        <f>"00942229"</f>
        <v>00942229</v>
      </c>
    </row>
    <row r="19325" spans="1:2" x14ac:dyDescent="0.25">
      <c r="A19325" s="2">
        <v>19320</v>
      </c>
      <c r="B19325" s="3" t="str">
        <f>"00942310"</f>
        <v>00942310</v>
      </c>
    </row>
    <row r="19326" spans="1:2" x14ac:dyDescent="0.25">
      <c r="A19326" s="2">
        <v>19321</v>
      </c>
      <c r="B19326" s="3" t="str">
        <f>"00942547"</f>
        <v>00942547</v>
      </c>
    </row>
    <row r="19327" spans="1:2" x14ac:dyDescent="0.25">
      <c r="A19327" s="2">
        <v>19322</v>
      </c>
      <c r="B19327" s="3" t="str">
        <f>"00942914"</f>
        <v>00942914</v>
      </c>
    </row>
    <row r="19328" spans="1:2" x14ac:dyDescent="0.25">
      <c r="A19328" s="2">
        <v>19323</v>
      </c>
      <c r="B19328" s="3" t="str">
        <f>"00943084"</f>
        <v>00943084</v>
      </c>
    </row>
    <row r="19329" spans="1:2" x14ac:dyDescent="0.25">
      <c r="A19329" s="2">
        <v>19324</v>
      </c>
      <c r="B19329" s="3" t="str">
        <f>"00943589"</f>
        <v>00943589</v>
      </c>
    </row>
    <row r="19330" spans="1:2" x14ac:dyDescent="0.25">
      <c r="A19330" s="2">
        <v>19325</v>
      </c>
      <c r="B19330" s="3" t="str">
        <f>"00943771"</f>
        <v>00943771</v>
      </c>
    </row>
    <row r="19331" spans="1:2" x14ac:dyDescent="0.25">
      <c r="A19331" s="2">
        <v>19326</v>
      </c>
      <c r="B19331" s="3" t="str">
        <f>"00943890"</f>
        <v>00943890</v>
      </c>
    </row>
    <row r="19332" spans="1:2" x14ac:dyDescent="0.25">
      <c r="A19332" s="2">
        <v>19327</v>
      </c>
      <c r="B19332" s="3" t="str">
        <f>"00944148"</f>
        <v>00944148</v>
      </c>
    </row>
    <row r="19333" spans="1:2" x14ac:dyDescent="0.25">
      <c r="A19333" s="2">
        <v>19328</v>
      </c>
      <c r="B19333" s="3" t="str">
        <f>"00944332"</f>
        <v>00944332</v>
      </c>
    </row>
    <row r="19334" spans="1:2" x14ac:dyDescent="0.25">
      <c r="A19334" s="2">
        <v>19329</v>
      </c>
      <c r="B19334" s="3" t="str">
        <f>"00944553"</f>
        <v>00944553</v>
      </c>
    </row>
    <row r="19335" spans="1:2" x14ac:dyDescent="0.25">
      <c r="A19335" s="2">
        <v>19330</v>
      </c>
      <c r="B19335" s="3" t="str">
        <f>"00944568"</f>
        <v>00944568</v>
      </c>
    </row>
    <row r="19336" spans="1:2" x14ac:dyDescent="0.25">
      <c r="A19336" s="2">
        <v>19331</v>
      </c>
      <c r="B19336" s="3" t="str">
        <f>"00944606"</f>
        <v>00944606</v>
      </c>
    </row>
    <row r="19337" spans="1:2" x14ac:dyDescent="0.25">
      <c r="A19337" s="2">
        <v>19332</v>
      </c>
      <c r="B19337" s="3" t="str">
        <f>"00944868"</f>
        <v>00944868</v>
      </c>
    </row>
    <row r="19338" spans="1:2" x14ac:dyDescent="0.25">
      <c r="A19338" s="2">
        <v>19333</v>
      </c>
      <c r="B19338" s="3" t="str">
        <f>"00944976"</f>
        <v>00944976</v>
      </c>
    </row>
    <row r="19339" spans="1:2" x14ac:dyDescent="0.25">
      <c r="A19339" s="2">
        <v>19334</v>
      </c>
      <c r="B19339" s="3" t="str">
        <f>"00945046"</f>
        <v>00945046</v>
      </c>
    </row>
    <row r="19340" spans="1:2" x14ac:dyDescent="0.25">
      <c r="A19340" s="2">
        <v>19335</v>
      </c>
      <c r="B19340" s="3" t="str">
        <f>"00945415"</f>
        <v>00945415</v>
      </c>
    </row>
    <row r="19341" spans="1:2" x14ac:dyDescent="0.25">
      <c r="A19341" s="2">
        <v>19336</v>
      </c>
      <c r="B19341" s="3" t="str">
        <f>"00945605"</f>
        <v>00945605</v>
      </c>
    </row>
    <row r="19342" spans="1:2" x14ac:dyDescent="0.25">
      <c r="A19342" s="2">
        <v>19337</v>
      </c>
      <c r="B19342" s="3" t="str">
        <f>"00946201"</f>
        <v>00946201</v>
      </c>
    </row>
    <row r="19343" spans="1:2" x14ac:dyDescent="0.25">
      <c r="A19343" s="2">
        <v>19338</v>
      </c>
      <c r="B19343" s="3" t="str">
        <f>"00946276"</f>
        <v>00946276</v>
      </c>
    </row>
    <row r="19344" spans="1:2" x14ac:dyDescent="0.25">
      <c r="A19344" s="2">
        <v>19339</v>
      </c>
      <c r="B19344" s="3" t="str">
        <f>"00946299"</f>
        <v>00946299</v>
      </c>
    </row>
    <row r="19345" spans="1:2" x14ac:dyDescent="0.25">
      <c r="A19345" s="2">
        <v>19340</v>
      </c>
      <c r="B19345" s="3" t="str">
        <f>"00946315"</f>
        <v>00946315</v>
      </c>
    </row>
    <row r="19346" spans="1:2" x14ac:dyDescent="0.25">
      <c r="A19346" s="2">
        <v>19341</v>
      </c>
      <c r="B19346" s="3" t="str">
        <f>"00946406"</f>
        <v>00946406</v>
      </c>
    </row>
    <row r="19347" spans="1:2" x14ac:dyDescent="0.25">
      <c r="A19347" s="2">
        <v>19342</v>
      </c>
      <c r="B19347" s="3" t="str">
        <f>"00946458"</f>
        <v>00946458</v>
      </c>
    </row>
    <row r="19348" spans="1:2" x14ac:dyDescent="0.25">
      <c r="A19348" s="2">
        <v>19343</v>
      </c>
      <c r="B19348" s="3" t="str">
        <f>"00946602"</f>
        <v>00946602</v>
      </c>
    </row>
    <row r="19349" spans="1:2" x14ac:dyDescent="0.25">
      <c r="A19349" s="2">
        <v>19344</v>
      </c>
      <c r="B19349" s="3" t="str">
        <f>"00946654"</f>
        <v>00946654</v>
      </c>
    </row>
    <row r="19350" spans="1:2" x14ac:dyDescent="0.25">
      <c r="A19350" s="2">
        <v>19345</v>
      </c>
      <c r="B19350" s="3" t="str">
        <f>"00946923"</f>
        <v>00946923</v>
      </c>
    </row>
    <row r="19351" spans="1:2" x14ac:dyDescent="0.25">
      <c r="A19351" s="2">
        <v>19346</v>
      </c>
      <c r="B19351" s="3" t="str">
        <f>"00946953"</f>
        <v>00946953</v>
      </c>
    </row>
    <row r="19352" spans="1:2" x14ac:dyDescent="0.25">
      <c r="A19352" s="2">
        <v>19347</v>
      </c>
      <c r="B19352" s="3" t="str">
        <f>"00947086"</f>
        <v>00947086</v>
      </c>
    </row>
    <row r="19353" spans="1:2" x14ac:dyDescent="0.25">
      <c r="A19353" s="2">
        <v>19348</v>
      </c>
      <c r="B19353" s="3" t="str">
        <f>"00947198"</f>
        <v>00947198</v>
      </c>
    </row>
    <row r="19354" spans="1:2" x14ac:dyDescent="0.25">
      <c r="A19354" s="2">
        <v>19349</v>
      </c>
      <c r="B19354" s="3" t="str">
        <f>"00947407"</f>
        <v>00947407</v>
      </c>
    </row>
    <row r="19355" spans="1:2" x14ac:dyDescent="0.25">
      <c r="A19355" s="2">
        <v>19350</v>
      </c>
      <c r="B19355" s="3" t="str">
        <f>"00947548"</f>
        <v>00947548</v>
      </c>
    </row>
    <row r="19356" spans="1:2" x14ac:dyDescent="0.25">
      <c r="A19356" s="2">
        <v>19351</v>
      </c>
      <c r="B19356" s="3" t="str">
        <f>"00947763"</f>
        <v>00947763</v>
      </c>
    </row>
    <row r="19357" spans="1:2" x14ac:dyDescent="0.25">
      <c r="A19357" s="2">
        <v>19352</v>
      </c>
      <c r="B19357" s="3" t="str">
        <f>"00947988"</f>
        <v>00947988</v>
      </c>
    </row>
    <row r="19358" spans="1:2" x14ac:dyDescent="0.25">
      <c r="A19358" s="2">
        <v>19353</v>
      </c>
      <c r="B19358" s="3" t="str">
        <f>"00948235"</f>
        <v>00948235</v>
      </c>
    </row>
    <row r="19359" spans="1:2" x14ac:dyDescent="0.25">
      <c r="A19359" s="2">
        <v>19354</v>
      </c>
      <c r="B19359" s="3" t="str">
        <f>"00948743"</f>
        <v>00948743</v>
      </c>
    </row>
    <row r="19360" spans="1:2" x14ac:dyDescent="0.25">
      <c r="A19360" s="2">
        <v>19355</v>
      </c>
      <c r="B19360" s="3" t="str">
        <f>"00948816"</f>
        <v>00948816</v>
      </c>
    </row>
    <row r="19361" spans="1:2" x14ac:dyDescent="0.25">
      <c r="A19361" s="2">
        <v>19356</v>
      </c>
      <c r="B19361" s="3" t="str">
        <f>"00948951"</f>
        <v>00948951</v>
      </c>
    </row>
    <row r="19362" spans="1:2" x14ac:dyDescent="0.25">
      <c r="A19362" s="2">
        <v>19357</v>
      </c>
      <c r="B19362" s="3" t="str">
        <f>"00948970"</f>
        <v>00948970</v>
      </c>
    </row>
    <row r="19363" spans="1:2" x14ac:dyDescent="0.25">
      <c r="A19363" s="2">
        <v>19358</v>
      </c>
      <c r="B19363" s="3" t="str">
        <f>"00949197"</f>
        <v>00949197</v>
      </c>
    </row>
    <row r="19364" spans="1:2" x14ac:dyDescent="0.25">
      <c r="A19364" s="2">
        <v>19359</v>
      </c>
      <c r="B19364" s="3" t="str">
        <f>"00949220"</f>
        <v>00949220</v>
      </c>
    </row>
    <row r="19365" spans="1:2" x14ac:dyDescent="0.25">
      <c r="A19365" s="2">
        <v>19360</v>
      </c>
      <c r="B19365" s="3" t="str">
        <f>"00949266"</f>
        <v>00949266</v>
      </c>
    </row>
    <row r="19366" spans="1:2" x14ac:dyDescent="0.25">
      <c r="A19366" s="2">
        <v>19361</v>
      </c>
      <c r="B19366" s="3" t="str">
        <f>"00949465"</f>
        <v>00949465</v>
      </c>
    </row>
    <row r="19367" spans="1:2" x14ac:dyDescent="0.25">
      <c r="A19367" s="2">
        <v>19362</v>
      </c>
      <c r="B19367" s="3" t="str">
        <f>"00949484"</f>
        <v>00949484</v>
      </c>
    </row>
    <row r="19368" spans="1:2" x14ac:dyDescent="0.25">
      <c r="A19368" s="2">
        <v>19363</v>
      </c>
      <c r="B19368" s="3" t="str">
        <f>"00949747"</f>
        <v>00949747</v>
      </c>
    </row>
    <row r="19369" spans="1:2" x14ac:dyDescent="0.25">
      <c r="A19369" s="2">
        <v>19364</v>
      </c>
      <c r="B19369" s="3" t="str">
        <f>"00949894"</f>
        <v>00949894</v>
      </c>
    </row>
    <row r="19370" spans="1:2" x14ac:dyDescent="0.25">
      <c r="A19370" s="2">
        <v>19365</v>
      </c>
      <c r="B19370" s="3" t="str">
        <f>"00949981"</f>
        <v>00949981</v>
      </c>
    </row>
    <row r="19371" spans="1:2" x14ac:dyDescent="0.25">
      <c r="A19371" s="2">
        <v>19366</v>
      </c>
      <c r="B19371" s="3" t="str">
        <f>"00950052"</f>
        <v>00950052</v>
      </c>
    </row>
    <row r="19372" spans="1:2" x14ac:dyDescent="0.25">
      <c r="A19372" s="2">
        <v>19367</v>
      </c>
      <c r="B19372" s="3" t="str">
        <f>"00950210"</f>
        <v>00950210</v>
      </c>
    </row>
    <row r="19373" spans="1:2" x14ac:dyDescent="0.25">
      <c r="A19373" s="2">
        <v>19368</v>
      </c>
      <c r="B19373" s="3" t="str">
        <f>"00950292"</f>
        <v>00950292</v>
      </c>
    </row>
    <row r="19374" spans="1:2" x14ac:dyDescent="0.25">
      <c r="A19374" s="2">
        <v>19369</v>
      </c>
      <c r="B19374" s="3" t="str">
        <f>"00950688"</f>
        <v>00950688</v>
      </c>
    </row>
    <row r="19375" spans="1:2" x14ac:dyDescent="0.25">
      <c r="A19375" s="2">
        <v>19370</v>
      </c>
      <c r="B19375" s="3" t="str">
        <f>"00951146"</f>
        <v>00951146</v>
      </c>
    </row>
    <row r="19376" spans="1:2" x14ac:dyDescent="0.25">
      <c r="A19376" s="2">
        <v>19371</v>
      </c>
      <c r="B19376" s="3" t="str">
        <f>"00951228"</f>
        <v>00951228</v>
      </c>
    </row>
    <row r="19377" spans="1:2" x14ac:dyDescent="0.25">
      <c r="A19377" s="2">
        <v>19372</v>
      </c>
      <c r="B19377" s="3" t="str">
        <f>"00951229"</f>
        <v>00951229</v>
      </c>
    </row>
    <row r="19378" spans="1:2" x14ac:dyDescent="0.25">
      <c r="A19378" s="2">
        <v>19373</v>
      </c>
      <c r="B19378" s="3" t="str">
        <f>"00951492"</f>
        <v>00951492</v>
      </c>
    </row>
    <row r="19379" spans="1:2" x14ac:dyDescent="0.25">
      <c r="A19379" s="2">
        <v>19374</v>
      </c>
      <c r="B19379" s="3" t="str">
        <f>"00951597"</f>
        <v>00951597</v>
      </c>
    </row>
    <row r="19380" spans="1:2" x14ac:dyDescent="0.25">
      <c r="A19380" s="2">
        <v>19375</v>
      </c>
      <c r="B19380" s="3" t="str">
        <f>"00951680"</f>
        <v>00951680</v>
      </c>
    </row>
    <row r="19381" spans="1:2" x14ac:dyDescent="0.25">
      <c r="A19381" s="2">
        <v>19376</v>
      </c>
      <c r="B19381" s="3" t="str">
        <f>"00952560"</f>
        <v>00952560</v>
      </c>
    </row>
    <row r="19382" spans="1:2" x14ac:dyDescent="0.25">
      <c r="A19382" s="2">
        <v>19377</v>
      </c>
      <c r="B19382" s="3" t="str">
        <f>"00952592"</f>
        <v>00952592</v>
      </c>
    </row>
    <row r="19383" spans="1:2" x14ac:dyDescent="0.25">
      <c r="A19383" s="2">
        <v>19378</v>
      </c>
      <c r="B19383" s="3" t="str">
        <f>"00953093"</f>
        <v>00953093</v>
      </c>
    </row>
    <row r="19384" spans="1:2" x14ac:dyDescent="0.25">
      <c r="A19384" s="2">
        <v>19379</v>
      </c>
      <c r="B19384" s="3" t="str">
        <f>"00953271"</f>
        <v>00953271</v>
      </c>
    </row>
    <row r="19385" spans="1:2" x14ac:dyDescent="0.25">
      <c r="A19385" s="2">
        <v>19380</v>
      </c>
      <c r="B19385" s="3" t="str">
        <f>"00953524"</f>
        <v>00953524</v>
      </c>
    </row>
    <row r="19386" spans="1:2" x14ac:dyDescent="0.25">
      <c r="A19386" s="2">
        <v>19381</v>
      </c>
      <c r="B19386" s="3" t="str">
        <f>"00953591"</f>
        <v>00953591</v>
      </c>
    </row>
    <row r="19387" spans="1:2" x14ac:dyDescent="0.25">
      <c r="A19387" s="2">
        <v>19382</v>
      </c>
      <c r="B19387" s="3" t="str">
        <f>"00953630"</f>
        <v>00953630</v>
      </c>
    </row>
    <row r="19388" spans="1:2" x14ac:dyDescent="0.25">
      <c r="A19388" s="2">
        <v>19383</v>
      </c>
      <c r="B19388" s="3" t="str">
        <f>"00953631"</f>
        <v>00953631</v>
      </c>
    </row>
    <row r="19389" spans="1:2" x14ac:dyDescent="0.25">
      <c r="A19389" s="2">
        <v>19384</v>
      </c>
      <c r="B19389" s="3" t="str">
        <f>"00954008"</f>
        <v>00954008</v>
      </c>
    </row>
    <row r="19390" spans="1:2" x14ac:dyDescent="0.25">
      <c r="A19390" s="2">
        <v>19385</v>
      </c>
      <c r="B19390" s="3" t="str">
        <f>"00954091"</f>
        <v>00954091</v>
      </c>
    </row>
    <row r="19391" spans="1:2" x14ac:dyDescent="0.25">
      <c r="A19391" s="2">
        <v>19386</v>
      </c>
      <c r="B19391" s="3" t="str">
        <f>"00954242"</f>
        <v>00954242</v>
      </c>
    </row>
    <row r="19392" spans="1:2" x14ac:dyDescent="0.25">
      <c r="A19392" s="2">
        <v>19387</v>
      </c>
      <c r="B19392" s="3" t="str">
        <f>"00954354"</f>
        <v>00954354</v>
      </c>
    </row>
    <row r="19393" spans="1:2" x14ac:dyDescent="0.25">
      <c r="A19393" s="2">
        <v>19388</v>
      </c>
      <c r="B19393" s="3" t="str">
        <f>"00954483"</f>
        <v>00954483</v>
      </c>
    </row>
    <row r="19394" spans="1:2" x14ac:dyDescent="0.25">
      <c r="A19394" s="2">
        <v>19389</v>
      </c>
      <c r="B19394" s="3" t="str">
        <f>"00954523"</f>
        <v>00954523</v>
      </c>
    </row>
    <row r="19395" spans="1:2" x14ac:dyDescent="0.25">
      <c r="A19395" s="2">
        <v>19390</v>
      </c>
      <c r="B19395" s="3" t="str">
        <f>"00955190"</f>
        <v>00955190</v>
      </c>
    </row>
    <row r="19396" spans="1:2" x14ac:dyDescent="0.25">
      <c r="A19396" s="2">
        <v>19391</v>
      </c>
      <c r="B19396" s="3" t="str">
        <f>"00955238"</f>
        <v>00955238</v>
      </c>
    </row>
    <row r="19397" spans="1:2" x14ac:dyDescent="0.25">
      <c r="A19397" s="2">
        <v>19392</v>
      </c>
      <c r="B19397" s="3" t="str">
        <f>"00955341"</f>
        <v>00955341</v>
      </c>
    </row>
    <row r="19398" spans="1:2" x14ac:dyDescent="0.25">
      <c r="A19398" s="2">
        <v>19393</v>
      </c>
      <c r="B19398" s="3" t="str">
        <f>"00955556"</f>
        <v>00955556</v>
      </c>
    </row>
    <row r="19399" spans="1:2" x14ac:dyDescent="0.25">
      <c r="A19399" s="2">
        <v>19394</v>
      </c>
      <c r="B19399" s="3" t="str">
        <f>"00955893"</f>
        <v>00955893</v>
      </c>
    </row>
    <row r="19400" spans="1:2" x14ac:dyDescent="0.25">
      <c r="A19400" s="2">
        <v>19395</v>
      </c>
      <c r="B19400" s="3" t="str">
        <f>"00956105"</f>
        <v>00956105</v>
      </c>
    </row>
    <row r="19401" spans="1:2" x14ac:dyDescent="0.25">
      <c r="A19401" s="2">
        <v>19396</v>
      </c>
      <c r="B19401" s="3" t="str">
        <f>"00956618"</f>
        <v>00956618</v>
      </c>
    </row>
    <row r="19402" spans="1:2" x14ac:dyDescent="0.25">
      <c r="A19402" s="2">
        <v>19397</v>
      </c>
      <c r="B19402" s="3" t="str">
        <f>"00956985"</f>
        <v>00956985</v>
      </c>
    </row>
    <row r="19403" spans="1:2" x14ac:dyDescent="0.25">
      <c r="A19403" s="2">
        <v>19398</v>
      </c>
      <c r="B19403" s="3" t="str">
        <f>"00957033"</f>
        <v>00957033</v>
      </c>
    </row>
    <row r="19404" spans="1:2" x14ac:dyDescent="0.25">
      <c r="A19404" s="2">
        <v>19399</v>
      </c>
      <c r="B19404" s="3" t="str">
        <f>"00957395"</f>
        <v>00957395</v>
      </c>
    </row>
    <row r="19405" spans="1:2" x14ac:dyDescent="0.25">
      <c r="A19405" s="2">
        <v>19400</v>
      </c>
      <c r="B19405" s="3" t="str">
        <f>"00958126"</f>
        <v>00958126</v>
      </c>
    </row>
    <row r="19406" spans="1:2" x14ac:dyDescent="0.25">
      <c r="A19406" s="2">
        <v>19401</v>
      </c>
      <c r="B19406" s="3" t="str">
        <f>"00958524"</f>
        <v>00958524</v>
      </c>
    </row>
    <row r="19407" spans="1:2" x14ac:dyDescent="0.25">
      <c r="A19407" s="2">
        <v>19402</v>
      </c>
      <c r="B19407" s="3" t="str">
        <f>"00958562"</f>
        <v>00958562</v>
      </c>
    </row>
    <row r="19408" spans="1:2" x14ac:dyDescent="0.25">
      <c r="A19408" s="2">
        <v>19403</v>
      </c>
      <c r="B19408" s="3" t="str">
        <f>"00958688"</f>
        <v>00958688</v>
      </c>
    </row>
    <row r="19409" spans="1:2" x14ac:dyDescent="0.25">
      <c r="A19409" s="2">
        <v>19404</v>
      </c>
      <c r="B19409" s="3" t="str">
        <f>"00959103"</f>
        <v>00959103</v>
      </c>
    </row>
    <row r="19410" spans="1:2" x14ac:dyDescent="0.25">
      <c r="A19410" s="2">
        <v>19405</v>
      </c>
      <c r="B19410" s="3" t="str">
        <f>"00959161"</f>
        <v>00959161</v>
      </c>
    </row>
    <row r="19411" spans="1:2" x14ac:dyDescent="0.25">
      <c r="A19411" s="2">
        <v>19406</v>
      </c>
      <c r="B19411" s="3" t="str">
        <f>"00959311"</f>
        <v>00959311</v>
      </c>
    </row>
    <row r="19412" spans="1:2" x14ac:dyDescent="0.25">
      <c r="A19412" s="2">
        <v>19407</v>
      </c>
      <c r="B19412" s="3" t="str">
        <f>"00959545"</f>
        <v>00959545</v>
      </c>
    </row>
    <row r="19413" spans="1:2" x14ac:dyDescent="0.25">
      <c r="A19413" s="2">
        <v>19408</v>
      </c>
      <c r="B19413" s="3" t="str">
        <f>"00959642"</f>
        <v>00959642</v>
      </c>
    </row>
    <row r="19414" spans="1:2" x14ac:dyDescent="0.25">
      <c r="A19414" s="2">
        <v>19409</v>
      </c>
      <c r="B19414" s="3" t="str">
        <f>"00959756"</f>
        <v>00959756</v>
      </c>
    </row>
    <row r="19415" spans="1:2" x14ac:dyDescent="0.25">
      <c r="A19415" s="2">
        <v>19410</v>
      </c>
      <c r="B19415" s="3" t="str">
        <f>"00960240"</f>
        <v>00960240</v>
      </c>
    </row>
    <row r="19416" spans="1:2" x14ac:dyDescent="0.25">
      <c r="A19416" s="2">
        <v>19411</v>
      </c>
      <c r="B19416" s="3" t="str">
        <f>"00960740"</f>
        <v>00960740</v>
      </c>
    </row>
    <row r="19417" spans="1:2" x14ac:dyDescent="0.25">
      <c r="A19417" s="2">
        <v>19412</v>
      </c>
      <c r="B19417" s="3" t="str">
        <f>"00961220"</f>
        <v>00961220</v>
      </c>
    </row>
    <row r="19418" spans="1:2" x14ac:dyDescent="0.25">
      <c r="A19418" s="2">
        <v>19413</v>
      </c>
      <c r="B19418" s="3" t="str">
        <f>"00961270"</f>
        <v>00961270</v>
      </c>
    </row>
    <row r="19419" spans="1:2" x14ac:dyDescent="0.25">
      <c r="A19419" s="2">
        <v>19414</v>
      </c>
      <c r="B19419" s="3" t="str">
        <f>"00961554"</f>
        <v>00961554</v>
      </c>
    </row>
    <row r="19420" spans="1:2" x14ac:dyDescent="0.25">
      <c r="A19420" s="2">
        <v>19415</v>
      </c>
      <c r="B19420" s="3" t="str">
        <f>"00961749"</f>
        <v>00961749</v>
      </c>
    </row>
    <row r="19421" spans="1:2" x14ac:dyDescent="0.25">
      <c r="A19421" s="2">
        <v>19416</v>
      </c>
      <c r="B19421" s="3" t="str">
        <f>"00962038"</f>
        <v>00962038</v>
      </c>
    </row>
    <row r="19422" spans="1:2" x14ac:dyDescent="0.25">
      <c r="A19422" s="2">
        <v>19417</v>
      </c>
      <c r="B19422" s="3" t="str">
        <f>"00962140"</f>
        <v>00962140</v>
      </c>
    </row>
    <row r="19423" spans="1:2" x14ac:dyDescent="0.25">
      <c r="A19423" s="2">
        <v>19418</v>
      </c>
      <c r="B19423" s="3" t="str">
        <f>"00962352"</f>
        <v>00962352</v>
      </c>
    </row>
    <row r="19424" spans="1:2" x14ac:dyDescent="0.25">
      <c r="A19424" s="2">
        <v>19419</v>
      </c>
      <c r="B19424" s="3" t="str">
        <f>"00962545"</f>
        <v>00962545</v>
      </c>
    </row>
    <row r="19425" spans="1:2" x14ac:dyDescent="0.25">
      <c r="A19425" s="2">
        <v>19420</v>
      </c>
      <c r="B19425" s="3" t="str">
        <f>"00962754"</f>
        <v>00962754</v>
      </c>
    </row>
    <row r="19426" spans="1:2" x14ac:dyDescent="0.25">
      <c r="A19426" s="2">
        <v>19421</v>
      </c>
      <c r="B19426" s="3" t="str">
        <f>"00963028"</f>
        <v>00963028</v>
      </c>
    </row>
    <row r="19427" spans="1:2" x14ac:dyDescent="0.25">
      <c r="A19427" s="2">
        <v>19422</v>
      </c>
      <c r="B19427" s="3" t="str">
        <f>"00963116"</f>
        <v>00963116</v>
      </c>
    </row>
    <row r="19428" spans="1:2" x14ac:dyDescent="0.25">
      <c r="A19428" s="2">
        <v>19423</v>
      </c>
      <c r="B19428" s="3" t="str">
        <f>"00963609"</f>
        <v>00963609</v>
      </c>
    </row>
    <row r="19429" spans="1:2" x14ac:dyDescent="0.25">
      <c r="A19429" s="2">
        <v>19424</v>
      </c>
      <c r="B19429" s="3" t="str">
        <f>"00964290"</f>
        <v>00964290</v>
      </c>
    </row>
    <row r="19430" spans="1:2" x14ac:dyDescent="0.25">
      <c r="A19430" s="2">
        <v>19425</v>
      </c>
      <c r="B19430" s="3" t="str">
        <f>"00964394"</f>
        <v>00964394</v>
      </c>
    </row>
    <row r="19431" spans="1:2" x14ac:dyDescent="0.25">
      <c r="A19431" s="2">
        <v>19426</v>
      </c>
      <c r="B19431" s="3" t="str">
        <f>"00964438"</f>
        <v>00964438</v>
      </c>
    </row>
    <row r="19432" spans="1:2" x14ac:dyDescent="0.25">
      <c r="A19432" s="2">
        <v>19427</v>
      </c>
      <c r="B19432" s="3" t="str">
        <f>"00964534"</f>
        <v>00964534</v>
      </c>
    </row>
    <row r="19433" spans="1:2" x14ac:dyDescent="0.25">
      <c r="A19433" s="2">
        <v>19428</v>
      </c>
      <c r="B19433" s="3" t="str">
        <f>"00964677"</f>
        <v>00964677</v>
      </c>
    </row>
    <row r="19434" spans="1:2" x14ac:dyDescent="0.25">
      <c r="A19434" s="2">
        <v>19429</v>
      </c>
      <c r="B19434" s="3" t="str">
        <f>"00965072"</f>
        <v>00965072</v>
      </c>
    </row>
    <row r="19435" spans="1:2" x14ac:dyDescent="0.25">
      <c r="A19435" s="2">
        <v>19430</v>
      </c>
      <c r="B19435" s="3" t="str">
        <f>"00965467"</f>
        <v>00965467</v>
      </c>
    </row>
    <row r="19436" spans="1:2" x14ac:dyDescent="0.25">
      <c r="A19436" s="2">
        <v>19431</v>
      </c>
      <c r="B19436" s="3" t="str">
        <f>"00965671"</f>
        <v>00965671</v>
      </c>
    </row>
    <row r="19437" spans="1:2" x14ac:dyDescent="0.25">
      <c r="A19437" s="2">
        <v>19432</v>
      </c>
      <c r="B19437" s="3" t="str">
        <f>"00965698"</f>
        <v>00965698</v>
      </c>
    </row>
    <row r="19438" spans="1:2" x14ac:dyDescent="0.25">
      <c r="A19438" s="2">
        <v>19433</v>
      </c>
      <c r="B19438" s="3" t="str">
        <f>"00965888"</f>
        <v>00965888</v>
      </c>
    </row>
    <row r="19439" spans="1:2" x14ac:dyDescent="0.25">
      <c r="A19439" s="2">
        <v>19434</v>
      </c>
      <c r="B19439" s="3" t="str">
        <f>"00966177"</f>
        <v>00966177</v>
      </c>
    </row>
    <row r="19440" spans="1:2" x14ac:dyDescent="0.25">
      <c r="A19440" s="2">
        <v>19435</v>
      </c>
      <c r="B19440" s="3" t="str">
        <f>"00966322"</f>
        <v>00966322</v>
      </c>
    </row>
    <row r="19441" spans="1:2" x14ac:dyDescent="0.25">
      <c r="A19441" s="2">
        <v>19436</v>
      </c>
      <c r="B19441" s="3" t="str">
        <f>"00966331"</f>
        <v>00966331</v>
      </c>
    </row>
    <row r="19442" spans="1:2" x14ac:dyDescent="0.25">
      <c r="A19442" s="2">
        <v>19437</v>
      </c>
      <c r="B19442" s="3" t="str">
        <f>"00966402"</f>
        <v>00966402</v>
      </c>
    </row>
    <row r="19443" spans="1:2" x14ac:dyDescent="0.25">
      <c r="A19443" s="2">
        <v>19438</v>
      </c>
      <c r="B19443" s="3" t="str">
        <f>"00966432"</f>
        <v>00966432</v>
      </c>
    </row>
    <row r="19444" spans="1:2" x14ac:dyDescent="0.25">
      <c r="A19444" s="2">
        <v>19439</v>
      </c>
      <c r="B19444" s="3" t="str">
        <f>"00966481"</f>
        <v>00966481</v>
      </c>
    </row>
    <row r="19445" spans="1:2" x14ac:dyDescent="0.25">
      <c r="A19445" s="2">
        <v>19440</v>
      </c>
      <c r="B19445" s="3" t="str">
        <f>"00966486"</f>
        <v>00966486</v>
      </c>
    </row>
    <row r="19446" spans="1:2" x14ac:dyDescent="0.25">
      <c r="A19446" s="2">
        <v>19441</v>
      </c>
      <c r="B19446" s="3" t="str">
        <f>"00966553"</f>
        <v>00966553</v>
      </c>
    </row>
    <row r="19447" spans="1:2" x14ac:dyDescent="0.25">
      <c r="A19447" s="2">
        <v>19442</v>
      </c>
      <c r="B19447" s="3" t="str">
        <f>"00966759"</f>
        <v>00966759</v>
      </c>
    </row>
    <row r="19448" spans="1:2" x14ac:dyDescent="0.25">
      <c r="A19448" s="2">
        <v>19443</v>
      </c>
      <c r="B19448" s="3" t="str">
        <f>"00966869"</f>
        <v>00966869</v>
      </c>
    </row>
    <row r="19449" spans="1:2" x14ac:dyDescent="0.25">
      <c r="A19449" s="2">
        <v>19444</v>
      </c>
      <c r="B19449" s="3" t="str">
        <f>"00967121"</f>
        <v>00967121</v>
      </c>
    </row>
    <row r="19450" spans="1:2" x14ac:dyDescent="0.25">
      <c r="A19450" s="2">
        <v>19445</v>
      </c>
      <c r="B19450" s="3" t="str">
        <f>"00967221"</f>
        <v>00967221</v>
      </c>
    </row>
    <row r="19451" spans="1:2" x14ac:dyDescent="0.25">
      <c r="A19451" s="2">
        <v>19446</v>
      </c>
      <c r="B19451" s="3" t="str">
        <f>"00967247"</f>
        <v>00967247</v>
      </c>
    </row>
    <row r="19452" spans="1:2" x14ac:dyDescent="0.25">
      <c r="A19452" s="2">
        <v>19447</v>
      </c>
      <c r="B19452" s="3" t="str">
        <f>"00967303"</f>
        <v>00967303</v>
      </c>
    </row>
    <row r="19453" spans="1:2" x14ac:dyDescent="0.25">
      <c r="A19453" s="2">
        <v>19448</v>
      </c>
      <c r="B19453" s="3" t="str">
        <f>"00967356"</f>
        <v>00967356</v>
      </c>
    </row>
    <row r="19454" spans="1:2" x14ac:dyDescent="0.25">
      <c r="A19454" s="2">
        <v>19449</v>
      </c>
      <c r="B19454" s="3" t="str">
        <f>"00967370"</f>
        <v>00967370</v>
      </c>
    </row>
    <row r="19455" spans="1:2" x14ac:dyDescent="0.25">
      <c r="A19455" s="2">
        <v>19450</v>
      </c>
      <c r="B19455" s="3" t="str">
        <f>"00967413"</f>
        <v>00967413</v>
      </c>
    </row>
    <row r="19456" spans="1:2" x14ac:dyDescent="0.25">
      <c r="A19456" s="2">
        <v>19451</v>
      </c>
      <c r="B19456" s="3" t="str">
        <f>"00967455"</f>
        <v>00967455</v>
      </c>
    </row>
    <row r="19457" spans="1:2" x14ac:dyDescent="0.25">
      <c r="A19457" s="2">
        <v>19452</v>
      </c>
      <c r="B19457" s="3" t="str">
        <f>"00967523"</f>
        <v>00967523</v>
      </c>
    </row>
    <row r="19458" spans="1:2" x14ac:dyDescent="0.25">
      <c r="A19458" s="2">
        <v>19453</v>
      </c>
      <c r="B19458" s="3" t="str">
        <f>"00967584"</f>
        <v>00967584</v>
      </c>
    </row>
    <row r="19459" spans="1:2" x14ac:dyDescent="0.25">
      <c r="A19459" s="2">
        <v>19454</v>
      </c>
      <c r="B19459" s="3" t="str">
        <f>"00967603"</f>
        <v>00967603</v>
      </c>
    </row>
    <row r="19460" spans="1:2" x14ac:dyDescent="0.25">
      <c r="A19460" s="2">
        <v>19455</v>
      </c>
      <c r="B19460" s="3" t="str">
        <f>"00967627"</f>
        <v>00967627</v>
      </c>
    </row>
    <row r="19461" spans="1:2" x14ac:dyDescent="0.25">
      <c r="A19461" s="2">
        <v>19456</v>
      </c>
      <c r="B19461" s="3" t="str">
        <f>"00967663"</f>
        <v>00967663</v>
      </c>
    </row>
    <row r="19462" spans="1:2" x14ac:dyDescent="0.25">
      <c r="A19462" s="2">
        <v>19457</v>
      </c>
      <c r="B19462" s="3" t="str">
        <f>"00967664"</f>
        <v>00967664</v>
      </c>
    </row>
    <row r="19463" spans="1:2" x14ac:dyDescent="0.25">
      <c r="A19463" s="2">
        <v>19458</v>
      </c>
      <c r="B19463" s="3" t="str">
        <f>"00967674"</f>
        <v>00967674</v>
      </c>
    </row>
    <row r="19464" spans="1:2" x14ac:dyDescent="0.25">
      <c r="A19464" s="2">
        <v>19459</v>
      </c>
      <c r="B19464" s="3" t="str">
        <f>"00967730"</f>
        <v>00967730</v>
      </c>
    </row>
    <row r="19465" spans="1:2" x14ac:dyDescent="0.25">
      <c r="A19465" s="2">
        <v>19460</v>
      </c>
      <c r="B19465" s="3" t="str">
        <f>"00967823"</f>
        <v>00967823</v>
      </c>
    </row>
    <row r="19466" spans="1:2" x14ac:dyDescent="0.25">
      <c r="A19466" s="2">
        <v>19461</v>
      </c>
      <c r="B19466" s="3" t="str">
        <f>"00967879"</f>
        <v>00967879</v>
      </c>
    </row>
    <row r="19467" spans="1:2" x14ac:dyDescent="0.25">
      <c r="A19467" s="2">
        <v>19462</v>
      </c>
      <c r="B19467" s="3" t="str">
        <f>"00967880"</f>
        <v>00967880</v>
      </c>
    </row>
    <row r="19468" spans="1:2" x14ac:dyDescent="0.25">
      <c r="A19468" s="2">
        <v>19463</v>
      </c>
      <c r="B19468" s="3" t="str">
        <f>"00967895"</f>
        <v>00967895</v>
      </c>
    </row>
    <row r="19469" spans="1:2" x14ac:dyDescent="0.25">
      <c r="A19469" s="2">
        <v>19464</v>
      </c>
      <c r="B19469" s="3" t="str">
        <f>"00967896"</f>
        <v>00967896</v>
      </c>
    </row>
    <row r="19470" spans="1:2" x14ac:dyDescent="0.25">
      <c r="A19470" s="2">
        <v>19465</v>
      </c>
      <c r="B19470" s="3" t="str">
        <f>"00967918"</f>
        <v>00967918</v>
      </c>
    </row>
    <row r="19471" spans="1:2" x14ac:dyDescent="0.25">
      <c r="A19471" s="2">
        <v>19466</v>
      </c>
      <c r="B19471" s="3" t="str">
        <f>"00967929"</f>
        <v>00967929</v>
      </c>
    </row>
    <row r="19472" spans="1:2" x14ac:dyDescent="0.25">
      <c r="A19472" s="2">
        <v>19467</v>
      </c>
      <c r="B19472" s="3" t="str">
        <f>"00968072"</f>
        <v>00968072</v>
      </c>
    </row>
    <row r="19473" spans="1:2" x14ac:dyDescent="0.25">
      <c r="A19473" s="2">
        <v>19468</v>
      </c>
      <c r="B19473" s="3" t="str">
        <f>"00968095"</f>
        <v>00968095</v>
      </c>
    </row>
    <row r="19474" spans="1:2" x14ac:dyDescent="0.25">
      <c r="A19474" s="2">
        <v>19469</v>
      </c>
      <c r="B19474" s="3" t="str">
        <f>"00968105"</f>
        <v>00968105</v>
      </c>
    </row>
    <row r="19475" spans="1:2" x14ac:dyDescent="0.25">
      <c r="A19475" s="2">
        <v>19470</v>
      </c>
      <c r="B19475" s="3" t="str">
        <f>"00968138"</f>
        <v>00968138</v>
      </c>
    </row>
    <row r="19476" spans="1:2" x14ac:dyDescent="0.25">
      <c r="A19476" s="2">
        <v>19471</v>
      </c>
      <c r="B19476" s="3" t="str">
        <f>"00968163"</f>
        <v>00968163</v>
      </c>
    </row>
    <row r="19477" spans="1:2" x14ac:dyDescent="0.25">
      <c r="A19477" s="2">
        <v>19472</v>
      </c>
      <c r="B19477" s="3" t="str">
        <f>"00968184"</f>
        <v>00968184</v>
      </c>
    </row>
    <row r="19478" spans="1:2" x14ac:dyDescent="0.25">
      <c r="A19478" s="2">
        <v>19473</v>
      </c>
      <c r="B19478" s="3" t="str">
        <f>"00968188"</f>
        <v>00968188</v>
      </c>
    </row>
    <row r="19479" spans="1:2" x14ac:dyDescent="0.25">
      <c r="A19479" s="2">
        <v>19474</v>
      </c>
      <c r="B19479" s="3" t="str">
        <f>"00968196"</f>
        <v>00968196</v>
      </c>
    </row>
    <row r="19480" spans="1:2" x14ac:dyDescent="0.25">
      <c r="A19480" s="2">
        <v>19475</v>
      </c>
      <c r="B19480" s="3" t="str">
        <f>"00968201"</f>
        <v>00968201</v>
      </c>
    </row>
    <row r="19481" spans="1:2" x14ac:dyDescent="0.25">
      <c r="A19481" s="2">
        <v>19476</v>
      </c>
      <c r="B19481" s="3" t="str">
        <f>"00968210"</f>
        <v>00968210</v>
      </c>
    </row>
    <row r="19482" spans="1:2" x14ac:dyDescent="0.25">
      <c r="A19482" s="2">
        <v>19477</v>
      </c>
      <c r="B19482" s="3" t="str">
        <f>"00968215"</f>
        <v>00968215</v>
      </c>
    </row>
    <row r="19483" spans="1:2" x14ac:dyDescent="0.25">
      <c r="A19483" s="2">
        <v>19478</v>
      </c>
      <c r="B19483" s="3" t="str">
        <f>"00968244"</f>
        <v>00968244</v>
      </c>
    </row>
    <row r="19484" spans="1:2" x14ac:dyDescent="0.25">
      <c r="A19484" s="2">
        <v>19479</v>
      </c>
      <c r="B19484" s="3" t="str">
        <f>"00968289"</f>
        <v>00968289</v>
      </c>
    </row>
    <row r="19485" spans="1:2" x14ac:dyDescent="0.25">
      <c r="A19485" s="2">
        <v>19480</v>
      </c>
      <c r="B19485" s="3" t="str">
        <f>"00968300"</f>
        <v>00968300</v>
      </c>
    </row>
    <row r="19486" spans="1:2" x14ac:dyDescent="0.25">
      <c r="A19486" s="2">
        <v>19481</v>
      </c>
      <c r="B19486" s="3" t="str">
        <f>"00968313"</f>
        <v>00968313</v>
      </c>
    </row>
    <row r="19487" spans="1:2" x14ac:dyDescent="0.25">
      <c r="A19487" s="2">
        <v>19482</v>
      </c>
      <c r="B19487" s="3" t="str">
        <f>"00968478"</f>
        <v>00968478</v>
      </c>
    </row>
    <row r="19488" spans="1:2" x14ac:dyDescent="0.25">
      <c r="A19488" s="2">
        <v>19483</v>
      </c>
      <c r="B19488" s="3" t="str">
        <f>"00968640"</f>
        <v>00968640</v>
      </c>
    </row>
    <row r="19489" spans="1:2" x14ac:dyDescent="0.25">
      <c r="A19489" s="2">
        <v>19484</v>
      </c>
      <c r="B19489" s="3" t="str">
        <f>"00968784"</f>
        <v>00968784</v>
      </c>
    </row>
    <row r="19490" spans="1:2" x14ac:dyDescent="0.25">
      <c r="A19490" s="2">
        <v>19485</v>
      </c>
      <c r="B19490" s="3" t="str">
        <f>"00968814"</f>
        <v>00968814</v>
      </c>
    </row>
    <row r="19491" spans="1:2" x14ac:dyDescent="0.25">
      <c r="A19491" s="2">
        <v>19486</v>
      </c>
      <c r="B19491" s="3" t="str">
        <f>"00968846"</f>
        <v>00968846</v>
      </c>
    </row>
    <row r="19492" spans="1:2" x14ac:dyDescent="0.25">
      <c r="A19492" s="2">
        <v>19487</v>
      </c>
      <c r="B19492" s="3" t="str">
        <f>"00968855"</f>
        <v>00968855</v>
      </c>
    </row>
    <row r="19493" spans="1:2" x14ac:dyDescent="0.25">
      <c r="A19493" s="2">
        <v>19488</v>
      </c>
      <c r="B19493" s="3" t="str">
        <f>"00968975"</f>
        <v>00968975</v>
      </c>
    </row>
    <row r="19494" spans="1:2" x14ac:dyDescent="0.25">
      <c r="A19494" s="2">
        <v>19489</v>
      </c>
      <c r="B19494" s="3" t="str">
        <f>"00969014"</f>
        <v>00969014</v>
      </c>
    </row>
    <row r="19495" spans="1:2" x14ac:dyDescent="0.25">
      <c r="A19495" s="2">
        <v>19490</v>
      </c>
      <c r="B19495" s="3" t="str">
        <f>"00969117"</f>
        <v>00969117</v>
      </c>
    </row>
    <row r="19496" spans="1:2" x14ac:dyDescent="0.25">
      <c r="A19496" s="2">
        <v>19491</v>
      </c>
      <c r="B19496" s="3" t="str">
        <f>"00969123"</f>
        <v>00969123</v>
      </c>
    </row>
    <row r="19497" spans="1:2" x14ac:dyDescent="0.25">
      <c r="A19497" s="2">
        <v>19492</v>
      </c>
      <c r="B19497" s="3" t="str">
        <f>"00969185"</f>
        <v>00969185</v>
      </c>
    </row>
    <row r="19498" spans="1:2" x14ac:dyDescent="0.25">
      <c r="A19498" s="2">
        <v>19493</v>
      </c>
      <c r="B19498" s="3" t="str">
        <f>"00969268"</f>
        <v>00969268</v>
      </c>
    </row>
    <row r="19499" spans="1:2" x14ac:dyDescent="0.25">
      <c r="A19499" s="2">
        <v>19494</v>
      </c>
      <c r="B19499" s="3" t="str">
        <f>"00969324"</f>
        <v>00969324</v>
      </c>
    </row>
    <row r="19500" spans="1:2" x14ac:dyDescent="0.25">
      <c r="A19500" s="2">
        <v>19495</v>
      </c>
      <c r="B19500" s="3" t="str">
        <f>"00969333"</f>
        <v>00969333</v>
      </c>
    </row>
    <row r="19501" spans="1:2" x14ac:dyDescent="0.25">
      <c r="A19501" s="2">
        <v>19496</v>
      </c>
      <c r="B19501" s="3" t="str">
        <f>"00969482"</f>
        <v>00969482</v>
      </c>
    </row>
    <row r="19502" spans="1:2" x14ac:dyDescent="0.25">
      <c r="A19502" s="2">
        <v>19497</v>
      </c>
      <c r="B19502" s="3" t="str">
        <f>"00969532"</f>
        <v>00969532</v>
      </c>
    </row>
    <row r="19503" spans="1:2" x14ac:dyDescent="0.25">
      <c r="A19503" s="2">
        <v>19498</v>
      </c>
      <c r="B19503" s="3" t="str">
        <f>"00969644"</f>
        <v>00969644</v>
      </c>
    </row>
    <row r="19504" spans="1:2" x14ac:dyDescent="0.25">
      <c r="A19504" s="2">
        <v>19499</v>
      </c>
      <c r="B19504" s="3" t="str">
        <f>"00969799"</f>
        <v>00969799</v>
      </c>
    </row>
    <row r="19505" spans="1:2" x14ac:dyDescent="0.25">
      <c r="A19505" s="2">
        <v>19500</v>
      </c>
      <c r="B19505" s="3" t="str">
        <f>"00969890"</f>
        <v>00969890</v>
      </c>
    </row>
    <row r="19506" spans="1:2" x14ac:dyDescent="0.25">
      <c r="A19506" s="2">
        <v>19501</v>
      </c>
      <c r="B19506" s="3" t="str">
        <f>"00969904"</f>
        <v>00969904</v>
      </c>
    </row>
    <row r="19507" spans="1:2" x14ac:dyDescent="0.25">
      <c r="A19507" s="2">
        <v>19502</v>
      </c>
      <c r="B19507" s="3" t="str">
        <f>"00970023"</f>
        <v>00970023</v>
      </c>
    </row>
    <row r="19508" spans="1:2" x14ac:dyDescent="0.25">
      <c r="A19508" s="2">
        <v>19503</v>
      </c>
      <c r="B19508" s="3" t="str">
        <f>"00970315"</f>
        <v>00970315</v>
      </c>
    </row>
    <row r="19509" spans="1:2" x14ac:dyDescent="0.25">
      <c r="A19509" s="2">
        <v>19504</v>
      </c>
      <c r="B19509" s="3" t="str">
        <f>"00970318"</f>
        <v>00970318</v>
      </c>
    </row>
    <row r="19510" spans="1:2" x14ac:dyDescent="0.25">
      <c r="A19510" s="2">
        <v>19505</v>
      </c>
      <c r="B19510" s="3" t="str">
        <f>"00970323"</f>
        <v>00970323</v>
      </c>
    </row>
    <row r="19511" spans="1:2" x14ac:dyDescent="0.25">
      <c r="A19511" s="2">
        <v>19506</v>
      </c>
      <c r="B19511" s="3" t="str">
        <f>"00970426"</f>
        <v>00970426</v>
      </c>
    </row>
    <row r="19512" spans="1:2" x14ac:dyDescent="0.25">
      <c r="A19512" s="2">
        <v>19507</v>
      </c>
      <c r="B19512" s="3" t="str">
        <f>"00970539"</f>
        <v>00970539</v>
      </c>
    </row>
    <row r="19513" spans="1:2" x14ac:dyDescent="0.25">
      <c r="A19513" s="2">
        <v>19508</v>
      </c>
      <c r="B19513" s="3" t="str">
        <f>"00970545"</f>
        <v>00970545</v>
      </c>
    </row>
    <row r="19514" spans="1:2" x14ac:dyDescent="0.25">
      <c r="A19514" s="2">
        <v>19509</v>
      </c>
      <c r="B19514" s="3" t="str">
        <f>"00970548"</f>
        <v>00970548</v>
      </c>
    </row>
    <row r="19515" spans="1:2" x14ac:dyDescent="0.25">
      <c r="A19515" s="2">
        <v>19510</v>
      </c>
      <c r="B19515" s="3" t="str">
        <f>"00970550"</f>
        <v>00970550</v>
      </c>
    </row>
    <row r="19516" spans="1:2" x14ac:dyDescent="0.25">
      <c r="A19516" s="2">
        <v>19511</v>
      </c>
      <c r="B19516" s="3" t="str">
        <f>"00970576"</f>
        <v>00970576</v>
      </c>
    </row>
    <row r="19517" spans="1:2" x14ac:dyDescent="0.25">
      <c r="A19517" s="2">
        <v>19512</v>
      </c>
      <c r="B19517" s="3" t="str">
        <f>"00970603"</f>
        <v>00970603</v>
      </c>
    </row>
    <row r="19518" spans="1:2" x14ac:dyDescent="0.25">
      <c r="A19518" s="2">
        <v>19513</v>
      </c>
      <c r="B19518" s="3" t="str">
        <f>"00970671"</f>
        <v>00970671</v>
      </c>
    </row>
    <row r="19519" spans="1:2" x14ac:dyDescent="0.25">
      <c r="A19519" s="2">
        <v>19514</v>
      </c>
      <c r="B19519" s="3" t="str">
        <f>"00970713"</f>
        <v>00970713</v>
      </c>
    </row>
    <row r="19520" spans="1:2" x14ac:dyDescent="0.25">
      <c r="A19520" s="2">
        <v>19515</v>
      </c>
      <c r="B19520" s="3" t="str">
        <f>"00970735"</f>
        <v>00970735</v>
      </c>
    </row>
    <row r="19521" spans="1:2" x14ac:dyDescent="0.25">
      <c r="A19521" s="2">
        <v>19516</v>
      </c>
      <c r="B19521" s="3" t="str">
        <f>"00970892"</f>
        <v>00970892</v>
      </c>
    </row>
    <row r="19522" spans="1:2" x14ac:dyDescent="0.25">
      <c r="A19522" s="2">
        <v>19517</v>
      </c>
      <c r="B19522" s="3" t="str">
        <f>"00970955"</f>
        <v>00970955</v>
      </c>
    </row>
    <row r="19523" spans="1:2" x14ac:dyDescent="0.25">
      <c r="A19523" s="2">
        <v>19518</v>
      </c>
      <c r="B19523" s="3" t="str">
        <f>"00971013"</f>
        <v>00971013</v>
      </c>
    </row>
    <row r="19524" spans="1:2" x14ac:dyDescent="0.25">
      <c r="A19524" s="2">
        <v>19519</v>
      </c>
      <c r="B19524" s="3" t="str">
        <f>"00971023"</f>
        <v>00971023</v>
      </c>
    </row>
    <row r="19525" spans="1:2" x14ac:dyDescent="0.25">
      <c r="A19525" s="2">
        <v>19520</v>
      </c>
      <c r="B19525" s="3" t="str">
        <f>"00971025"</f>
        <v>00971025</v>
      </c>
    </row>
    <row r="19526" spans="1:2" x14ac:dyDescent="0.25">
      <c r="A19526" s="2">
        <v>19521</v>
      </c>
      <c r="B19526" s="3" t="str">
        <f>"00971068"</f>
        <v>00971068</v>
      </c>
    </row>
    <row r="19527" spans="1:2" x14ac:dyDescent="0.25">
      <c r="A19527" s="2">
        <v>19522</v>
      </c>
      <c r="B19527" s="3" t="str">
        <f>"00971078"</f>
        <v>00971078</v>
      </c>
    </row>
    <row r="19528" spans="1:2" x14ac:dyDescent="0.25">
      <c r="A19528" s="2">
        <v>19523</v>
      </c>
      <c r="B19528" s="3" t="str">
        <f>"00971085"</f>
        <v>00971085</v>
      </c>
    </row>
    <row r="19529" spans="1:2" x14ac:dyDescent="0.25">
      <c r="A19529" s="2">
        <v>19524</v>
      </c>
      <c r="B19529" s="3" t="str">
        <f>"00971105"</f>
        <v>00971105</v>
      </c>
    </row>
    <row r="19530" spans="1:2" x14ac:dyDescent="0.25">
      <c r="A19530" s="2">
        <v>19525</v>
      </c>
      <c r="B19530" s="3" t="str">
        <f>"00971114"</f>
        <v>00971114</v>
      </c>
    </row>
    <row r="19531" spans="1:2" x14ac:dyDescent="0.25">
      <c r="A19531" s="2">
        <v>19526</v>
      </c>
      <c r="B19531" s="3" t="str">
        <f>"00971117"</f>
        <v>00971117</v>
      </c>
    </row>
    <row r="19532" spans="1:2" x14ac:dyDescent="0.25">
      <c r="A19532" s="2">
        <v>19527</v>
      </c>
      <c r="B19532" s="3" t="str">
        <f>"00971184"</f>
        <v>00971184</v>
      </c>
    </row>
    <row r="19533" spans="1:2" x14ac:dyDescent="0.25">
      <c r="A19533" s="2">
        <v>19528</v>
      </c>
      <c r="B19533" s="3" t="str">
        <f>"00971216"</f>
        <v>00971216</v>
      </c>
    </row>
    <row r="19534" spans="1:2" x14ac:dyDescent="0.25">
      <c r="A19534" s="2">
        <v>19529</v>
      </c>
      <c r="B19534" s="3" t="str">
        <f>"00971242"</f>
        <v>00971242</v>
      </c>
    </row>
    <row r="19535" spans="1:2" x14ac:dyDescent="0.25">
      <c r="A19535" s="2">
        <v>19530</v>
      </c>
      <c r="B19535" s="3" t="str">
        <f>"00971304"</f>
        <v>00971304</v>
      </c>
    </row>
    <row r="19536" spans="1:2" x14ac:dyDescent="0.25">
      <c r="A19536" s="2">
        <v>19531</v>
      </c>
      <c r="B19536" s="3" t="str">
        <f>"00971472"</f>
        <v>00971472</v>
      </c>
    </row>
    <row r="19537" spans="1:2" x14ac:dyDescent="0.25">
      <c r="A19537" s="2">
        <v>19532</v>
      </c>
      <c r="B19537" s="3" t="str">
        <f>"00971486"</f>
        <v>00971486</v>
      </c>
    </row>
    <row r="19538" spans="1:2" x14ac:dyDescent="0.25">
      <c r="A19538" s="2">
        <v>19533</v>
      </c>
      <c r="B19538" s="3" t="str">
        <f>"00971537"</f>
        <v>00971537</v>
      </c>
    </row>
    <row r="19539" spans="1:2" x14ac:dyDescent="0.25">
      <c r="A19539" s="2">
        <v>19534</v>
      </c>
      <c r="B19539" s="3" t="str">
        <f>"00971572"</f>
        <v>00971572</v>
      </c>
    </row>
    <row r="19540" spans="1:2" x14ac:dyDescent="0.25">
      <c r="A19540" s="2">
        <v>19535</v>
      </c>
      <c r="B19540" s="3" t="str">
        <f>"00971615"</f>
        <v>00971615</v>
      </c>
    </row>
    <row r="19541" spans="1:2" x14ac:dyDescent="0.25">
      <c r="A19541" s="2">
        <v>19536</v>
      </c>
      <c r="B19541" s="3" t="str">
        <f>"00971697"</f>
        <v>00971697</v>
      </c>
    </row>
    <row r="19542" spans="1:2" x14ac:dyDescent="0.25">
      <c r="A19542" s="2">
        <v>19537</v>
      </c>
      <c r="B19542" s="3" t="str">
        <f>"00971719"</f>
        <v>00971719</v>
      </c>
    </row>
    <row r="19543" spans="1:2" x14ac:dyDescent="0.25">
      <c r="A19543" s="2">
        <v>19538</v>
      </c>
      <c r="B19543" s="3" t="str">
        <f>"00971734"</f>
        <v>00971734</v>
      </c>
    </row>
    <row r="19544" spans="1:2" x14ac:dyDescent="0.25">
      <c r="A19544" s="2">
        <v>19539</v>
      </c>
      <c r="B19544" s="3" t="str">
        <f>"00971869"</f>
        <v>00971869</v>
      </c>
    </row>
    <row r="19545" spans="1:2" x14ac:dyDescent="0.25">
      <c r="A19545" s="2">
        <v>19540</v>
      </c>
      <c r="B19545" s="3" t="str">
        <f>"00971925"</f>
        <v>00971925</v>
      </c>
    </row>
    <row r="19546" spans="1:2" x14ac:dyDescent="0.25">
      <c r="A19546" s="2">
        <v>19541</v>
      </c>
      <c r="B19546" s="3" t="str">
        <f>"00972038"</f>
        <v>00972038</v>
      </c>
    </row>
    <row r="19547" spans="1:2" x14ac:dyDescent="0.25">
      <c r="A19547" s="2">
        <v>19542</v>
      </c>
      <c r="B19547" s="3" t="str">
        <f>"00972165"</f>
        <v>00972165</v>
      </c>
    </row>
    <row r="19548" spans="1:2" x14ac:dyDescent="0.25">
      <c r="A19548" s="2">
        <v>19543</v>
      </c>
      <c r="B19548" s="3" t="str">
        <f>"00972194"</f>
        <v>00972194</v>
      </c>
    </row>
    <row r="19549" spans="1:2" x14ac:dyDescent="0.25">
      <c r="A19549" s="2">
        <v>19544</v>
      </c>
      <c r="B19549" s="3" t="str">
        <f>"00972205"</f>
        <v>00972205</v>
      </c>
    </row>
    <row r="19550" spans="1:2" x14ac:dyDescent="0.25">
      <c r="A19550" s="2">
        <v>19545</v>
      </c>
      <c r="B19550" s="3" t="str">
        <f>"00972240"</f>
        <v>00972240</v>
      </c>
    </row>
    <row r="19551" spans="1:2" x14ac:dyDescent="0.25">
      <c r="A19551" s="2">
        <v>19546</v>
      </c>
      <c r="B19551" s="3" t="str">
        <f>"00972267"</f>
        <v>00972267</v>
      </c>
    </row>
    <row r="19552" spans="1:2" x14ac:dyDescent="0.25">
      <c r="A19552" s="2">
        <v>19547</v>
      </c>
      <c r="B19552" s="3" t="str">
        <f>"00972319"</f>
        <v>00972319</v>
      </c>
    </row>
    <row r="19553" spans="1:2" x14ac:dyDescent="0.25">
      <c r="A19553" s="2">
        <v>19548</v>
      </c>
      <c r="B19553" s="3" t="str">
        <f>"00972372"</f>
        <v>00972372</v>
      </c>
    </row>
    <row r="19554" spans="1:2" x14ac:dyDescent="0.25">
      <c r="A19554" s="2">
        <v>19549</v>
      </c>
      <c r="B19554" s="3" t="str">
        <f>"00972462"</f>
        <v>00972462</v>
      </c>
    </row>
    <row r="19555" spans="1:2" x14ac:dyDescent="0.25">
      <c r="A19555" s="2">
        <v>19550</v>
      </c>
      <c r="B19555" s="3" t="str">
        <f>"00972633"</f>
        <v>00972633</v>
      </c>
    </row>
    <row r="19556" spans="1:2" x14ac:dyDescent="0.25">
      <c r="A19556" s="2">
        <v>19551</v>
      </c>
      <c r="B19556" s="3" t="str">
        <f>"00972677"</f>
        <v>00972677</v>
      </c>
    </row>
    <row r="19557" spans="1:2" x14ac:dyDescent="0.25">
      <c r="A19557" s="2">
        <v>19552</v>
      </c>
      <c r="B19557" s="3" t="str">
        <f>"00972688"</f>
        <v>00972688</v>
      </c>
    </row>
    <row r="19558" spans="1:2" x14ac:dyDescent="0.25">
      <c r="A19558" s="2">
        <v>19553</v>
      </c>
      <c r="B19558" s="3" t="str">
        <f>"00972703"</f>
        <v>00972703</v>
      </c>
    </row>
    <row r="19559" spans="1:2" x14ac:dyDescent="0.25">
      <c r="A19559" s="2">
        <v>19554</v>
      </c>
      <c r="B19559" s="3" t="str">
        <f>"00972720"</f>
        <v>00972720</v>
      </c>
    </row>
    <row r="19560" spans="1:2" x14ac:dyDescent="0.25">
      <c r="A19560" s="2">
        <v>19555</v>
      </c>
      <c r="B19560" s="3" t="str">
        <f>"00972737"</f>
        <v>00972737</v>
      </c>
    </row>
    <row r="19561" spans="1:2" x14ac:dyDescent="0.25">
      <c r="A19561" s="2">
        <v>19556</v>
      </c>
      <c r="B19561" s="3" t="str">
        <f>"00972761"</f>
        <v>00972761</v>
      </c>
    </row>
    <row r="19562" spans="1:2" x14ac:dyDescent="0.25">
      <c r="A19562" s="2">
        <v>19557</v>
      </c>
      <c r="B19562" s="3" t="str">
        <f>"00972796"</f>
        <v>00972796</v>
      </c>
    </row>
    <row r="19563" spans="1:2" x14ac:dyDescent="0.25">
      <c r="A19563" s="2">
        <v>19558</v>
      </c>
      <c r="B19563" s="3" t="str">
        <f>"00972952"</f>
        <v>00972952</v>
      </c>
    </row>
    <row r="19564" spans="1:2" x14ac:dyDescent="0.25">
      <c r="A19564" s="2">
        <v>19559</v>
      </c>
      <c r="B19564" s="3" t="str">
        <f>"00972956"</f>
        <v>00972956</v>
      </c>
    </row>
    <row r="19565" spans="1:2" x14ac:dyDescent="0.25">
      <c r="A19565" s="2">
        <v>19560</v>
      </c>
      <c r="B19565" s="3" t="str">
        <f>"00973014"</f>
        <v>00973014</v>
      </c>
    </row>
    <row r="19566" spans="1:2" x14ac:dyDescent="0.25">
      <c r="A19566" s="2">
        <v>19561</v>
      </c>
      <c r="B19566" s="3" t="str">
        <f>"00973074"</f>
        <v>00973074</v>
      </c>
    </row>
    <row r="19567" spans="1:2" x14ac:dyDescent="0.25">
      <c r="A19567" s="2">
        <v>19562</v>
      </c>
      <c r="B19567" s="3" t="str">
        <f>"00973115"</f>
        <v>00973115</v>
      </c>
    </row>
    <row r="19568" spans="1:2" x14ac:dyDescent="0.25">
      <c r="A19568" s="2">
        <v>19563</v>
      </c>
      <c r="B19568" s="3" t="str">
        <f>"00973128"</f>
        <v>00973128</v>
      </c>
    </row>
    <row r="19569" spans="1:2" x14ac:dyDescent="0.25">
      <c r="A19569" s="2">
        <v>19564</v>
      </c>
      <c r="B19569" s="3" t="str">
        <f>"00973131"</f>
        <v>00973131</v>
      </c>
    </row>
    <row r="19570" spans="1:2" x14ac:dyDescent="0.25">
      <c r="A19570" s="2">
        <v>19565</v>
      </c>
      <c r="B19570" s="3" t="str">
        <f>"00973235"</f>
        <v>00973235</v>
      </c>
    </row>
    <row r="19571" spans="1:2" x14ac:dyDescent="0.25">
      <c r="A19571" s="2">
        <v>19566</v>
      </c>
      <c r="B19571" s="3" t="str">
        <f>"00973237"</f>
        <v>00973237</v>
      </c>
    </row>
    <row r="19572" spans="1:2" x14ac:dyDescent="0.25">
      <c r="A19572" s="2">
        <v>19567</v>
      </c>
      <c r="B19572" s="3" t="str">
        <f>"00973259"</f>
        <v>00973259</v>
      </c>
    </row>
    <row r="19573" spans="1:2" x14ac:dyDescent="0.25">
      <c r="A19573" s="2">
        <v>19568</v>
      </c>
      <c r="B19573" s="3" t="str">
        <f>"00973319"</f>
        <v>00973319</v>
      </c>
    </row>
    <row r="19574" spans="1:2" x14ac:dyDescent="0.25">
      <c r="A19574" s="2">
        <v>19569</v>
      </c>
      <c r="B19574" s="3" t="str">
        <f>"00973390"</f>
        <v>00973390</v>
      </c>
    </row>
    <row r="19575" spans="1:2" x14ac:dyDescent="0.25">
      <c r="A19575" s="2">
        <v>19570</v>
      </c>
      <c r="B19575" s="3" t="str">
        <f>"00973432"</f>
        <v>00973432</v>
      </c>
    </row>
    <row r="19576" spans="1:2" x14ac:dyDescent="0.25">
      <c r="A19576" s="2">
        <v>19571</v>
      </c>
      <c r="B19576" s="3" t="str">
        <f>"00973440"</f>
        <v>00973440</v>
      </c>
    </row>
    <row r="19577" spans="1:2" x14ac:dyDescent="0.25">
      <c r="A19577" s="2">
        <v>19572</v>
      </c>
      <c r="B19577" s="3" t="str">
        <f>"00973490"</f>
        <v>00973490</v>
      </c>
    </row>
    <row r="19578" spans="1:2" x14ac:dyDescent="0.25">
      <c r="A19578" s="2">
        <v>19573</v>
      </c>
      <c r="B19578" s="3" t="str">
        <f>"00973534"</f>
        <v>00973534</v>
      </c>
    </row>
    <row r="19579" spans="1:2" x14ac:dyDescent="0.25">
      <c r="A19579" s="2">
        <v>19574</v>
      </c>
      <c r="B19579" s="3" t="str">
        <f>"00973535"</f>
        <v>00973535</v>
      </c>
    </row>
    <row r="19580" spans="1:2" x14ac:dyDescent="0.25">
      <c r="A19580" s="2">
        <v>19575</v>
      </c>
      <c r="B19580" s="3" t="str">
        <f>"00973599"</f>
        <v>00973599</v>
      </c>
    </row>
    <row r="19581" spans="1:2" x14ac:dyDescent="0.25">
      <c r="A19581" s="2">
        <v>19576</v>
      </c>
      <c r="B19581" s="3" t="str">
        <f>"00973688"</f>
        <v>00973688</v>
      </c>
    </row>
    <row r="19582" spans="1:2" x14ac:dyDescent="0.25">
      <c r="A19582" s="2">
        <v>19577</v>
      </c>
      <c r="B19582" s="3" t="str">
        <f>"00973705"</f>
        <v>00973705</v>
      </c>
    </row>
    <row r="19583" spans="1:2" x14ac:dyDescent="0.25">
      <c r="A19583" s="2">
        <v>19578</v>
      </c>
      <c r="B19583" s="3" t="str">
        <f>"00973836"</f>
        <v>00973836</v>
      </c>
    </row>
    <row r="19584" spans="1:2" x14ac:dyDescent="0.25">
      <c r="A19584" s="2">
        <v>19579</v>
      </c>
      <c r="B19584" s="3" t="str">
        <f>"00973857"</f>
        <v>00973857</v>
      </c>
    </row>
    <row r="19585" spans="1:2" x14ac:dyDescent="0.25">
      <c r="A19585" s="2">
        <v>19580</v>
      </c>
      <c r="B19585" s="3" t="str">
        <f>"00973959"</f>
        <v>00973959</v>
      </c>
    </row>
    <row r="19586" spans="1:2" x14ac:dyDescent="0.25">
      <c r="A19586" s="2">
        <v>19581</v>
      </c>
      <c r="B19586" s="3" t="str">
        <f>"00973978"</f>
        <v>00973978</v>
      </c>
    </row>
    <row r="19587" spans="1:2" x14ac:dyDescent="0.25">
      <c r="A19587" s="2">
        <v>19582</v>
      </c>
      <c r="B19587" s="3" t="str">
        <f>"00973988"</f>
        <v>00973988</v>
      </c>
    </row>
    <row r="19588" spans="1:2" x14ac:dyDescent="0.25">
      <c r="A19588" s="2">
        <v>19583</v>
      </c>
      <c r="B19588" s="3" t="str">
        <f>"00973997"</f>
        <v>00973997</v>
      </c>
    </row>
    <row r="19589" spans="1:2" x14ac:dyDescent="0.25">
      <c r="A19589" s="2">
        <v>19584</v>
      </c>
      <c r="B19589" s="3" t="str">
        <f>"00973998"</f>
        <v>00973998</v>
      </c>
    </row>
    <row r="19590" spans="1:2" x14ac:dyDescent="0.25">
      <c r="A19590" s="2">
        <v>19585</v>
      </c>
      <c r="B19590" s="3" t="str">
        <f>"00974197"</f>
        <v>00974197</v>
      </c>
    </row>
    <row r="19591" spans="1:2" x14ac:dyDescent="0.25">
      <c r="A19591" s="2">
        <v>19586</v>
      </c>
      <c r="B19591" s="3" t="str">
        <f>"00974273"</f>
        <v>00974273</v>
      </c>
    </row>
    <row r="19592" spans="1:2" x14ac:dyDescent="0.25">
      <c r="A19592" s="2">
        <v>19587</v>
      </c>
      <c r="B19592" s="3" t="str">
        <f>"00974356"</f>
        <v>00974356</v>
      </c>
    </row>
    <row r="19593" spans="1:2" x14ac:dyDescent="0.25">
      <c r="A19593" s="2">
        <v>19588</v>
      </c>
      <c r="B19593" s="3" t="str">
        <f>"00974395"</f>
        <v>00974395</v>
      </c>
    </row>
    <row r="19594" spans="1:2" x14ac:dyDescent="0.25">
      <c r="A19594" s="2">
        <v>19589</v>
      </c>
      <c r="B19594" s="3" t="str">
        <f>"00974509"</f>
        <v>00974509</v>
      </c>
    </row>
    <row r="19595" spans="1:2" x14ac:dyDescent="0.25">
      <c r="A19595" s="2">
        <v>19590</v>
      </c>
      <c r="B19595" s="3" t="str">
        <f>"00974549"</f>
        <v>00974549</v>
      </c>
    </row>
    <row r="19596" spans="1:2" x14ac:dyDescent="0.25">
      <c r="A19596" s="2">
        <v>19591</v>
      </c>
      <c r="B19596" s="3" t="str">
        <f>"00974580"</f>
        <v>00974580</v>
      </c>
    </row>
    <row r="19597" spans="1:2" x14ac:dyDescent="0.25">
      <c r="A19597" s="2">
        <v>19592</v>
      </c>
      <c r="B19597" s="3" t="str">
        <f>"00974621"</f>
        <v>00974621</v>
      </c>
    </row>
    <row r="19598" spans="1:2" x14ac:dyDescent="0.25">
      <c r="A19598" s="2">
        <v>19593</v>
      </c>
      <c r="B19598" s="3" t="str">
        <f>"00974622"</f>
        <v>00974622</v>
      </c>
    </row>
    <row r="19599" spans="1:2" x14ac:dyDescent="0.25">
      <c r="A19599" s="2">
        <v>19594</v>
      </c>
      <c r="B19599" s="3" t="str">
        <f>"00974648"</f>
        <v>00974648</v>
      </c>
    </row>
    <row r="19600" spans="1:2" x14ac:dyDescent="0.25">
      <c r="A19600" s="2">
        <v>19595</v>
      </c>
      <c r="B19600" s="3" t="str">
        <f>"00974661"</f>
        <v>00974661</v>
      </c>
    </row>
    <row r="19601" spans="1:2" x14ac:dyDescent="0.25">
      <c r="A19601" s="2">
        <v>19596</v>
      </c>
      <c r="B19601" s="3" t="str">
        <f>"00974704"</f>
        <v>00974704</v>
      </c>
    </row>
    <row r="19602" spans="1:2" x14ac:dyDescent="0.25">
      <c r="A19602" s="2">
        <v>19597</v>
      </c>
      <c r="B19602" s="3" t="str">
        <f>"00974709"</f>
        <v>00974709</v>
      </c>
    </row>
    <row r="19603" spans="1:2" x14ac:dyDescent="0.25">
      <c r="A19603" s="2">
        <v>19598</v>
      </c>
      <c r="B19603" s="3" t="str">
        <f>"00974726"</f>
        <v>00974726</v>
      </c>
    </row>
    <row r="19604" spans="1:2" x14ac:dyDescent="0.25">
      <c r="A19604" s="2">
        <v>19599</v>
      </c>
      <c r="B19604" s="3" t="str">
        <f>"00974819"</f>
        <v>00974819</v>
      </c>
    </row>
    <row r="19605" spans="1:2" x14ac:dyDescent="0.25">
      <c r="A19605" s="2">
        <v>19600</v>
      </c>
      <c r="B19605" s="3" t="str">
        <f>"00974841"</f>
        <v>00974841</v>
      </c>
    </row>
    <row r="19606" spans="1:2" x14ac:dyDescent="0.25">
      <c r="A19606" s="2">
        <v>19601</v>
      </c>
      <c r="B19606" s="3" t="str">
        <f>"00974860"</f>
        <v>00974860</v>
      </c>
    </row>
    <row r="19607" spans="1:2" x14ac:dyDescent="0.25">
      <c r="A19607" s="2">
        <v>19602</v>
      </c>
      <c r="B19607" s="3" t="str">
        <f>"00974861"</f>
        <v>00974861</v>
      </c>
    </row>
    <row r="19608" spans="1:2" x14ac:dyDescent="0.25">
      <c r="A19608" s="2">
        <v>19603</v>
      </c>
      <c r="B19608" s="3" t="str">
        <f>"00974921"</f>
        <v>00974921</v>
      </c>
    </row>
    <row r="19609" spans="1:2" x14ac:dyDescent="0.25">
      <c r="A19609" s="2">
        <v>19604</v>
      </c>
      <c r="B19609" s="3" t="str">
        <f>"00974945"</f>
        <v>00974945</v>
      </c>
    </row>
    <row r="19610" spans="1:2" x14ac:dyDescent="0.25">
      <c r="A19610" s="2">
        <v>19605</v>
      </c>
      <c r="B19610" s="3" t="str">
        <f>"00974953"</f>
        <v>00974953</v>
      </c>
    </row>
    <row r="19611" spans="1:2" x14ac:dyDescent="0.25">
      <c r="A19611" s="2">
        <v>19606</v>
      </c>
      <c r="B19611" s="3" t="str">
        <f>"00974972"</f>
        <v>00974972</v>
      </c>
    </row>
    <row r="19612" spans="1:2" x14ac:dyDescent="0.25">
      <c r="A19612" s="2">
        <v>19607</v>
      </c>
      <c r="B19612" s="3" t="str">
        <f>"00975042"</f>
        <v>00975042</v>
      </c>
    </row>
    <row r="19613" spans="1:2" x14ac:dyDescent="0.25">
      <c r="A19613" s="2">
        <v>19608</v>
      </c>
      <c r="B19613" s="3" t="str">
        <f>"00975053"</f>
        <v>00975053</v>
      </c>
    </row>
    <row r="19614" spans="1:2" x14ac:dyDescent="0.25">
      <c r="A19614" s="2">
        <v>19609</v>
      </c>
      <c r="B19614" s="3" t="str">
        <f>"00975193"</f>
        <v>00975193</v>
      </c>
    </row>
    <row r="19615" spans="1:2" x14ac:dyDescent="0.25">
      <c r="A19615" s="2">
        <v>19610</v>
      </c>
      <c r="B19615" s="3" t="str">
        <f>"00975196"</f>
        <v>00975196</v>
      </c>
    </row>
    <row r="19616" spans="1:2" x14ac:dyDescent="0.25">
      <c r="A19616" s="2">
        <v>19611</v>
      </c>
      <c r="B19616" s="3" t="str">
        <f>"00975220"</f>
        <v>00975220</v>
      </c>
    </row>
    <row r="19617" spans="1:2" x14ac:dyDescent="0.25">
      <c r="A19617" s="2">
        <v>19612</v>
      </c>
      <c r="B19617" s="3" t="str">
        <f>"00975241"</f>
        <v>00975241</v>
      </c>
    </row>
    <row r="19618" spans="1:2" x14ac:dyDescent="0.25">
      <c r="A19618" s="2">
        <v>19613</v>
      </c>
      <c r="B19618" s="3" t="str">
        <f>"00975258"</f>
        <v>00975258</v>
      </c>
    </row>
    <row r="19619" spans="1:2" x14ac:dyDescent="0.25">
      <c r="A19619" s="2">
        <v>19614</v>
      </c>
      <c r="B19619" s="3" t="str">
        <f>"00975325"</f>
        <v>00975325</v>
      </c>
    </row>
    <row r="19620" spans="1:2" x14ac:dyDescent="0.25">
      <c r="A19620" s="2">
        <v>19615</v>
      </c>
      <c r="B19620" s="3" t="str">
        <f>"00975487"</f>
        <v>00975487</v>
      </c>
    </row>
    <row r="19621" spans="1:2" x14ac:dyDescent="0.25">
      <c r="A19621" s="2">
        <v>19616</v>
      </c>
      <c r="B19621" s="3" t="str">
        <f>"00975492"</f>
        <v>00975492</v>
      </c>
    </row>
    <row r="19622" spans="1:2" x14ac:dyDescent="0.25">
      <c r="A19622" s="2">
        <v>19617</v>
      </c>
      <c r="B19622" s="3" t="str">
        <f>"00975507"</f>
        <v>00975507</v>
      </c>
    </row>
    <row r="19623" spans="1:2" x14ac:dyDescent="0.25">
      <c r="A19623" s="2">
        <v>19618</v>
      </c>
      <c r="B19623" s="3" t="str">
        <f>"00975518"</f>
        <v>00975518</v>
      </c>
    </row>
    <row r="19624" spans="1:2" x14ac:dyDescent="0.25">
      <c r="A19624" s="2">
        <v>19619</v>
      </c>
      <c r="B19624" s="3" t="str">
        <f>"00975607"</f>
        <v>00975607</v>
      </c>
    </row>
    <row r="19625" spans="1:2" x14ac:dyDescent="0.25">
      <c r="A19625" s="2">
        <v>19620</v>
      </c>
      <c r="B19625" s="3" t="str">
        <f>"00975624"</f>
        <v>00975624</v>
      </c>
    </row>
    <row r="19626" spans="1:2" x14ac:dyDescent="0.25">
      <c r="A19626" s="2">
        <v>19621</v>
      </c>
      <c r="B19626" s="3" t="str">
        <f>"00975625"</f>
        <v>00975625</v>
      </c>
    </row>
    <row r="19627" spans="1:2" x14ac:dyDescent="0.25">
      <c r="A19627" s="2">
        <v>19622</v>
      </c>
      <c r="B19627" s="3" t="str">
        <f>"00975638"</f>
        <v>00975638</v>
      </c>
    </row>
    <row r="19628" spans="1:2" x14ac:dyDescent="0.25">
      <c r="A19628" s="2">
        <v>19623</v>
      </c>
      <c r="B19628" s="3" t="str">
        <f>"00975652"</f>
        <v>00975652</v>
      </c>
    </row>
    <row r="19629" spans="1:2" x14ac:dyDescent="0.25">
      <c r="A19629" s="2">
        <v>19624</v>
      </c>
      <c r="B19629" s="3" t="str">
        <f>"00975660"</f>
        <v>00975660</v>
      </c>
    </row>
    <row r="19630" spans="1:2" x14ac:dyDescent="0.25">
      <c r="A19630" s="2">
        <v>19625</v>
      </c>
      <c r="B19630" s="3" t="str">
        <f>"00975681"</f>
        <v>00975681</v>
      </c>
    </row>
    <row r="19631" spans="1:2" x14ac:dyDescent="0.25">
      <c r="A19631" s="2">
        <v>19626</v>
      </c>
      <c r="B19631" s="3" t="str">
        <f>"00975696"</f>
        <v>00975696</v>
      </c>
    </row>
    <row r="19632" spans="1:2" x14ac:dyDescent="0.25">
      <c r="A19632" s="2">
        <v>19627</v>
      </c>
      <c r="B19632" s="3" t="str">
        <f>"00975706"</f>
        <v>00975706</v>
      </c>
    </row>
    <row r="19633" spans="1:2" x14ac:dyDescent="0.25">
      <c r="A19633" s="2">
        <v>19628</v>
      </c>
      <c r="B19633" s="3" t="str">
        <f>"00975764"</f>
        <v>00975764</v>
      </c>
    </row>
    <row r="19634" spans="1:2" x14ac:dyDescent="0.25">
      <c r="A19634" s="2">
        <v>19629</v>
      </c>
      <c r="B19634" s="3" t="str">
        <f>"00975774"</f>
        <v>00975774</v>
      </c>
    </row>
    <row r="19635" spans="1:2" x14ac:dyDescent="0.25">
      <c r="A19635" s="2">
        <v>19630</v>
      </c>
      <c r="B19635" s="3" t="str">
        <f>"00975778"</f>
        <v>00975778</v>
      </c>
    </row>
    <row r="19636" spans="1:2" x14ac:dyDescent="0.25">
      <c r="A19636" s="2">
        <v>19631</v>
      </c>
      <c r="B19636" s="3" t="str">
        <f>"00975783"</f>
        <v>00975783</v>
      </c>
    </row>
    <row r="19637" spans="1:2" x14ac:dyDescent="0.25">
      <c r="A19637" s="2">
        <v>19632</v>
      </c>
      <c r="B19637" s="3" t="str">
        <f>"00975797"</f>
        <v>00975797</v>
      </c>
    </row>
    <row r="19638" spans="1:2" x14ac:dyDescent="0.25">
      <c r="A19638" s="2">
        <v>19633</v>
      </c>
      <c r="B19638" s="3" t="str">
        <f>"00975816"</f>
        <v>00975816</v>
      </c>
    </row>
    <row r="19639" spans="1:2" x14ac:dyDescent="0.25">
      <c r="A19639" s="2">
        <v>19634</v>
      </c>
      <c r="B19639" s="3" t="str">
        <f>"00975847"</f>
        <v>00975847</v>
      </c>
    </row>
    <row r="19640" spans="1:2" x14ac:dyDescent="0.25">
      <c r="A19640" s="2">
        <v>19635</v>
      </c>
      <c r="B19640" s="3" t="str">
        <f>"00975851"</f>
        <v>00975851</v>
      </c>
    </row>
    <row r="19641" spans="1:2" x14ac:dyDescent="0.25">
      <c r="A19641" s="2">
        <v>19636</v>
      </c>
      <c r="B19641" s="3" t="str">
        <f>"00975950"</f>
        <v>00975950</v>
      </c>
    </row>
    <row r="19642" spans="1:2" x14ac:dyDescent="0.25">
      <c r="A19642" s="2">
        <v>19637</v>
      </c>
      <c r="B19642" s="3" t="str">
        <f>"00975976"</f>
        <v>00975976</v>
      </c>
    </row>
    <row r="19643" spans="1:2" x14ac:dyDescent="0.25">
      <c r="A19643" s="2">
        <v>19638</v>
      </c>
      <c r="B19643" s="3" t="str">
        <f>"00975977"</f>
        <v>00975977</v>
      </c>
    </row>
    <row r="19644" spans="1:2" x14ac:dyDescent="0.25">
      <c r="A19644" s="2">
        <v>19639</v>
      </c>
      <c r="B19644" s="3" t="str">
        <f>"00975985"</f>
        <v>00975985</v>
      </c>
    </row>
    <row r="19645" spans="1:2" x14ac:dyDescent="0.25">
      <c r="A19645" s="2">
        <v>19640</v>
      </c>
      <c r="B19645" s="3" t="str">
        <f>"00976017"</f>
        <v>00976017</v>
      </c>
    </row>
    <row r="19646" spans="1:2" x14ac:dyDescent="0.25">
      <c r="A19646" s="2">
        <v>19641</v>
      </c>
      <c r="B19646" s="3" t="str">
        <f>"00976049"</f>
        <v>00976049</v>
      </c>
    </row>
    <row r="19647" spans="1:2" x14ac:dyDescent="0.25">
      <c r="A19647" s="2">
        <v>19642</v>
      </c>
      <c r="B19647" s="3" t="str">
        <f>"00976093"</f>
        <v>00976093</v>
      </c>
    </row>
    <row r="19648" spans="1:2" x14ac:dyDescent="0.25">
      <c r="A19648" s="2">
        <v>19643</v>
      </c>
      <c r="B19648" s="3" t="str">
        <f>"00976167"</f>
        <v>00976167</v>
      </c>
    </row>
    <row r="19649" spans="1:2" x14ac:dyDescent="0.25">
      <c r="A19649" s="2">
        <v>19644</v>
      </c>
      <c r="B19649" s="3" t="str">
        <f>"00976177"</f>
        <v>00976177</v>
      </c>
    </row>
    <row r="19650" spans="1:2" x14ac:dyDescent="0.25">
      <c r="A19650" s="2">
        <v>19645</v>
      </c>
      <c r="B19650" s="3" t="str">
        <f>"00976196"</f>
        <v>00976196</v>
      </c>
    </row>
    <row r="19651" spans="1:2" x14ac:dyDescent="0.25">
      <c r="A19651" s="2">
        <v>19646</v>
      </c>
      <c r="B19651" s="3" t="str">
        <f>"00976197"</f>
        <v>00976197</v>
      </c>
    </row>
    <row r="19652" spans="1:2" x14ac:dyDescent="0.25">
      <c r="A19652" s="2">
        <v>19647</v>
      </c>
      <c r="B19652" s="3" t="str">
        <f>"00976260"</f>
        <v>00976260</v>
      </c>
    </row>
    <row r="19653" spans="1:2" x14ac:dyDescent="0.25">
      <c r="A19653" s="2">
        <v>19648</v>
      </c>
      <c r="B19653" s="3" t="str">
        <f>"00976268"</f>
        <v>00976268</v>
      </c>
    </row>
    <row r="19654" spans="1:2" x14ac:dyDescent="0.25">
      <c r="A19654" s="2">
        <v>19649</v>
      </c>
      <c r="B19654" s="3" t="str">
        <f>"00976322"</f>
        <v>00976322</v>
      </c>
    </row>
    <row r="19655" spans="1:2" x14ac:dyDescent="0.25">
      <c r="A19655" s="2">
        <v>19650</v>
      </c>
      <c r="B19655" s="3" t="str">
        <f>"00976352"</f>
        <v>00976352</v>
      </c>
    </row>
    <row r="19656" spans="1:2" x14ac:dyDescent="0.25">
      <c r="A19656" s="2">
        <v>19651</v>
      </c>
      <c r="B19656" s="3" t="str">
        <f>"00976437"</f>
        <v>00976437</v>
      </c>
    </row>
    <row r="19657" spans="1:2" x14ac:dyDescent="0.25">
      <c r="A19657" s="2">
        <v>19652</v>
      </c>
      <c r="B19657" s="3" t="str">
        <f>"00976516"</f>
        <v>00976516</v>
      </c>
    </row>
    <row r="19658" spans="1:2" x14ac:dyDescent="0.25">
      <c r="A19658" s="2">
        <v>19653</v>
      </c>
      <c r="B19658" s="3" t="str">
        <f>"00976531"</f>
        <v>00976531</v>
      </c>
    </row>
    <row r="19659" spans="1:2" x14ac:dyDescent="0.25">
      <c r="A19659" s="2">
        <v>19654</v>
      </c>
      <c r="B19659" s="3" t="str">
        <f>"00976615"</f>
        <v>00976615</v>
      </c>
    </row>
    <row r="19660" spans="1:2" x14ac:dyDescent="0.25">
      <c r="A19660" s="2">
        <v>19655</v>
      </c>
      <c r="B19660" s="3" t="str">
        <f>"00976646"</f>
        <v>00976646</v>
      </c>
    </row>
    <row r="19661" spans="1:2" x14ac:dyDescent="0.25">
      <c r="A19661" s="2">
        <v>19656</v>
      </c>
      <c r="B19661" s="3" t="str">
        <f>"00976688"</f>
        <v>00976688</v>
      </c>
    </row>
    <row r="19662" spans="1:2" x14ac:dyDescent="0.25">
      <c r="A19662" s="2">
        <v>19657</v>
      </c>
      <c r="B19662" s="3" t="str">
        <f>"00976719"</f>
        <v>00976719</v>
      </c>
    </row>
    <row r="19663" spans="1:2" x14ac:dyDescent="0.25">
      <c r="A19663" s="2">
        <v>19658</v>
      </c>
      <c r="B19663" s="3" t="str">
        <f>"00976783"</f>
        <v>00976783</v>
      </c>
    </row>
    <row r="19664" spans="1:2" x14ac:dyDescent="0.25">
      <c r="A19664" s="2">
        <v>19659</v>
      </c>
      <c r="B19664" s="3" t="str">
        <f>"00976905"</f>
        <v>00976905</v>
      </c>
    </row>
    <row r="19665" spans="1:2" x14ac:dyDescent="0.25">
      <c r="A19665" s="2">
        <v>19660</v>
      </c>
      <c r="B19665" s="3" t="str">
        <f>"00976915"</f>
        <v>00976915</v>
      </c>
    </row>
    <row r="19666" spans="1:2" x14ac:dyDescent="0.25">
      <c r="A19666" s="2">
        <v>19661</v>
      </c>
      <c r="B19666" s="3" t="str">
        <f>"00976952"</f>
        <v>00976952</v>
      </c>
    </row>
    <row r="19667" spans="1:2" x14ac:dyDescent="0.25">
      <c r="A19667" s="2">
        <v>19662</v>
      </c>
      <c r="B19667" s="3" t="str">
        <f>"00976955"</f>
        <v>00976955</v>
      </c>
    </row>
    <row r="19668" spans="1:2" x14ac:dyDescent="0.25">
      <c r="A19668" s="2">
        <v>19663</v>
      </c>
      <c r="B19668" s="3" t="str">
        <f>"00976956"</f>
        <v>00976956</v>
      </c>
    </row>
    <row r="19669" spans="1:2" x14ac:dyDescent="0.25">
      <c r="A19669" s="2">
        <v>19664</v>
      </c>
      <c r="B19669" s="3" t="str">
        <f>"00976995"</f>
        <v>00976995</v>
      </c>
    </row>
    <row r="19670" spans="1:2" x14ac:dyDescent="0.25">
      <c r="A19670" s="2">
        <v>19665</v>
      </c>
      <c r="B19670" s="3" t="str">
        <f>"00977061"</f>
        <v>00977061</v>
      </c>
    </row>
    <row r="19671" spans="1:2" x14ac:dyDescent="0.25">
      <c r="A19671" s="2">
        <v>19666</v>
      </c>
      <c r="B19671" s="3" t="str">
        <f>"00977092"</f>
        <v>00977092</v>
      </c>
    </row>
    <row r="19672" spans="1:2" x14ac:dyDescent="0.25">
      <c r="A19672" s="2">
        <v>19667</v>
      </c>
      <c r="B19672" s="3" t="str">
        <f>"00977111"</f>
        <v>00977111</v>
      </c>
    </row>
    <row r="19673" spans="1:2" x14ac:dyDescent="0.25">
      <c r="A19673" s="2">
        <v>19668</v>
      </c>
      <c r="B19673" s="3" t="str">
        <f>"00977118"</f>
        <v>00977118</v>
      </c>
    </row>
    <row r="19674" spans="1:2" x14ac:dyDescent="0.25">
      <c r="A19674" s="2">
        <v>19669</v>
      </c>
      <c r="B19674" s="3" t="str">
        <f>"00977122"</f>
        <v>00977122</v>
      </c>
    </row>
    <row r="19675" spans="1:2" x14ac:dyDescent="0.25">
      <c r="A19675" s="2">
        <v>19670</v>
      </c>
      <c r="B19675" s="3" t="str">
        <f>"00977173"</f>
        <v>00977173</v>
      </c>
    </row>
    <row r="19676" spans="1:2" x14ac:dyDescent="0.25">
      <c r="A19676" s="2">
        <v>19671</v>
      </c>
      <c r="B19676" s="3" t="str">
        <f>"00977194"</f>
        <v>00977194</v>
      </c>
    </row>
    <row r="19677" spans="1:2" x14ac:dyDescent="0.25">
      <c r="A19677" s="2">
        <v>19672</v>
      </c>
      <c r="B19677" s="3" t="str">
        <f>"00977199"</f>
        <v>00977199</v>
      </c>
    </row>
    <row r="19678" spans="1:2" x14ac:dyDescent="0.25">
      <c r="A19678" s="2">
        <v>19673</v>
      </c>
      <c r="B19678" s="3" t="str">
        <f>"00977210"</f>
        <v>00977210</v>
      </c>
    </row>
    <row r="19679" spans="1:2" x14ac:dyDescent="0.25">
      <c r="A19679" s="2">
        <v>19674</v>
      </c>
      <c r="B19679" s="3" t="str">
        <f>"00977334"</f>
        <v>00977334</v>
      </c>
    </row>
    <row r="19680" spans="1:2" x14ac:dyDescent="0.25">
      <c r="A19680" s="2">
        <v>19675</v>
      </c>
      <c r="B19680" s="3" t="str">
        <f>"00977344"</f>
        <v>00977344</v>
      </c>
    </row>
    <row r="19681" spans="1:2" x14ac:dyDescent="0.25">
      <c r="A19681" s="2">
        <v>19676</v>
      </c>
      <c r="B19681" s="3" t="str">
        <f>"00977409"</f>
        <v>00977409</v>
      </c>
    </row>
    <row r="19682" spans="1:2" x14ac:dyDescent="0.25">
      <c r="A19682" s="2">
        <v>19677</v>
      </c>
      <c r="B19682" s="3" t="str">
        <f>"00977466"</f>
        <v>00977466</v>
      </c>
    </row>
    <row r="19683" spans="1:2" x14ac:dyDescent="0.25">
      <c r="A19683" s="2">
        <v>19678</v>
      </c>
      <c r="B19683" s="3" t="str">
        <f>"00977467"</f>
        <v>00977467</v>
      </c>
    </row>
    <row r="19684" spans="1:2" x14ac:dyDescent="0.25">
      <c r="A19684" s="2">
        <v>19679</v>
      </c>
      <c r="B19684" s="3" t="str">
        <f>"00977468"</f>
        <v>00977468</v>
      </c>
    </row>
    <row r="19685" spans="1:2" x14ac:dyDescent="0.25">
      <c r="A19685" s="2">
        <v>19680</v>
      </c>
      <c r="B19685" s="3" t="str">
        <f>"00977482"</f>
        <v>00977482</v>
      </c>
    </row>
    <row r="19686" spans="1:2" x14ac:dyDescent="0.25">
      <c r="A19686" s="2">
        <v>19681</v>
      </c>
      <c r="B19686" s="3" t="str">
        <f>"00977553"</f>
        <v>00977553</v>
      </c>
    </row>
    <row r="19687" spans="1:2" x14ac:dyDescent="0.25">
      <c r="A19687" s="2">
        <v>19682</v>
      </c>
      <c r="B19687" s="3" t="str">
        <f>"00977627"</f>
        <v>00977627</v>
      </c>
    </row>
    <row r="19688" spans="1:2" x14ac:dyDescent="0.25">
      <c r="A19688" s="2">
        <v>19683</v>
      </c>
      <c r="B19688" s="3" t="str">
        <f>"00977636"</f>
        <v>00977636</v>
      </c>
    </row>
    <row r="19689" spans="1:2" x14ac:dyDescent="0.25">
      <c r="A19689" s="2">
        <v>19684</v>
      </c>
      <c r="B19689" s="3" t="str">
        <f>"00977676"</f>
        <v>00977676</v>
      </c>
    </row>
    <row r="19690" spans="1:2" x14ac:dyDescent="0.25">
      <c r="A19690" s="2">
        <v>19685</v>
      </c>
      <c r="B19690" s="3" t="str">
        <f>"00977724"</f>
        <v>00977724</v>
      </c>
    </row>
    <row r="19691" spans="1:2" x14ac:dyDescent="0.25">
      <c r="A19691" s="2">
        <v>19686</v>
      </c>
      <c r="B19691" s="3" t="str">
        <f>"00977753"</f>
        <v>00977753</v>
      </c>
    </row>
    <row r="19692" spans="1:2" x14ac:dyDescent="0.25">
      <c r="A19692" s="2">
        <v>19687</v>
      </c>
      <c r="B19692" s="3" t="str">
        <f>"00977782"</f>
        <v>00977782</v>
      </c>
    </row>
    <row r="19693" spans="1:2" x14ac:dyDescent="0.25">
      <c r="A19693" s="2">
        <v>19688</v>
      </c>
      <c r="B19693" s="3" t="str">
        <f>"00977886"</f>
        <v>00977886</v>
      </c>
    </row>
    <row r="19694" spans="1:2" x14ac:dyDescent="0.25">
      <c r="A19694" s="2">
        <v>19689</v>
      </c>
      <c r="B19694" s="3" t="str">
        <f>"00977948"</f>
        <v>00977948</v>
      </c>
    </row>
    <row r="19695" spans="1:2" x14ac:dyDescent="0.25">
      <c r="A19695" s="2">
        <v>19690</v>
      </c>
      <c r="B19695" s="3" t="str">
        <f>"00977957"</f>
        <v>00977957</v>
      </c>
    </row>
    <row r="19696" spans="1:2" x14ac:dyDescent="0.25">
      <c r="A19696" s="2">
        <v>19691</v>
      </c>
      <c r="B19696" s="3" t="str">
        <f>"00977970"</f>
        <v>00977970</v>
      </c>
    </row>
    <row r="19697" spans="1:2" x14ac:dyDescent="0.25">
      <c r="A19697" s="2">
        <v>19692</v>
      </c>
      <c r="B19697" s="3" t="str">
        <f>"00977979"</f>
        <v>00977979</v>
      </c>
    </row>
    <row r="19698" spans="1:2" x14ac:dyDescent="0.25">
      <c r="A19698" s="2">
        <v>19693</v>
      </c>
      <c r="B19698" s="3" t="str">
        <f>"00978005"</f>
        <v>00978005</v>
      </c>
    </row>
    <row r="19699" spans="1:2" x14ac:dyDescent="0.25">
      <c r="A19699" s="2">
        <v>19694</v>
      </c>
      <c r="B19699" s="3" t="str">
        <f>"00978062"</f>
        <v>00978062</v>
      </c>
    </row>
    <row r="19700" spans="1:2" x14ac:dyDescent="0.25">
      <c r="A19700" s="2">
        <v>19695</v>
      </c>
      <c r="B19700" s="3" t="str">
        <f>"00978097"</f>
        <v>00978097</v>
      </c>
    </row>
    <row r="19701" spans="1:2" x14ac:dyDescent="0.25">
      <c r="A19701" s="2">
        <v>19696</v>
      </c>
      <c r="B19701" s="3" t="str">
        <f>"00978160"</f>
        <v>00978160</v>
      </c>
    </row>
    <row r="19702" spans="1:2" x14ac:dyDescent="0.25">
      <c r="A19702" s="2">
        <v>19697</v>
      </c>
      <c r="B19702" s="3" t="str">
        <f>"00978212"</f>
        <v>00978212</v>
      </c>
    </row>
    <row r="19703" spans="1:2" x14ac:dyDescent="0.25">
      <c r="A19703" s="2">
        <v>19698</v>
      </c>
      <c r="B19703" s="3" t="str">
        <f>"00978217"</f>
        <v>00978217</v>
      </c>
    </row>
    <row r="19704" spans="1:2" x14ac:dyDescent="0.25">
      <c r="A19704" s="2">
        <v>19699</v>
      </c>
      <c r="B19704" s="3" t="str">
        <f>"00978236"</f>
        <v>00978236</v>
      </c>
    </row>
    <row r="19705" spans="1:2" x14ac:dyDescent="0.25">
      <c r="A19705" s="2">
        <v>19700</v>
      </c>
      <c r="B19705" s="3" t="str">
        <f>"00978261"</f>
        <v>00978261</v>
      </c>
    </row>
    <row r="19706" spans="1:2" x14ac:dyDescent="0.25">
      <c r="A19706" s="2">
        <v>19701</v>
      </c>
      <c r="B19706" s="3" t="str">
        <f>"00978273"</f>
        <v>00978273</v>
      </c>
    </row>
    <row r="19707" spans="1:2" x14ac:dyDescent="0.25">
      <c r="A19707" s="2">
        <v>19702</v>
      </c>
      <c r="B19707" s="3" t="str">
        <f>"00978341"</f>
        <v>00978341</v>
      </c>
    </row>
    <row r="19708" spans="1:2" x14ac:dyDescent="0.25">
      <c r="A19708" s="2">
        <v>19703</v>
      </c>
      <c r="B19708" s="3" t="str">
        <f>"00978356"</f>
        <v>00978356</v>
      </c>
    </row>
    <row r="19709" spans="1:2" x14ac:dyDescent="0.25">
      <c r="A19709" s="2">
        <v>19704</v>
      </c>
      <c r="B19709" s="3" t="str">
        <f>"00978378"</f>
        <v>00978378</v>
      </c>
    </row>
    <row r="19710" spans="1:2" x14ac:dyDescent="0.25">
      <c r="A19710" s="2">
        <v>19705</v>
      </c>
      <c r="B19710" s="3" t="str">
        <f>"00978446"</f>
        <v>00978446</v>
      </c>
    </row>
    <row r="19711" spans="1:2" x14ac:dyDescent="0.25">
      <c r="A19711" s="2">
        <v>19706</v>
      </c>
      <c r="B19711" s="3" t="str">
        <f>"00978494"</f>
        <v>00978494</v>
      </c>
    </row>
    <row r="19712" spans="1:2" x14ac:dyDescent="0.25">
      <c r="A19712" s="2">
        <v>19707</v>
      </c>
      <c r="B19712" s="3" t="str">
        <f>"00978594"</f>
        <v>00978594</v>
      </c>
    </row>
    <row r="19713" spans="1:2" x14ac:dyDescent="0.25">
      <c r="A19713" s="2">
        <v>19708</v>
      </c>
      <c r="B19713" s="3" t="str">
        <f>"00978627"</f>
        <v>00978627</v>
      </c>
    </row>
    <row r="19714" spans="1:2" x14ac:dyDescent="0.25">
      <c r="A19714" s="2">
        <v>19709</v>
      </c>
      <c r="B19714" s="3" t="str">
        <f>"00978666"</f>
        <v>00978666</v>
      </c>
    </row>
    <row r="19715" spans="1:2" x14ac:dyDescent="0.25">
      <c r="A19715" s="2">
        <v>19710</v>
      </c>
      <c r="B19715" s="3" t="str">
        <f>"00978714"</f>
        <v>00978714</v>
      </c>
    </row>
    <row r="19716" spans="1:2" x14ac:dyDescent="0.25">
      <c r="A19716" s="2">
        <v>19711</v>
      </c>
      <c r="B19716" s="3" t="str">
        <f>"00978746"</f>
        <v>00978746</v>
      </c>
    </row>
    <row r="19717" spans="1:2" x14ac:dyDescent="0.25">
      <c r="A19717" s="2">
        <v>19712</v>
      </c>
      <c r="B19717" s="3" t="str">
        <f>"00978784"</f>
        <v>00978784</v>
      </c>
    </row>
    <row r="19718" spans="1:2" x14ac:dyDescent="0.25">
      <c r="A19718" s="2">
        <v>19713</v>
      </c>
      <c r="B19718" s="3" t="str">
        <f>"00978797"</f>
        <v>00978797</v>
      </c>
    </row>
    <row r="19719" spans="1:2" x14ac:dyDescent="0.25">
      <c r="A19719" s="2">
        <v>19714</v>
      </c>
      <c r="B19719" s="3" t="str">
        <f>"00978827"</f>
        <v>00978827</v>
      </c>
    </row>
    <row r="19720" spans="1:2" x14ac:dyDescent="0.25">
      <c r="A19720" s="2">
        <v>19715</v>
      </c>
      <c r="B19720" s="3" t="str">
        <f>"00978877"</f>
        <v>00978877</v>
      </c>
    </row>
    <row r="19721" spans="1:2" x14ac:dyDescent="0.25">
      <c r="A19721" s="2">
        <v>19716</v>
      </c>
      <c r="B19721" s="3" t="str">
        <f>"00978890"</f>
        <v>00978890</v>
      </c>
    </row>
    <row r="19722" spans="1:2" x14ac:dyDescent="0.25">
      <c r="A19722" s="2">
        <v>19717</v>
      </c>
      <c r="B19722" s="3" t="str">
        <f>"00978981"</f>
        <v>00978981</v>
      </c>
    </row>
    <row r="19723" spans="1:2" x14ac:dyDescent="0.25">
      <c r="A19723" s="2">
        <v>19718</v>
      </c>
      <c r="B19723" s="3" t="str">
        <f>"00979085"</f>
        <v>00979085</v>
      </c>
    </row>
    <row r="19724" spans="1:2" x14ac:dyDescent="0.25">
      <c r="A19724" s="2">
        <v>19719</v>
      </c>
      <c r="B19724" s="3" t="str">
        <f>"00979107"</f>
        <v>00979107</v>
      </c>
    </row>
    <row r="19725" spans="1:2" x14ac:dyDescent="0.25">
      <c r="A19725" s="2">
        <v>19720</v>
      </c>
      <c r="B19725" s="3" t="str">
        <f>"00979114"</f>
        <v>00979114</v>
      </c>
    </row>
    <row r="19726" spans="1:2" x14ac:dyDescent="0.25">
      <c r="A19726" s="2">
        <v>19721</v>
      </c>
      <c r="B19726" s="3" t="str">
        <f>"00979271"</f>
        <v>00979271</v>
      </c>
    </row>
    <row r="19727" spans="1:2" x14ac:dyDescent="0.25">
      <c r="A19727" s="2">
        <v>19722</v>
      </c>
      <c r="B19727" s="3" t="str">
        <f>"00979276"</f>
        <v>00979276</v>
      </c>
    </row>
    <row r="19728" spans="1:2" x14ac:dyDescent="0.25">
      <c r="A19728" s="2">
        <v>19723</v>
      </c>
      <c r="B19728" s="3" t="str">
        <f>"00979330"</f>
        <v>00979330</v>
      </c>
    </row>
    <row r="19729" spans="1:2" x14ac:dyDescent="0.25">
      <c r="A19729" s="2">
        <v>19724</v>
      </c>
      <c r="B19729" s="3" t="str">
        <f>"00979427"</f>
        <v>00979427</v>
      </c>
    </row>
    <row r="19730" spans="1:2" x14ac:dyDescent="0.25">
      <c r="A19730" s="2">
        <v>19725</v>
      </c>
      <c r="B19730" s="3" t="str">
        <f>"00979497"</f>
        <v>00979497</v>
      </c>
    </row>
    <row r="19731" spans="1:2" x14ac:dyDescent="0.25">
      <c r="A19731" s="2">
        <v>19726</v>
      </c>
      <c r="B19731" s="3" t="str">
        <f>"00979509"</f>
        <v>00979509</v>
      </c>
    </row>
    <row r="19732" spans="1:2" x14ac:dyDescent="0.25">
      <c r="A19732" s="2">
        <v>19727</v>
      </c>
      <c r="B19732" s="3" t="str">
        <f>"00979533"</f>
        <v>00979533</v>
      </c>
    </row>
    <row r="19733" spans="1:2" x14ac:dyDescent="0.25">
      <c r="A19733" s="2">
        <v>19728</v>
      </c>
      <c r="B19733" s="3" t="str">
        <f>"00979683"</f>
        <v>00979683</v>
      </c>
    </row>
    <row r="19734" spans="1:2" x14ac:dyDescent="0.25">
      <c r="A19734" s="2">
        <v>19729</v>
      </c>
      <c r="B19734" s="3" t="str">
        <f>"00979729"</f>
        <v>00979729</v>
      </c>
    </row>
    <row r="19735" spans="1:2" x14ac:dyDescent="0.25">
      <c r="A19735" s="2">
        <v>19730</v>
      </c>
      <c r="B19735" s="3" t="str">
        <f>"00979738"</f>
        <v>00979738</v>
      </c>
    </row>
    <row r="19736" spans="1:2" x14ac:dyDescent="0.25">
      <c r="A19736" s="2">
        <v>19731</v>
      </c>
      <c r="B19736" s="3" t="str">
        <f>"00979776"</f>
        <v>00979776</v>
      </c>
    </row>
    <row r="19737" spans="1:2" x14ac:dyDescent="0.25">
      <c r="A19737" s="2">
        <v>19732</v>
      </c>
      <c r="B19737" s="3" t="str">
        <f>"00979829"</f>
        <v>00979829</v>
      </c>
    </row>
    <row r="19738" spans="1:2" x14ac:dyDescent="0.25">
      <c r="A19738" s="2">
        <v>19733</v>
      </c>
      <c r="B19738" s="3" t="str">
        <f>"00979837"</f>
        <v>00979837</v>
      </c>
    </row>
    <row r="19739" spans="1:2" x14ac:dyDescent="0.25">
      <c r="A19739" s="2">
        <v>19734</v>
      </c>
      <c r="B19739" s="3" t="str">
        <f>"00979853"</f>
        <v>00979853</v>
      </c>
    </row>
    <row r="19740" spans="1:2" x14ac:dyDescent="0.25">
      <c r="A19740" s="2">
        <v>19735</v>
      </c>
      <c r="B19740" s="3" t="str">
        <f>"00979864"</f>
        <v>00979864</v>
      </c>
    </row>
    <row r="19741" spans="1:2" x14ac:dyDescent="0.25">
      <c r="A19741" s="2">
        <v>19736</v>
      </c>
      <c r="B19741" s="3" t="str">
        <f>"00979900"</f>
        <v>00979900</v>
      </c>
    </row>
    <row r="19742" spans="1:2" x14ac:dyDescent="0.25">
      <c r="A19742" s="2">
        <v>19737</v>
      </c>
      <c r="B19742" s="3" t="str">
        <f>"00979966"</f>
        <v>00979966</v>
      </c>
    </row>
    <row r="19743" spans="1:2" x14ac:dyDescent="0.25">
      <c r="A19743" s="2">
        <v>19738</v>
      </c>
      <c r="B19743" s="3" t="str">
        <f>"00979986"</f>
        <v>00979986</v>
      </c>
    </row>
    <row r="19744" spans="1:2" x14ac:dyDescent="0.25">
      <c r="A19744" s="2">
        <v>19739</v>
      </c>
      <c r="B19744" s="3" t="str">
        <f>"00979989"</f>
        <v>00979989</v>
      </c>
    </row>
    <row r="19745" spans="1:2" x14ac:dyDescent="0.25">
      <c r="A19745" s="2">
        <v>19740</v>
      </c>
      <c r="B19745" s="3" t="str">
        <f>"00980001"</f>
        <v>00980001</v>
      </c>
    </row>
    <row r="19746" spans="1:2" x14ac:dyDescent="0.25">
      <c r="A19746" s="2">
        <v>19741</v>
      </c>
      <c r="B19746" s="3" t="str">
        <f>"00980006"</f>
        <v>00980006</v>
      </c>
    </row>
    <row r="19747" spans="1:2" x14ac:dyDescent="0.25">
      <c r="A19747" s="2">
        <v>19742</v>
      </c>
      <c r="B19747" s="3" t="str">
        <f>"00980033"</f>
        <v>00980033</v>
      </c>
    </row>
    <row r="19748" spans="1:2" x14ac:dyDescent="0.25">
      <c r="A19748" s="2">
        <v>19743</v>
      </c>
      <c r="B19748" s="3" t="str">
        <f>"00980035"</f>
        <v>00980035</v>
      </c>
    </row>
    <row r="19749" spans="1:2" x14ac:dyDescent="0.25">
      <c r="A19749" s="2">
        <v>19744</v>
      </c>
      <c r="B19749" s="3" t="str">
        <f>"00980047"</f>
        <v>00980047</v>
      </c>
    </row>
    <row r="19750" spans="1:2" x14ac:dyDescent="0.25">
      <c r="A19750" s="2">
        <v>19745</v>
      </c>
      <c r="B19750" s="3" t="str">
        <f>"00980108"</f>
        <v>00980108</v>
      </c>
    </row>
    <row r="19751" spans="1:2" x14ac:dyDescent="0.25">
      <c r="A19751" s="2">
        <v>19746</v>
      </c>
      <c r="B19751" s="3" t="str">
        <f>"00980113"</f>
        <v>00980113</v>
      </c>
    </row>
    <row r="19752" spans="1:2" x14ac:dyDescent="0.25">
      <c r="A19752" s="2">
        <v>19747</v>
      </c>
      <c r="B19752" s="3" t="str">
        <f>"00980119"</f>
        <v>00980119</v>
      </c>
    </row>
    <row r="19753" spans="1:2" x14ac:dyDescent="0.25">
      <c r="A19753" s="2">
        <v>19748</v>
      </c>
      <c r="B19753" s="3" t="str">
        <f>"00980202"</f>
        <v>00980202</v>
      </c>
    </row>
    <row r="19754" spans="1:2" x14ac:dyDescent="0.25">
      <c r="A19754" s="2">
        <v>19749</v>
      </c>
      <c r="B19754" s="3" t="str">
        <f>"00980226"</f>
        <v>00980226</v>
      </c>
    </row>
    <row r="19755" spans="1:2" x14ac:dyDescent="0.25">
      <c r="A19755" s="2">
        <v>19750</v>
      </c>
      <c r="B19755" s="3" t="str">
        <f>"00980234"</f>
        <v>00980234</v>
      </c>
    </row>
    <row r="19756" spans="1:2" x14ac:dyDescent="0.25">
      <c r="A19756" s="2">
        <v>19751</v>
      </c>
      <c r="B19756" s="3" t="str">
        <f>"00980235"</f>
        <v>00980235</v>
      </c>
    </row>
    <row r="19757" spans="1:2" x14ac:dyDescent="0.25">
      <c r="A19757" s="2">
        <v>19752</v>
      </c>
      <c r="B19757" s="3" t="str">
        <f>"00980293"</f>
        <v>00980293</v>
      </c>
    </row>
    <row r="19758" spans="1:2" x14ac:dyDescent="0.25">
      <c r="A19758" s="2">
        <v>19753</v>
      </c>
      <c r="B19758" s="3" t="str">
        <f>"00980323"</f>
        <v>00980323</v>
      </c>
    </row>
    <row r="19759" spans="1:2" x14ac:dyDescent="0.25">
      <c r="A19759" s="2">
        <v>19754</v>
      </c>
      <c r="B19759" s="3" t="str">
        <f>"00980325"</f>
        <v>00980325</v>
      </c>
    </row>
    <row r="19760" spans="1:2" x14ac:dyDescent="0.25">
      <c r="A19760" s="2">
        <v>19755</v>
      </c>
      <c r="B19760" s="3" t="str">
        <f>"00980333"</f>
        <v>00980333</v>
      </c>
    </row>
    <row r="19761" spans="1:2" x14ac:dyDescent="0.25">
      <c r="A19761" s="2">
        <v>19756</v>
      </c>
      <c r="B19761" s="3" t="str">
        <f>"00980514"</f>
        <v>00980514</v>
      </c>
    </row>
    <row r="19762" spans="1:2" x14ac:dyDescent="0.25">
      <c r="A19762" s="2">
        <v>19757</v>
      </c>
      <c r="B19762" s="3" t="str">
        <f>"00980522"</f>
        <v>00980522</v>
      </c>
    </row>
    <row r="19763" spans="1:2" x14ac:dyDescent="0.25">
      <c r="A19763" s="2">
        <v>19758</v>
      </c>
      <c r="B19763" s="3" t="str">
        <f>"00980540"</f>
        <v>00980540</v>
      </c>
    </row>
    <row r="19764" spans="1:2" x14ac:dyDescent="0.25">
      <c r="A19764" s="2">
        <v>19759</v>
      </c>
      <c r="B19764" s="3" t="str">
        <f>"00980563"</f>
        <v>00980563</v>
      </c>
    </row>
    <row r="19765" spans="1:2" x14ac:dyDescent="0.25">
      <c r="A19765" s="2">
        <v>19760</v>
      </c>
      <c r="B19765" s="3" t="str">
        <f>"00980567"</f>
        <v>00980567</v>
      </c>
    </row>
    <row r="19766" spans="1:2" x14ac:dyDescent="0.25">
      <c r="A19766" s="2">
        <v>19761</v>
      </c>
      <c r="B19766" s="3" t="str">
        <f>"00980576"</f>
        <v>00980576</v>
      </c>
    </row>
    <row r="19767" spans="1:2" x14ac:dyDescent="0.25">
      <c r="A19767" s="2">
        <v>19762</v>
      </c>
      <c r="B19767" s="3" t="str">
        <f>"00980606"</f>
        <v>00980606</v>
      </c>
    </row>
    <row r="19768" spans="1:2" x14ac:dyDescent="0.25">
      <c r="A19768" s="2">
        <v>19763</v>
      </c>
      <c r="B19768" s="3" t="str">
        <f>"00980608"</f>
        <v>00980608</v>
      </c>
    </row>
    <row r="19769" spans="1:2" x14ac:dyDescent="0.25">
      <c r="A19769" s="2">
        <v>19764</v>
      </c>
      <c r="B19769" s="3" t="str">
        <f>"00980712"</f>
        <v>00980712</v>
      </c>
    </row>
    <row r="19770" spans="1:2" x14ac:dyDescent="0.25">
      <c r="A19770" s="2">
        <v>19765</v>
      </c>
      <c r="B19770" s="3" t="str">
        <f>"00980795"</f>
        <v>00980795</v>
      </c>
    </row>
    <row r="19771" spans="1:2" x14ac:dyDescent="0.25">
      <c r="A19771" s="2">
        <v>19766</v>
      </c>
      <c r="B19771" s="3" t="str">
        <f>"00980802"</f>
        <v>00980802</v>
      </c>
    </row>
    <row r="19772" spans="1:2" x14ac:dyDescent="0.25">
      <c r="A19772" s="2">
        <v>19767</v>
      </c>
      <c r="B19772" s="3" t="str">
        <f>"00980824"</f>
        <v>00980824</v>
      </c>
    </row>
    <row r="19773" spans="1:2" x14ac:dyDescent="0.25">
      <c r="A19773" s="2">
        <v>19768</v>
      </c>
      <c r="B19773" s="3" t="str">
        <f>"00980890"</f>
        <v>00980890</v>
      </c>
    </row>
    <row r="19774" spans="1:2" x14ac:dyDescent="0.25">
      <c r="A19774" s="2">
        <v>19769</v>
      </c>
      <c r="B19774" s="3" t="str">
        <f>"00981007"</f>
        <v>00981007</v>
      </c>
    </row>
    <row r="19775" spans="1:2" x14ac:dyDescent="0.25">
      <c r="A19775" s="2">
        <v>19770</v>
      </c>
      <c r="B19775" s="3" t="str">
        <f>"00981079"</f>
        <v>00981079</v>
      </c>
    </row>
    <row r="19776" spans="1:2" x14ac:dyDescent="0.25">
      <c r="A19776" s="2">
        <v>19771</v>
      </c>
      <c r="B19776" s="3" t="str">
        <f>"00981110"</f>
        <v>00981110</v>
      </c>
    </row>
    <row r="19777" spans="1:2" x14ac:dyDescent="0.25">
      <c r="A19777" s="2">
        <v>19772</v>
      </c>
      <c r="B19777" s="3" t="str">
        <f>"00981129"</f>
        <v>00981129</v>
      </c>
    </row>
    <row r="19778" spans="1:2" x14ac:dyDescent="0.25">
      <c r="A19778" s="2">
        <v>19773</v>
      </c>
      <c r="B19778" s="3" t="str">
        <f>"00981131"</f>
        <v>00981131</v>
      </c>
    </row>
    <row r="19779" spans="1:2" x14ac:dyDescent="0.25">
      <c r="A19779" s="2">
        <v>19774</v>
      </c>
      <c r="B19779" s="3" t="str">
        <f>"00981150"</f>
        <v>00981150</v>
      </c>
    </row>
    <row r="19780" spans="1:2" x14ac:dyDescent="0.25">
      <c r="A19780" s="2">
        <v>19775</v>
      </c>
      <c r="B19780" s="3" t="str">
        <f>"00981241"</f>
        <v>00981241</v>
      </c>
    </row>
    <row r="19781" spans="1:2" x14ac:dyDescent="0.25">
      <c r="A19781" s="2">
        <v>19776</v>
      </c>
      <c r="B19781" s="3" t="str">
        <f>"00981244"</f>
        <v>00981244</v>
      </c>
    </row>
    <row r="19782" spans="1:2" x14ac:dyDescent="0.25">
      <c r="A19782" s="2">
        <v>19777</v>
      </c>
      <c r="B19782" s="3" t="str">
        <f>"00981251"</f>
        <v>00981251</v>
      </c>
    </row>
    <row r="19783" spans="1:2" x14ac:dyDescent="0.25">
      <c r="A19783" s="2">
        <v>19778</v>
      </c>
      <c r="B19783" s="3" t="str">
        <f>"00981268"</f>
        <v>00981268</v>
      </c>
    </row>
    <row r="19784" spans="1:2" x14ac:dyDescent="0.25">
      <c r="A19784" s="2">
        <v>19779</v>
      </c>
      <c r="B19784" s="3" t="str">
        <f>"00981281"</f>
        <v>00981281</v>
      </c>
    </row>
    <row r="19785" spans="1:2" x14ac:dyDescent="0.25">
      <c r="A19785" s="2">
        <v>19780</v>
      </c>
      <c r="B19785" s="3" t="str">
        <f>"00981340"</f>
        <v>00981340</v>
      </c>
    </row>
    <row r="19786" spans="1:2" x14ac:dyDescent="0.25">
      <c r="A19786" s="2">
        <v>19781</v>
      </c>
      <c r="B19786" s="3" t="str">
        <f>"00981411"</f>
        <v>00981411</v>
      </c>
    </row>
    <row r="19787" spans="1:2" x14ac:dyDescent="0.25">
      <c r="A19787" s="2">
        <v>19782</v>
      </c>
      <c r="B19787" s="3" t="str">
        <f>"00981428"</f>
        <v>00981428</v>
      </c>
    </row>
    <row r="19788" spans="1:2" x14ac:dyDescent="0.25">
      <c r="A19788" s="2">
        <v>19783</v>
      </c>
      <c r="B19788" s="3" t="str">
        <f>"00981429"</f>
        <v>00981429</v>
      </c>
    </row>
    <row r="19789" spans="1:2" x14ac:dyDescent="0.25">
      <c r="A19789" s="2">
        <v>19784</v>
      </c>
      <c r="B19789" s="3" t="str">
        <f>"00981460"</f>
        <v>00981460</v>
      </c>
    </row>
    <row r="19790" spans="1:2" x14ac:dyDescent="0.25">
      <c r="A19790" s="2">
        <v>19785</v>
      </c>
      <c r="B19790" s="3" t="str">
        <f>"00981521"</f>
        <v>00981521</v>
      </c>
    </row>
    <row r="19791" spans="1:2" x14ac:dyDescent="0.25">
      <c r="A19791" s="2">
        <v>19786</v>
      </c>
      <c r="B19791" s="3" t="str">
        <f>"00981564"</f>
        <v>00981564</v>
      </c>
    </row>
    <row r="19792" spans="1:2" x14ac:dyDescent="0.25">
      <c r="A19792" s="2">
        <v>19787</v>
      </c>
      <c r="B19792" s="3" t="str">
        <f>"00981573"</f>
        <v>00981573</v>
      </c>
    </row>
    <row r="19793" spans="1:2" x14ac:dyDescent="0.25">
      <c r="A19793" s="2">
        <v>19788</v>
      </c>
      <c r="B19793" s="3" t="str">
        <f>"00981655"</f>
        <v>00981655</v>
      </c>
    </row>
    <row r="19794" spans="1:2" x14ac:dyDescent="0.25">
      <c r="A19794" s="2">
        <v>19789</v>
      </c>
      <c r="B19794" s="3" t="str">
        <f>"00981680"</f>
        <v>00981680</v>
      </c>
    </row>
    <row r="19795" spans="1:2" x14ac:dyDescent="0.25">
      <c r="A19795" s="2">
        <v>19790</v>
      </c>
      <c r="B19795" s="3" t="str">
        <f>"00981698"</f>
        <v>00981698</v>
      </c>
    </row>
    <row r="19796" spans="1:2" x14ac:dyDescent="0.25">
      <c r="A19796" s="2">
        <v>19791</v>
      </c>
      <c r="B19796" s="3" t="str">
        <f>"00981703"</f>
        <v>00981703</v>
      </c>
    </row>
    <row r="19797" spans="1:2" x14ac:dyDescent="0.25">
      <c r="A19797" s="2">
        <v>19792</v>
      </c>
      <c r="B19797" s="3" t="str">
        <f>"00981708"</f>
        <v>00981708</v>
      </c>
    </row>
    <row r="19798" spans="1:2" x14ac:dyDescent="0.25">
      <c r="A19798" s="2">
        <v>19793</v>
      </c>
      <c r="B19798" s="3" t="str">
        <f>"00981764"</f>
        <v>00981764</v>
      </c>
    </row>
    <row r="19799" spans="1:2" x14ac:dyDescent="0.25">
      <c r="A19799" s="2">
        <v>19794</v>
      </c>
      <c r="B19799" s="3" t="str">
        <f>"00981772"</f>
        <v>00981772</v>
      </c>
    </row>
    <row r="19800" spans="1:2" x14ac:dyDescent="0.25">
      <c r="A19800" s="2">
        <v>19795</v>
      </c>
      <c r="B19800" s="3" t="str">
        <f>"00981773"</f>
        <v>00981773</v>
      </c>
    </row>
    <row r="19801" spans="1:2" x14ac:dyDescent="0.25">
      <c r="A19801" s="2">
        <v>19796</v>
      </c>
      <c r="B19801" s="3" t="str">
        <f>"00981826"</f>
        <v>00981826</v>
      </c>
    </row>
    <row r="19802" spans="1:2" x14ac:dyDescent="0.25">
      <c r="A19802" s="2">
        <v>19797</v>
      </c>
      <c r="B19802" s="3" t="str">
        <f>"00981894"</f>
        <v>00981894</v>
      </c>
    </row>
    <row r="19803" spans="1:2" x14ac:dyDescent="0.25">
      <c r="A19803" s="2">
        <v>19798</v>
      </c>
      <c r="B19803" s="3" t="str">
        <f>"00981919"</f>
        <v>00981919</v>
      </c>
    </row>
    <row r="19804" spans="1:2" x14ac:dyDescent="0.25">
      <c r="A19804" s="2">
        <v>19799</v>
      </c>
      <c r="B19804" s="3" t="str">
        <f>"00981952"</f>
        <v>00981952</v>
      </c>
    </row>
    <row r="19805" spans="1:2" x14ac:dyDescent="0.25">
      <c r="A19805" s="2">
        <v>19800</v>
      </c>
      <c r="B19805" s="3" t="str">
        <f>"00982021"</f>
        <v>00982021</v>
      </c>
    </row>
    <row r="19806" spans="1:2" x14ac:dyDescent="0.25">
      <c r="A19806" s="2">
        <v>19801</v>
      </c>
      <c r="B19806" s="3" t="str">
        <f>"00982032"</f>
        <v>00982032</v>
      </c>
    </row>
    <row r="19807" spans="1:2" x14ac:dyDescent="0.25">
      <c r="A19807" s="2">
        <v>19802</v>
      </c>
      <c r="B19807" s="3" t="str">
        <f>"00982077"</f>
        <v>00982077</v>
      </c>
    </row>
    <row r="19808" spans="1:2" x14ac:dyDescent="0.25">
      <c r="A19808" s="2">
        <v>19803</v>
      </c>
      <c r="B19808" s="3" t="str">
        <f>"00982081"</f>
        <v>00982081</v>
      </c>
    </row>
    <row r="19809" spans="1:2" x14ac:dyDescent="0.25">
      <c r="A19809" s="2">
        <v>19804</v>
      </c>
      <c r="B19809" s="3" t="str">
        <f>"00982225"</f>
        <v>00982225</v>
      </c>
    </row>
    <row r="19810" spans="1:2" x14ac:dyDescent="0.25">
      <c r="A19810" s="2">
        <v>19805</v>
      </c>
      <c r="B19810" s="3" t="str">
        <f>"00982249"</f>
        <v>00982249</v>
      </c>
    </row>
    <row r="19811" spans="1:2" x14ac:dyDescent="0.25">
      <c r="A19811" s="2">
        <v>19806</v>
      </c>
      <c r="B19811" s="3" t="str">
        <f>"00982251"</f>
        <v>00982251</v>
      </c>
    </row>
    <row r="19812" spans="1:2" x14ac:dyDescent="0.25">
      <c r="A19812" s="2">
        <v>19807</v>
      </c>
      <c r="B19812" s="3" t="str">
        <f>"00982298"</f>
        <v>00982298</v>
      </c>
    </row>
    <row r="19813" spans="1:2" x14ac:dyDescent="0.25">
      <c r="A19813" s="2">
        <v>19808</v>
      </c>
      <c r="B19813" s="3" t="str">
        <f>"00982350"</f>
        <v>00982350</v>
      </c>
    </row>
    <row r="19814" spans="1:2" x14ac:dyDescent="0.25">
      <c r="A19814" s="2">
        <v>19809</v>
      </c>
      <c r="B19814" s="3" t="str">
        <f>"00982380"</f>
        <v>00982380</v>
      </c>
    </row>
    <row r="19815" spans="1:2" x14ac:dyDescent="0.25">
      <c r="A19815" s="2">
        <v>19810</v>
      </c>
      <c r="B19815" s="3" t="str">
        <f>"00982402"</f>
        <v>00982402</v>
      </c>
    </row>
    <row r="19816" spans="1:2" x14ac:dyDescent="0.25">
      <c r="A19816" s="2">
        <v>19811</v>
      </c>
      <c r="B19816" s="3" t="str">
        <f>"00982468"</f>
        <v>00982468</v>
      </c>
    </row>
    <row r="19817" spans="1:2" x14ac:dyDescent="0.25">
      <c r="A19817" s="2">
        <v>19812</v>
      </c>
      <c r="B19817" s="3" t="str">
        <f>"00982538"</f>
        <v>00982538</v>
      </c>
    </row>
    <row r="19818" spans="1:2" x14ac:dyDescent="0.25">
      <c r="A19818" s="2">
        <v>19813</v>
      </c>
      <c r="B19818" s="3" t="str">
        <f>"00982593"</f>
        <v>00982593</v>
      </c>
    </row>
    <row r="19819" spans="1:2" x14ac:dyDescent="0.25">
      <c r="A19819" s="2">
        <v>19814</v>
      </c>
      <c r="B19819" s="3" t="str">
        <f>"00982653"</f>
        <v>00982653</v>
      </c>
    </row>
    <row r="19820" spans="1:2" x14ac:dyDescent="0.25">
      <c r="A19820" s="2">
        <v>19815</v>
      </c>
      <c r="B19820" s="3" t="str">
        <f>"00982671"</f>
        <v>00982671</v>
      </c>
    </row>
    <row r="19821" spans="1:2" x14ac:dyDescent="0.25">
      <c r="A19821" s="2">
        <v>19816</v>
      </c>
      <c r="B19821" s="3" t="str">
        <f>"00982675"</f>
        <v>00982675</v>
      </c>
    </row>
    <row r="19822" spans="1:2" x14ac:dyDescent="0.25">
      <c r="A19822" s="2">
        <v>19817</v>
      </c>
      <c r="B19822" s="3" t="str">
        <f>"00982677"</f>
        <v>00982677</v>
      </c>
    </row>
    <row r="19823" spans="1:2" x14ac:dyDescent="0.25">
      <c r="A19823" s="2">
        <v>19818</v>
      </c>
      <c r="B19823" s="3" t="str">
        <f>"00982704"</f>
        <v>00982704</v>
      </c>
    </row>
    <row r="19824" spans="1:2" x14ac:dyDescent="0.25">
      <c r="A19824" s="2">
        <v>19819</v>
      </c>
      <c r="B19824" s="3" t="str">
        <f>"00982771"</f>
        <v>00982771</v>
      </c>
    </row>
    <row r="19825" spans="1:2" x14ac:dyDescent="0.25">
      <c r="A19825" s="2">
        <v>19820</v>
      </c>
      <c r="B19825" s="3" t="str">
        <f>"00982868"</f>
        <v>00982868</v>
      </c>
    </row>
    <row r="19826" spans="1:2" x14ac:dyDescent="0.25">
      <c r="A19826" s="2">
        <v>19821</v>
      </c>
      <c r="B19826" s="3" t="str">
        <f>"00982918"</f>
        <v>00982918</v>
      </c>
    </row>
    <row r="19827" spans="1:2" x14ac:dyDescent="0.25">
      <c r="A19827" s="2">
        <v>19822</v>
      </c>
      <c r="B19827" s="3" t="str">
        <f>"00982921"</f>
        <v>00982921</v>
      </c>
    </row>
    <row r="19828" spans="1:2" x14ac:dyDescent="0.25">
      <c r="A19828" s="2">
        <v>19823</v>
      </c>
      <c r="B19828" s="3" t="str">
        <f>"00982953"</f>
        <v>00982953</v>
      </c>
    </row>
    <row r="19829" spans="1:2" x14ac:dyDescent="0.25">
      <c r="A19829" s="2">
        <v>19824</v>
      </c>
      <c r="B19829" s="3" t="str">
        <f>"00983049"</f>
        <v>00983049</v>
      </c>
    </row>
    <row r="19830" spans="1:2" x14ac:dyDescent="0.25">
      <c r="A19830" s="2">
        <v>19825</v>
      </c>
      <c r="B19830" s="3" t="str">
        <f>"00983065"</f>
        <v>00983065</v>
      </c>
    </row>
    <row r="19831" spans="1:2" x14ac:dyDescent="0.25">
      <c r="A19831" s="2">
        <v>19826</v>
      </c>
      <c r="B19831" s="3" t="str">
        <f>"00983073"</f>
        <v>00983073</v>
      </c>
    </row>
    <row r="19832" spans="1:2" x14ac:dyDescent="0.25">
      <c r="A19832" s="2">
        <v>19827</v>
      </c>
      <c r="B19832" s="3" t="str">
        <f>"00983098"</f>
        <v>00983098</v>
      </c>
    </row>
    <row r="19833" spans="1:2" x14ac:dyDescent="0.25">
      <c r="A19833" s="2">
        <v>19828</v>
      </c>
      <c r="B19833" s="3" t="str">
        <f>"00983154"</f>
        <v>00983154</v>
      </c>
    </row>
    <row r="19834" spans="1:2" x14ac:dyDescent="0.25">
      <c r="A19834" s="2">
        <v>19829</v>
      </c>
      <c r="B19834" s="3" t="str">
        <f>"00983198"</f>
        <v>00983198</v>
      </c>
    </row>
    <row r="19835" spans="1:2" x14ac:dyDescent="0.25">
      <c r="A19835" s="2">
        <v>19830</v>
      </c>
      <c r="B19835" s="3" t="str">
        <f>"00983250"</f>
        <v>00983250</v>
      </c>
    </row>
    <row r="19836" spans="1:2" x14ac:dyDescent="0.25">
      <c r="A19836" s="2">
        <v>19831</v>
      </c>
      <c r="B19836" s="3" t="str">
        <f>"00983267"</f>
        <v>00983267</v>
      </c>
    </row>
    <row r="19837" spans="1:2" x14ac:dyDescent="0.25">
      <c r="A19837" s="2">
        <v>19832</v>
      </c>
      <c r="B19837" s="3" t="str">
        <f>"00983280"</f>
        <v>00983280</v>
      </c>
    </row>
    <row r="19838" spans="1:2" x14ac:dyDescent="0.25">
      <c r="A19838" s="2">
        <v>19833</v>
      </c>
      <c r="B19838" s="3" t="str">
        <f>"00983282"</f>
        <v>00983282</v>
      </c>
    </row>
    <row r="19839" spans="1:2" x14ac:dyDescent="0.25">
      <c r="A19839" s="2">
        <v>19834</v>
      </c>
      <c r="B19839" s="3" t="str">
        <f>"00983303"</f>
        <v>00983303</v>
      </c>
    </row>
    <row r="19840" spans="1:2" x14ac:dyDescent="0.25">
      <c r="A19840" s="2">
        <v>19835</v>
      </c>
      <c r="B19840" s="3" t="str">
        <f>"00983407"</f>
        <v>00983407</v>
      </c>
    </row>
    <row r="19841" spans="1:2" x14ac:dyDescent="0.25">
      <c r="A19841" s="2">
        <v>19836</v>
      </c>
      <c r="B19841" s="3" t="str">
        <f>"00983472"</f>
        <v>00983472</v>
      </c>
    </row>
    <row r="19842" spans="1:2" x14ac:dyDescent="0.25">
      <c r="A19842" s="2">
        <v>19837</v>
      </c>
      <c r="B19842" s="3" t="str">
        <f>"00983495"</f>
        <v>00983495</v>
      </c>
    </row>
    <row r="19843" spans="1:2" x14ac:dyDescent="0.25">
      <c r="A19843" s="2">
        <v>19838</v>
      </c>
      <c r="B19843" s="3" t="str">
        <f>"00983506"</f>
        <v>00983506</v>
      </c>
    </row>
    <row r="19844" spans="1:2" x14ac:dyDescent="0.25">
      <c r="A19844" s="2">
        <v>19839</v>
      </c>
      <c r="B19844" s="3" t="str">
        <f>"00983643"</f>
        <v>00983643</v>
      </c>
    </row>
    <row r="19845" spans="1:2" x14ac:dyDescent="0.25">
      <c r="A19845" s="2">
        <v>19840</v>
      </c>
      <c r="B19845" s="3" t="str">
        <f>"00983724"</f>
        <v>00983724</v>
      </c>
    </row>
    <row r="19846" spans="1:2" x14ac:dyDescent="0.25">
      <c r="A19846" s="2">
        <v>19841</v>
      </c>
      <c r="B19846" s="3" t="str">
        <f>"00983887"</f>
        <v>00983887</v>
      </c>
    </row>
    <row r="19847" spans="1:2" x14ac:dyDescent="0.25">
      <c r="A19847" s="2">
        <v>19842</v>
      </c>
      <c r="B19847" s="3" t="str">
        <f>"00983936"</f>
        <v>00983936</v>
      </c>
    </row>
    <row r="19848" spans="1:2" x14ac:dyDescent="0.25">
      <c r="A19848" s="2">
        <v>19843</v>
      </c>
      <c r="B19848" s="3" t="str">
        <f>"00983970"</f>
        <v>00983970</v>
      </c>
    </row>
    <row r="19849" spans="1:2" x14ac:dyDescent="0.25">
      <c r="A19849" s="2">
        <v>19844</v>
      </c>
      <c r="B19849" s="3" t="str">
        <f>"00983994"</f>
        <v>00983994</v>
      </c>
    </row>
    <row r="19850" spans="1:2" x14ac:dyDescent="0.25">
      <c r="A19850" s="2">
        <v>19845</v>
      </c>
      <c r="B19850" s="3" t="str">
        <f>"00983995"</f>
        <v>00983995</v>
      </c>
    </row>
    <row r="19851" spans="1:2" x14ac:dyDescent="0.25">
      <c r="A19851" s="2">
        <v>19846</v>
      </c>
      <c r="B19851" s="3" t="str">
        <f>"00984003"</f>
        <v>00984003</v>
      </c>
    </row>
    <row r="19852" spans="1:2" x14ac:dyDescent="0.25">
      <c r="A19852" s="2">
        <v>19847</v>
      </c>
      <c r="B19852" s="3" t="str">
        <f>"00984010"</f>
        <v>00984010</v>
      </c>
    </row>
    <row r="19853" spans="1:2" x14ac:dyDescent="0.25">
      <c r="A19853" s="2">
        <v>19848</v>
      </c>
      <c r="B19853" s="3" t="str">
        <f>"00984044"</f>
        <v>00984044</v>
      </c>
    </row>
    <row r="19854" spans="1:2" x14ac:dyDescent="0.25">
      <c r="A19854" s="2">
        <v>19849</v>
      </c>
      <c r="B19854" s="3" t="str">
        <f>"00984122"</f>
        <v>00984122</v>
      </c>
    </row>
    <row r="19855" spans="1:2" x14ac:dyDescent="0.25">
      <c r="A19855" s="2">
        <v>19850</v>
      </c>
      <c r="B19855" s="3" t="str">
        <f>"00984194"</f>
        <v>00984194</v>
      </c>
    </row>
    <row r="19856" spans="1:2" x14ac:dyDescent="0.25">
      <c r="A19856" s="2">
        <v>19851</v>
      </c>
      <c r="B19856" s="3" t="str">
        <f>"00984199"</f>
        <v>00984199</v>
      </c>
    </row>
    <row r="19857" spans="1:2" x14ac:dyDescent="0.25">
      <c r="A19857" s="2">
        <v>19852</v>
      </c>
      <c r="B19857" s="3" t="str">
        <f>"00984336"</f>
        <v>00984336</v>
      </c>
    </row>
    <row r="19858" spans="1:2" x14ac:dyDescent="0.25">
      <c r="A19858" s="2">
        <v>19853</v>
      </c>
      <c r="B19858" s="3" t="str">
        <f>"00984389"</f>
        <v>00984389</v>
      </c>
    </row>
    <row r="19859" spans="1:2" x14ac:dyDescent="0.25">
      <c r="A19859" s="2">
        <v>19854</v>
      </c>
      <c r="B19859" s="3" t="str">
        <f>"00984408"</f>
        <v>00984408</v>
      </c>
    </row>
    <row r="19860" spans="1:2" x14ac:dyDescent="0.25">
      <c r="A19860" s="2">
        <v>19855</v>
      </c>
      <c r="B19860" s="3" t="str">
        <f>"00984462"</f>
        <v>00984462</v>
      </c>
    </row>
    <row r="19861" spans="1:2" x14ac:dyDescent="0.25">
      <c r="A19861" s="2">
        <v>19856</v>
      </c>
      <c r="B19861" s="3" t="str">
        <f>"00984511"</f>
        <v>00984511</v>
      </c>
    </row>
    <row r="19862" spans="1:2" x14ac:dyDescent="0.25">
      <c r="A19862" s="2">
        <v>19857</v>
      </c>
      <c r="B19862" s="3" t="str">
        <f>"00984515"</f>
        <v>00984515</v>
      </c>
    </row>
    <row r="19863" spans="1:2" x14ac:dyDescent="0.25">
      <c r="A19863" s="2">
        <v>19858</v>
      </c>
      <c r="B19863" s="3" t="str">
        <f>"00984532"</f>
        <v>00984532</v>
      </c>
    </row>
    <row r="19864" spans="1:2" x14ac:dyDescent="0.25">
      <c r="A19864" s="2">
        <v>19859</v>
      </c>
      <c r="B19864" s="3" t="str">
        <f>"00984544"</f>
        <v>00984544</v>
      </c>
    </row>
    <row r="19865" spans="1:2" x14ac:dyDescent="0.25">
      <c r="A19865" s="2">
        <v>19860</v>
      </c>
      <c r="B19865" s="3" t="str">
        <f>"00984557"</f>
        <v>00984557</v>
      </c>
    </row>
    <row r="19866" spans="1:2" x14ac:dyDescent="0.25">
      <c r="A19866" s="2">
        <v>19861</v>
      </c>
      <c r="B19866" s="3" t="str">
        <f>"00984562"</f>
        <v>00984562</v>
      </c>
    </row>
    <row r="19867" spans="1:2" x14ac:dyDescent="0.25">
      <c r="A19867" s="2">
        <v>19862</v>
      </c>
      <c r="B19867" s="3" t="str">
        <f>"00984598"</f>
        <v>00984598</v>
      </c>
    </row>
    <row r="19868" spans="1:2" x14ac:dyDescent="0.25">
      <c r="A19868" s="2">
        <v>19863</v>
      </c>
      <c r="B19868" s="3" t="str">
        <f>"00984630"</f>
        <v>00984630</v>
      </c>
    </row>
    <row r="19869" spans="1:2" x14ac:dyDescent="0.25">
      <c r="A19869" s="2">
        <v>19864</v>
      </c>
      <c r="B19869" s="3" t="str">
        <f>"00984706"</f>
        <v>00984706</v>
      </c>
    </row>
    <row r="19870" spans="1:2" x14ac:dyDescent="0.25">
      <c r="A19870" s="2">
        <v>19865</v>
      </c>
      <c r="B19870" s="3" t="str">
        <f>"00984714"</f>
        <v>00984714</v>
      </c>
    </row>
    <row r="19871" spans="1:2" x14ac:dyDescent="0.25">
      <c r="A19871" s="2">
        <v>19866</v>
      </c>
      <c r="B19871" s="3" t="str">
        <f>"00984720"</f>
        <v>00984720</v>
      </c>
    </row>
    <row r="19872" spans="1:2" x14ac:dyDescent="0.25">
      <c r="A19872" s="2">
        <v>19867</v>
      </c>
      <c r="B19872" s="3" t="str">
        <f>"00984727"</f>
        <v>00984727</v>
      </c>
    </row>
    <row r="19873" spans="1:2" x14ac:dyDescent="0.25">
      <c r="A19873" s="2">
        <v>19868</v>
      </c>
      <c r="B19873" s="3" t="str">
        <f>"00984733"</f>
        <v>00984733</v>
      </c>
    </row>
    <row r="19874" spans="1:2" x14ac:dyDescent="0.25">
      <c r="A19874" s="2">
        <v>19869</v>
      </c>
      <c r="B19874" s="3" t="str">
        <f>"00984800"</f>
        <v>00984800</v>
      </c>
    </row>
    <row r="19875" spans="1:2" x14ac:dyDescent="0.25">
      <c r="A19875" s="2">
        <v>19870</v>
      </c>
      <c r="B19875" s="3" t="str">
        <f>"00984918"</f>
        <v>00984918</v>
      </c>
    </row>
    <row r="19876" spans="1:2" x14ac:dyDescent="0.25">
      <c r="A19876" s="2">
        <v>19871</v>
      </c>
      <c r="B19876" s="3" t="str">
        <f>"00984922"</f>
        <v>00984922</v>
      </c>
    </row>
    <row r="19877" spans="1:2" x14ac:dyDescent="0.25">
      <c r="A19877" s="2">
        <v>19872</v>
      </c>
      <c r="B19877" s="3" t="str">
        <f>"00984954"</f>
        <v>00984954</v>
      </c>
    </row>
    <row r="19878" spans="1:2" x14ac:dyDescent="0.25">
      <c r="A19878" s="2">
        <v>19873</v>
      </c>
      <c r="B19878" s="3" t="str">
        <f>"00984971"</f>
        <v>00984971</v>
      </c>
    </row>
    <row r="19879" spans="1:2" x14ac:dyDescent="0.25">
      <c r="A19879" s="2">
        <v>19874</v>
      </c>
      <c r="B19879" s="3" t="str">
        <f>"00984981"</f>
        <v>00984981</v>
      </c>
    </row>
    <row r="19880" spans="1:2" x14ac:dyDescent="0.25">
      <c r="A19880" s="2">
        <v>19875</v>
      </c>
      <c r="B19880" s="3" t="str">
        <f>"00985018"</f>
        <v>00985018</v>
      </c>
    </row>
    <row r="19881" spans="1:2" x14ac:dyDescent="0.25">
      <c r="A19881" s="2">
        <v>19876</v>
      </c>
      <c r="B19881" s="3" t="str">
        <f>"00985025"</f>
        <v>00985025</v>
      </c>
    </row>
    <row r="19882" spans="1:2" x14ac:dyDescent="0.25">
      <c r="A19882" s="2">
        <v>19877</v>
      </c>
      <c r="B19882" s="3" t="str">
        <f>"00985034"</f>
        <v>00985034</v>
      </c>
    </row>
    <row r="19883" spans="1:2" x14ac:dyDescent="0.25">
      <c r="A19883" s="2">
        <v>19878</v>
      </c>
      <c r="B19883" s="3" t="str">
        <f>"00985050"</f>
        <v>00985050</v>
      </c>
    </row>
    <row r="19884" spans="1:2" x14ac:dyDescent="0.25">
      <c r="A19884" s="2">
        <v>19879</v>
      </c>
      <c r="B19884" s="3" t="str">
        <f>"00985051"</f>
        <v>00985051</v>
      </c>
    </row>
    <row r="19885" spans="1:2" x14ac:dyDescent="0.25">
      <c r="A19885" s="2">
        <v>19880</v>
      </c>
      <c r="B19885" s="3" t="str">
        <f>"00985053"</f>
        <v>00985053</v>
      </c>
    </row>
    <row r="19886" spans="1:2" x14ac:dyDescent="0.25">
      <c r="A19886" s="2">
        <v>19881</v>
      </c>
      <c r="B19886" s="3" t="str">
        <f>"00985074"</f>
        <v>00985074</v>
      </c>
    </row>
    <row r="19887" spans="1:2" x14ac:dyDescent="0.25">
      <c r="A19887" s="2">
        <v>19882</v>
      </c>
      <c r="B19887" s="3" t="str">
        <f>"00985098"</f>
        <v>00985098</v>
      </c>
    </row>
    <row r="19888" spans="1:2" x14ac:dyDescent="0.25">
      <c r="A19888" s="2">
        <v>19883</v>
      </c>
      <c r="B19888" s="3" t="str">
        <f>"00985148"</f>
        <v>00985148</v>
      </c>
    </row>
    <row r="19889" spans="1:2" x14ac:dyDescent="0.25">
      <c r="A19889" s="2">
        <v>19884</v>
      </c>
      <c r="B19889" s="3" t="str">
        <f>"00985204"</f>
        <v>00985204</v>
      </c>
    </row>
    <row r="19890" spans="1:2" x14ac:dyDescent="0.25">
      <c r="A19890" s="2">
        <v>19885</v>
      </c>
      <c r="B19890" s="3" t="str">
        <f>"00985211"</f>
        <v>00985211</v>
      </c>
    </row>
    <row r="19891" spans="1:2" x14ac:dyDescent="0.25">
      <c r="A19891" s="2">
        <v>19886</v>
      </c>
      <c r="B19891" s="3" t="str">
        <f>"00985218"</f>
        <v>00985218</v>
      </c>
    </row>
    <row r="19892" spans="1:2" x14ac:dyDescent="0.25">
      <c r="A19892" s="2">
        <v>19887</v>
      </c>
      <c r="B19892" s="3" t="str">
        <f>"00985317"</f>
        <v>00985317</v>
      </c>
    </row>
    <row r="19893" spans="1:2" x14ac:dyDescent="0.25">
      <c r="A19893" s="2">
        <v>19888</v>
      </c>
      <c r="B19893" s="3" t="str">
        <f>"00985347"</f>
        <v>00985347</v>
      </c>
    </row>
    <row r="19894" spans="1:2" x14ac:dyDescent="0.25">
      <c r="A19894" s="2">
        <v>19889</v>
      </c>
      <c r="B19894" s="3" t="str">
        <f>"00985364"</f>
        <v>00985364</v>
      </c>
    </row>
    <row r="19895" spans="1:2" x14ac:dyDescent="0.25">
      <c r="A19895" s="2">
        <v>19890</v>
      </c>
      <c r="B19895" s="3" t="str">
        <f>"00985381"</f>
        <v>00985381</v>
      </c>
    </row>
    <row r="19896" spans="1:2" x14ac:dyDescent="0.25">
      <c r="A19896" s="2">
        <v>19891</v>
      </c>
      <c r="B19896" s="3" t="str">
        <f>"00985408"</f>
        <v>00985408</v>
      </c>
    </row>
    <row r="19897" spans="1:2" x14ac:dyDescent="0.25">
      <c r="A19897" s="2">
        <v>19892</v>
      </c>
      <c r="B19897" s="3" t="str">
        <f>"00985424"</f>
        <v>00985424</v>
      </c>
    </row>
    <row r="19898" spans="1:2" x14ac:dyDescent="0.25">
      <c r="A19898" s="2">
        <v>19893</v>
      </c>
      <c r="B19898" s="3" t="str">
        <f>"00985438"</f>
        <v>00985438</v>
      </c>
    </row>
    <row r="19899" spans="1:2" x14ac:dyDescent="0.25">
      <c r="A19899" s="2">
        <v>19894</v>
      </c>
      <c r="B19899" s="3" t="str">
        <f>"00985486"</f>
        <v>00985486</v>
      </c>
    </row>
    <row r="19900" spans="1:2" x14ac:dyDescent="0.25">
      <c r="A19900" s="2">
        <v>19895</v>
      </c>
      <c r="B19900" s="3" t="str">
        <f>"00985525"</f>
        <v>00985525</v>
      </c>
    </row>
    <row r="19901" spans="1:2" x14ac:dyDescent="0.25">
      <c r="A19901" s="2">
        <v>19896</v>
      </c>
      <c r="B19901" s="3" t="str">
        <f>"00985529"</f>
        <v>00985529</v>
      </c>
    </row>
    <row r="19902" spans="1:2" x14ac:dyDescent="0.25">
      <c r="A19902" s="2">
        <v>19897</v>
      </c>
      <c r="B19902" s="3" t="str">
        <f>"00985547"</f>
        <v>00985547</v>
      </c>
    </row>
    <row r="19903" spans="1:2" x14ac:dyDescent="0.25">
      <c r="A19903" s="2">
        <v>19898</v>
      </c>
      <c r="B19903" s="3" t="str">
        <f>"00985574"</f>
        <v>00985574</v>
      </c>
    </row>
    <row r="19904" spans="1:2" x14ac:dyDescent="0.25">
      <c r="A19904" s="2">
        <v>19899</v>
      </c>
      <c r="B19904" s="3" t="str">
        <f>"00985580"</f>
        <v>00985580</v>
      </c>
    </row>
    <row r="19905" spans="1:2" x14ac:dyDescent="0.25">
      <c r="A19905" s="2">
        <v>19900</v>
      </c>
      <c r="B19905" s="3" t="str">
        <f>"00985593"</f>
        <v>00985593</v>
      </c>
    </row>
    <row r="19906" spans="1:2" x14ac:dyDescent="0.25">
      <c r="A19906" s="2">
        <v>19901</v>
      </c>
      <c r="B19906" s="3" t="str">
        <f>"00985603"</f>
        <v>00985603</v>
      </c>
    </row>
    <row r="19907" spans="1:2" x14ac:dyDescent="0.25">
      <c r="A19907" s="2">
        <v>19902</v>
      </c>
      <c r="B19907" s="3" t="str">
        <f>"00985656"</f>
        <v>00985656</v>
      </c>
    </row>
    <row r="19908" spans="1:2" x14ac:dyDescent="0.25">
      <c r="A19908" s="2">
        <v>19903</v>
      </c>
      <c r="B19908" s="3" t="str">
        <f>"00985659"</f>
        <v>00985659</v>
      </c>
    </row>
    <row r="19909" spans="1:2" x14ac:dyDescent="0.25">
      <c r="A19909" s="2">
        <v>19904</v>
      </c>
      <c r="B19909" s="3" t="str">
        <f>"00985746"</f>
        <v>00985746</v>
      </c>
    </row>
    <row r="19910" spans="1:2" x14ac:dyDescent="0.25">
      <c r="A19910" s="2">
        <v>19905</v>
      </c>
      <c r="B19910" s="3" t="str">
        <f>"00985824"</f>
        <v>00985824</v>
      </c>
    </row>
    <row r="19911" spans="1:2" x14ac:dyDescent="0.25">
      <c r="A19911" s="2">
        <v>19906</v>
      </c>
      <c r="B19911" s="3" t="str">
        <f>"00985847"</f>
        <v>00985847</v>
      </c>
    </row>
    <row r="19912" spans="1:2" x14ac:dyDescent="0.25">
      <c r="A19912" s="2">
        <v>19907</v>
      </c>
      <c r="B19912" s="3" t="str">
        <f>"00985851"</f>
        <v>00985851</v>
      </c>
    </row>
    <row r="19913" spans="1:2" x14ac:dyDescent="0.25">
      <c r="A19913" s="2">
        <v>19908</v>
      </c>
      <c r="B19913" s="3" t="str">
        <f>"00985866"</f>
        <v>00985866</v>
      </c>
    </row>
    <row r="19914" spans="1:2" x14ac:dyDescent="0.25">
      <c r="A19914" s="2">
        <v>19909</v>
      </c>
      <c r="B19914" s="3" t="str">
        <f>"00985919"</f>
        <v>00985919</v>
      </c>
    </row>
    <row r="19915" spans="1:2" x14ac:dyDescent="0.25">
      <c r="A19915" s="2">
        <v>19910</v>
      </c>
      <c r="B19915" s="3" t="str">
        <f>"00985923"</f>
        <v>00985923</v>
      </c>
    </row>
    <row r="19916" spans="1:2" x14ac:dyDescent="0.25">
      <c r="A19916" s="2">
        <v>19911</v>
      </c>
      <c r="B19916" s="3" t="str">
        <f>"00985954"</f>
        <v>00985954</v>
      </c>
    </row>
    <row r="19917" spans="1:2" x14ac:dyDescent="0.25">
      <c r="A19917" s="2">
        <v>19912</v>
      </c>
      <c r="B19917" s="3" t="str">
        <f>"00985975"</f>
        <v>00985975</v>
      </c>
    </row>
    <row r="19918" spans="1:2" x14ac:dyDescent="0.25">
      <c r="A19918" s="2">
        <v>19913</v>
      </c>
      <c r="B19918" s="3" t="str">
        <f>"00985989"</f>
        <v>00985989</v>
      </c>
    </row>
    <row r="19919" spans="1:2" x14ac:dyDescent="0.25">
      <c r="A19919" s="2">
        <v>19914</v>
      </c>
      <c r="B19919" s="3" t="str">
        <f>"00986011"</f>
        <v>00986011</v>
      </c>
    </row>
    <row r="19920" spans="1:2" x14ac:dyDescent="0.25">
      <c r="A19920" s="2">
        <v>19915</v>
      </c>
      <c r="B19920" s="3" t="str">
        <f>"00986110"</f>
        <v>00986110</v>
      </c>
    </row>
    <row r="19921" spans="1:2" x14ac:dyDescent="0.25">
      <c r="A19921" s="2">
        <v>19916</v>
      </c>
      <c r="B19921" s="3" t="str">
        <f>"00986118"</f>
        <v>00986118</v>
      </c>
    </row>
    <row r="19922" spans="1:2" x14ac:dyDescent="0.25">
      <c r="A19922" s="2">
        <v>19917</v>
      </c>
      <c r="B19922" s="3" t="str">
        <f>"00986152"</f>
        <v>00986152</v>
      </c>
    </row>
    <row r="19923" spans="1:2" x14ac:dyDescent="0.25">
      <c r="A19923" s="2">
        <v>19918</v>
      </c>
      <c r="B19923" s="3" t="str">
        <f>"00986230"</f>
        <v>00986230</v>
      </c>
    </row>
    <row r="19924" spans="1:2" x14ac:dyDescent="0.25">
      <c r="A19924" s="2">
        <v>19919</v>
      </c>
      <c r="B19924" s="3" t="str">
        <f>"00986232"</f>
        <v>00986232</v>
      </c>
    </row>
    <row r="19925" spans="1:2" x14ac:dyDescent="0.25">
      <c r="A19925" s="2">
        <v>19920</v>
      </c>
      <c r="B19925" s="3" t="str">
        <f>"00986255"</f>
        <v>00986255</v>
      </c>
    </row>
    <row r="19926" spans="1:2" x14ac:dyDescent="0.25">
      <c r="A19926" s="2">
        <v>19921</v>
      </c>
      <c r="B19926" s="3" t="str">
        <f>"00986271"</f>
        <v>00986271</v>
      </c>
    </row>
    <row r="19927" spans="1:2" x14ac:dyDescent="0.25">
      <c r="A19927" s="2">
        <v>19922</v>
      </c>
      <c r="B19927" s="3" t="str">
        <f>"00986286"</f>
        <v>00986286</v>
      </c>
    </row>
    <row r="19928" spans="1:2" x14ac:dyDescent="0.25">
      <c r="A19928" s="2">
        <v>19923</v>
      </c>
      <c r="B19928" s="3" t="str">
        <f>"00986287"</f>
        <v>00986287</v>
      </c>
    </row>
    <row r="19929" spans="1:2" x14ac:dyDescent="0.25">
      <c r="A19929" s="2">
        <v>19924</v>
      </c>
      <c r="B19929" s="3" t="str">
        <f>"00986337"</f>
        <v>00986337</v>
      </c>
    </row>
    <row r="19930" spans="1:2" x14ac:dyDescent="0.25">
      <c r="A19930" s="2">
        <v>19925</v>
      </c>
      <c r="B19930" s="3" t="str">
        <f>"00986370"</f>
        <v>00986370</v>
      </c>
    </row>
    <row r="19931" spans="1:2" x14ac:dyDescent="0.25">
      <c r="A19931" s="2">
        <v>19926</v>
      </c>
      <c r="B19931" s="3" t="str">
        <f>"00986400"</f>
        <v>00986400</v>
      </c>
    </row>
    <row r="19932" spans="1:2" x14ac:dyDescent="0.25">
      <c r="A19932" s="2">
        <v>19927</v>
      </c>
      <c r="B19932" s="3" t="str">
        <f>"00986430"</f>
        <v>00986430</v>
      </c>
    </row>
    <row r="19933" spans="1:2" x14ac:dyDescent="0.25">
      <c r="A19933" s="2">
        <v>19928</v>
      </c>
      <c r="B19933" s="3" t="str">
        <f>"00986573"</f>
        <v>00986573</v>
      </c>
    </row>
    <row r="19934" spans="1:2" x14ac:dyDescent="0.25">
      <c r="A19934" s="2">
        <v>19929</v>
      </c>
      <c r="B19934" s="3" t="str">
        <f>"00986626"</f>
        <v>00986626</v>
      </c>
    </row>
    <row r="19935" spans="1:2" x14ac:dyDescent="0.25">
      <c r="A19935" s="2">
        <v>19930</v>
      </c>
      <c r="B19935" s="3" t="str">
        <f>"00986646"</f>
        <v>00986646</v>
      </c>
    </row>
    <row r="19936" spans="1:2" x14ac:dyDescent="0.25">
      <c r="A19936" s="2">
        <v>19931</v>
      </c>
      <c r="B19936" s="3" t="str">
        <f>"00986679"</f>
        <v>00986679</v>
      </c>
    </row>
    <row r="19937" spans="1:2" x14ac:dyDescent="0.25">
      <c r="A19937" s="2">
        <v>19932</v>
      </c>
      <c r="B19937" s="3" t="str">
        <f>"00986754"</f>
        <v>00986754</v>
      </c>
    </row>
    <row r="19938" spans="1:2" x14ac:dyDescent="0.25">
      <c r="A19938" s="2">
        <v>19933</v>
      </c>
      <c r="B19938" s="3" t="str">
        <f>"00986798"</f>
        <v>00986798</v>
      </c>
    </row>
    <row r="19939" spans="1:2" x14ac:dyDescent="0.25">
      <c r="A19939" s="2">
        <v>19934</v>
      </c>
      <c r="B19939" s="3" t="str">
        <f>"00986813"</f>
        <v>00986813</v>
      </c>
    </row>
    <row r="19940" spans="1:2" x14ac:dyDescent="0.25">
      <c r="A19940" s="2">
        <v>19935</v>
      </c>
      <c r="B19940" s="3" t="str">
        <f>"00986819"</f>
        <v>00986819</v>
      </c>
    </row>
    <row r="19941" spans="1:2" x14ac:dyDescent="0.25">
      <c r="A19941" s="2">
        <v>19936</v>
      </c>
      <c r="B19941" s="3" t="str">
        <f>"00986848"</f>
        <v>00986848</v>
      </c>
    </row>
    <row r="19942" spans="1:2" x14ac:dyDescent="0.25">
      <c r="A19942" s="2">
        <v>19937</v>
      </c>
      <c r="B19942" s="3" t="str">
        <f>"00986875"</f>
        <v>00986875</v>
      </c>
    </row>
    <row r="19943" spans="1:2" x14ac:dyDescent="0.25">
      <c r="A19943" s="2">
        <v>19938</v>
      </c>
      <c r="B19943" s="3" t="str">
        <f>"00986901"</f>
        <v>00986901</v>
      </c>
    </row>
    <row r="19944" spans="1:2" x14ac:dyDescent="0.25">
      <c r="A19944" s="2">
        <v>19939</v>
      </c>
      <c r="B19944" s="3" t="str">
        <f>"00986910"</f>
        <v>00986910</v>
      </c>
    </row>
    <row r="19945" spans="1:2" x14ac:dyDescent="0.25">
      <c r="A19945" s="2">
        <v>19940</v>
      </c>
      <c r="B19945" s="3" t="str">
        <f>"00986920"</f>
        <v>00986920</v>
      </c>
    </row>
    <row r="19946" spans="1:2" x14ac:dyDescent="0.25">
      <c r="A19946" s="2">
        <v>19941</v>
      </c>
      <c r="B19946" s="3" t="str">
        <f>"00986928"</f>
        <v>00986928</v>
      </c>
    </row>
    <row r="19947" spans="1:2" x14ac:dyDescent="0.25">
      <c r="A19947" s="2">
        <v>19942</v>
      </c>
      <c r="B19947" s="3" t="str">
        <f>"00986948"</f>
        <v>00986948</v>
      </c>
    </row>
    <row r="19948" spans="1:2" x14ac:dyDescent="0.25">
      <c r="A19948" s="2">
        <v>19943</v>
      </c>
      <c r="B19948" s="3" t="str">
        <f>"00986955"</f>
        <v>00986955</v>
      </c>
    </row>
    <row r="19949" spans="1:2" x14ac:dyDescent="0.25">
      <c r="A19949" s="2">
        <v>19944</v>
      </c>
      <c r="B19949" s="3" t="str">
        <f>"00986983"</f>
        <v>00986983</v>
      </c>
    </row>
    <row r="19950" spans="1:2" x14ac:dyDescent="0.25">
      <c r="A19950" s="2">
        <v>19945</v>
      </c>
      <c r="B19950" s="3" t="str">
        <f>"00986998"</f>
        <v>00986998</v>
      </c>
    </row>
    <row r="19951" spans="1:2" x14ac:dyDescent="0.25">
      <c r="A19951" s="2">
        <v>19946</v>
      </c>
      <c r="B19951" s="3" t="str">
        <f>"00987051"</f>
        <v>00987051</v>
      </c>
    </row>
    <row r="19952" spans="1:2" x14ac:dyDescent="0.25">
      <c r="A19952" s="2">
        <v>19947</v>
      </c>
      <c r="B19952" s="3" t="str">
        <f>"00987066"</f>
        <v>00987066</v>
      </c>
    </row>
    <row r="19953" spans="1:2" x14ac:dyDescent="0.25">
      <c r="A19953" s="2">
        <v>19948</v>
      </c>
      <c r="B19953" s="3" t="str">
        <f>"00987102"</f>
        <v>00987102</v>
      </c>
    </row>
    <row r="19954" spans="1:2" x14ac:dyDescent="0.25">
      <c r="A19954" s="2">
        <v>19949</v>
      </c>
      <c r="B19954" s="3" t="str">
        <f>"00987147"</f>
        <v>00987147</v>
      </c>
    </row>
    <row r="19955" spans="1:2" x14ac:dyDescent="0.25">
      <c r="A19955" s="2">
        <v>19950</v>
      </c>
      <c r="B19955" s="3" t="str">
        <f>"00987155"</f>
        <v>00987155</v>
      </c>
    </row>
    <row r="19956" spans="1:2" x14ac:dyDescent="0.25">
      <c r="A19956" s="2">
        <v>19951</v>
      </c>
      <c r="B19956" s="3" t="str">
        <f>"00987164"</f>
        <v>00987164</v>
      </c>
    </row>
    <row r="19957" spans="1:2" x14ac:dyDescent="0.25">
      <c r="A19957" s="2">
        <v>19952</v>
      </c>
      <c r="B19957" s="3" t="str">
        <f>"00987182"</f>
        <v>00987182</v>
      </c>
    </row>
    <row r="19958" spans="1:2" x14ac:dyDescent="0.25">
      <c r="A19958" s="2">
        <v>19953</v>
      </c>
      <c r="B19958" s="3" t="str">
        <f>"00987189"</f>
        <v>00987189</v>
      </c>
    </row>
    <row r="19959" spans="1:2" x14ac:dyDescent="0.25">
      <c r="A19959" s="2">
        <v>19954</v>
      </c>
      <c r="B19959" s="3" t="str">
        <f>"00987197"</f>
        <v>00987197</v>
      </c>
    </row>
    <row r="19960" spans="1:2" x14ac:dyDescent="0.25">
      <c r="A19960" s="2">
        <v>19955</v>
      </c>
      <c r="B19960" s="3" t="str">
        <f>"00987215"</f>
        <v>00987215</v>
      </c>
    </row>
    <row r="19961" spans="1:2" x14ac:dyDescent="0.25">
      <c r="A19961" s="2">
        <v>19956</v>
      </c>
      <c r="B19961" s="3" t="str">
        <f>"00987216"</f>
        <v>00987216</v>
      </c>
    </row>
    <row r="19962" spans="1:2" x14ac:dyDescent="0.25">
      <c r="A19962" s="2">
        <v>19957</v>
      </c>
      <c r="B19962" s="3" t="str">
        <f>"00987233"</f>
        <v>00987233</v>
      </c>
    </row>
    <row r="19963" spans="1:2" x14ac:dyDescent="0.25">
      <c r="A19963" s="2">
        <v>19958</v>
      </c>
      <c r="B19963" s="3" t="str">
        <f>"00987328"</f>
        <v>00987328</v>
      </c>
    </row>
    <row r="19964" spans="1:2" x14ac:dyDescent="0.25">
      <c r="A19964" s="2">
        <v>19959</v>
      </c>
      <c r="B19964" s="3" t="str">
        <f>"00987354"</f>
        <v>00987354</v>
      </c>
    </row>
    <row r="19965" spans="1:2" x14ac:dyDescent="0.25">
      <c r="A19965" s="2">
        <v>19960</v>
      </c>
      <c r="B19965" s="3" t="str">
        <f>"00987372"</f>
        <v>00987372</v>
      </c>
    </row>
    <row r="19966" spans="1:2" x14ac:dyDescent="0.25">
      <c r="A19966" s="2">
        <v>19961</v>
      </c>
      <c r="B19966" s="3" t="str">
        <f>"00987377"</f>
        <v>00987377</v>
      </c>
    </row>
    <row r="19967" spans="1:2" x14ac:dyDescent="0.25">
      <c r="A19967" s="2">
        <v>19962</v>
      </c>
      <c r="B19967" s="3" t="str">
        <f>"00987444"</f>
        <v>00987444</v>
      </c>
    </row>
    <row r="19968" spans="1:2" x14ac:dyDescent="0.25">
      <c r="A19968" s="2">
        <v>19963</v>
      </c>
      <c r="B19968" s="3" t="str">
        <f>"00987448"</f>
        <v>00987448</v>
      </c>
    </row>
    <row r="19969" spans="1:2" x14ac:dyDescent="0.25">
      <c r="A19969" s="2">
        <v>19964</v>
      </c>
      <c r="B19969" s="3" t="str">
        <f>"00987467"</f>
        <v>00987467</v>
      </c>
    </row>
    <row r="19970" spans="1:2" x14ac:dyDescent="0.25">
      <c r="A19970" s="2">
        <v>19965</v>
      </c>
      <c r="B19970" s="3" t="str">
        <f>"00987499"</f>
        <v>00987499</v>
      </c>
    </row>
    <row r="19971" spans="1:2" x14ac:dyDescent="0.25">
      <c r="A19971" s="2">
        <v>19966</v>
      </c>
      <c r="B19971" s="3" t="str">
        <f>"00987560"</f>
        <v>00987560</v>
      </c>
    </row>
    <row r="19972" spans="1:2" x14ac:dyDescent="0.25">
      <c r="A19972" s="2">
        <v>19967</v>
      </c>
      <c r="B19972" s="3" t="str">
        <f>"00987648"</f>
        <v>00987648</v>
      </c>
    </row>
    <row r="19973" spans="1:2" x14ac:dyDescent="0.25">
      <c r="A19973" s="2">
        <v>19968</v>
      </c>
      <c r="B19973" s="3" t="str">
        <f>"00987707"</f>
        <v>00987707</v>
      </c>
    </row>
    <row r="19974" spans="1:2" x14ac:dyDescent="0.25">
      <c r="A19974" s="2">
        <v>19969</v>
      </c>
      <c r="B19974" s="3" t="str">
        <f>"00987763"</f>
        <v>00987763</v>
      </c>
    </row>
    <row r="19975" spans="1:2" x14ac:dyDescent="0.25">
      <c r="A19975" s="2">
        <v>19970</v>
      </c>
      <c r="B19975" s="3" t="str">
        <f>"00987793"</f>
        <v>00987793</v>
      </c>
    </row>
    <row r="19976" spans="1:2" x14ac:dyDescent="0.25">
      <c r="A19976" s="2">
        <v>19971</v>
      </c>
      <c r="B19976" s="3" t="str">
        <f>"00987837"</f>
        <v>00987837</v>
      </c>
    </row>
    <row r="19977" spans="1:2" x14ac:dyDescent="0.25">
      <c r="A19977" s="2">
        <v>19972</v>
      </c>
      <c r="B19977" s="3" t="str">
        <f>"00987841"</f>
        <v>00987841</v>
      </c>
    </row>
    <row r="19978" spans="1:2" x14ac:dyDescent="0.25">
      <c r="A19978" s="2">
        <v>19973</v>
      </c>
      <c r="B19978" s="3" t="str">
        <f>"00987889"</f>
        <v>00987889</v>
      </c>
    </row>
    <row r="19979" spans="1:2" x14ac:dyDescent="0.25">
      <c r="A19979" s="2">
        <v>19974</v>
      </c>
      <c r="B19979" s="3" t="str">
        <f>"00987956"</f>
        <v>00987956</v>
      </c>
    </row>
    <row r="19980" spans="1:2" x14ac:dyDescent="0.25">
      <c r="A19980" s="2">
        <v>19975</v>
      </c>
      <c r="B19980" s="3" t="str">
        <f>"00987989"</f>
        <v>00987989</v>
      </c>
    </row>
    <row r="19981" spans="1:2" x14ac:dyDescent="0.25">
      <c r="A19981" s="2">
        <v>19976</v>
      </c>
      <c r="B19981" s="3" t="str">
        <f>"00988149"</f>
        <v>00988149</v>
      </c>
    </row>
    <row r="19982" spans="1:2" x14ac:dyDescent="0.25">
      <c r="A19982" s="2">
        <v>19977</v>
      </c>
      <c r="B19982" s="3" t="str">
        <f>"00988161"</f>
        <v>00988161</v>
      </c>
    </row>
    <row r="19983" spans="1:2" x14ac:dyDescent="0.25">
      <c r="A19983" s="2">
        <v>19978</v>
      </c>
      <c r="B19983" s="3" t="str">
        <f>"00988199"</f>
        <v>00988199</v>
      </c>
    </row>
    <row r="19984" spans="1:2" x14ac:dyDescent="0.25">
      <c r="A19984" s="2">
        <v>19979</v>
      </c>
      <c r="B19984" s="3" t="str">
        <f>"00988227"</f>
        <v>00988227</v>
      </c>
    </row>
    <row r="19985" spans="1:2" x14ac:dyDescent="0.25">
      <c r="A19985" s="2">
        <v>19980</v>
      </c>
      <c r="B19985" s="3" t="str">
        <f>"00988257"</f>
        <v>00988257</v>
      </c>
    </row>
    <row r="19986" spans="1:2" x14ac:dyDescent="0.25">
      <c r="A19986" s="2">
        <v>19981</v>
      </c>
      <c r="B19986" s="3" t="str">
        <f>"00988372"</f>
        <v>00988372</v>
      </c>
    </row>
    <row r="19987" spans="1:2" x14ac:dyDescent="0.25">
      <c r="A19987" s="2">
        <v>19982</v>
      </c>
      <c r="B19987" s="3" t="str">
        <f>"00988417"</f>
        <v>00988417</v>
      </c>
    </row>
    <row r="19988" spans="1:2" x14ac:dyDescent="0.25">
      <c r="A19988" s="2">
        <v>19983</v>
      </c>
      <c r="B19988" s="3" t="str">
        <f>"00988429"</f>
        <v>00988429</v>
      </c>
    </row>
    <row r="19989" spans="1:2" x14ac:dyDescent="0.25">
      <c r="A19989" s="2">
        <v>19984</v>
      </c>
      <c r="B19989" s="3" t="str">
        <f>"00988447"</f>
        <v>00988447</v>
      </c>
    </row>
    <row r="19990" spans="1:2" x14ac:dyDescent="0.25">
      <c r="A19990" s="2">
        <v>19985</v>
      </c>
      <c r="B19990" s="3" t="str">
        <f>"00988484"</f>
        <v>00988484</v>
      </c>
    </row>
    <row r="19991" spans="1:2" x14ac:dyDescent="0.25">
      <c r="A19991" s="2">
        <v>19986</v>
      </c>
      <c r="B19991" s="3" t="str">
        <f>"00988499"</f>
        <v>00988499</v>
      </c>
    </row>
    <row r="19992" spans="1:2" x14ac:dyDescent="0.25">
      <c r="A19992" s="2">
        <v>19987</v>
      </c>
      <c r="B19992" s="3" t="str">
        <f>"00988568"</f>
        <v>00988568</v>
      </c>
    </row>
    <row r="19993" spans="1:2" x14ac:dyDescent="0.25">
      <c r="A19993" s="2">
        <v>19988</v>
      </c>
      <c r="B19993" s="3" t="str">
        <f>"00988582"</f>
        <v>00988582</v>
      </c>
    </row>
    <row r="19994" spans="1:2" x14ac:dyDescent="0.25">
      <c r="A19994" s="2">
        <v>19989</v>
      </c>
      <c r="B19994" s="3" t="str">
        <f>"00988589"</f>
        <v>00988589</v>
      </c>
    </row>
    <row r="19995" spans="1:2" x14ac:dyDescent="0.25">
      <c r="A19995" s="2">
        <v>19990</v>
      </c>
      <c r="B19995" s="3" t="str">
        <f>"00988616"</f>
        <v>00988616</v>
      </c>
    </row>
    <row r="19996" spans="1:2" x14ac:dyDescent="0.25">
      <c r="A19996" s="2">
        <v>19991</v>
      </c>
      <c r="B19996" s="3" t="str">
        <f>"00988620"</f>
        <v>00988620</v>
      </c>
    </row>
    <row r="19997" spans="1:2" x14ac:dyDescent="0.25">
      <c r="A19997" s="2">
        <v>19992</v>
      </c>
      <c r="B19997" s="3" t="str">
        <f>"00988646"</f>
        <v>00988646</v>
      </c>
    </row>
    <row r="19998" spans="1:2" x14ac:dyDescent="0.25">
      <c r="A19998" s="2">
        <v>19993</v>
      </c>
      <c r="B19998" s="3" t="str">
        <f>"00988710"</f>
        <v>00988710</v>
      </c>
    </row>
    <row r="19999" spans="1:2" x14ac:dyDescent="0.25">
      <c r="A19999" s="2">
        <v>19994</v>
      </c>
      <c r="B19999" s="3" t="str">
        <f>"00988733"</f>
        <v>00988733</v>
      </c>
    </row>
    <row r="20000" spans="1:2" x14ac:dyDescent="0.25">
      <c r="A20000" s="2">
        <v>19995</v>
      </c>
      <c r="B20000" s="3" t="str">
        <f>"00988809"</f>
        <v>00988809</v>
      </c>
    </row>
    <row r="20001" spans="1:2" x14ac:dyDescent="0.25">
      <c r="A20001" s="2">
        <v>19996</v>
      </c>
      <c r="B20001" s="3" t="str">
        <f>"00988890"</f>
        <v>00988890</v>
      </c>
    </row>
    <row r="20002" spans="1:2" x14ac:dyDescent="0.25">
      <c r="A20002" s="2">
        <v>19997</v>
      </c>
      <c r="B20002" s="3" t="str">
        <f>"00988918"</f>
        <v>00988918</v>
      </c>
    </row>
    <row r="20003" spans="1:2" x14ac:dyDescent="0.25">
      <c r="A20003" s="2">
        <v>19998</v>
      </c>
      <c r="B20003" s="3" t="str">
        <f>"00988928"</f>
        <v>00988928</v>
      </c>
    </row>
    <row r="20004" spans="1:2" x14ac:dyDescent="0.25">
      <c r="A20004" s="2">
        <v>19999</v>
      </c>
      <c r="B20004" s="3" t="str">
        <f>"00988953"</f>
        <v>00988953</v>
      </c>
    </row>
    <row r="20005" spans="1:2" x14ac:dyDescent="0.25">
      <c r="A20005" s="2">
        <v>20000</v>
      </c>
      <c r="B20005" s="3" t="str">
        <f>"00988996"</f>
        <v>00988996</v>
      </c>
    </row>
    <row r="20006" spans="1:2" x14ac:dyDescent="0.25">
      <c r="A20006" s="2">
        <v>20001</v>
      </c>
      <c r="B20006" s="3" t="str">
        <f>"00989014"</f>
        <v>00989014</v>
      </c>
    </row>
    <row r="20007" spans="1:2" x14ac:dyDescent="0.25">
      <c r="A20007" s="2">
        <v>20002</v>
      </c>
      <c r="B20007" s="3" t="str">
        <f>"00989126"</f>
        <v>00989126</v>
      </c>
    </row>
    <row r="20008" spans="1:2" x14ac:dyDescent="0.25">
      <c r="A20008" s="2">
        <v>20003</v>
      </c>
      <c r="B20008" s="3" t="str">
        <f>"00989127"</f>
        <v>00989127</v>
      </c>
    </row>
    <row r="20009" spans="1:2" x14ac:dyDescent="0.25">
      <c r="A20009" s="2">
        <v>20004</v>
      </c>
      <c r="B20009" s="3" t="str">
        <f>"00989130"</f>
        <v>00989130</v>
      </c>
    </row>
    <row r="20010" spans="1:2" x14ac:dyDescent="0.25">
      <c r="A20010" s="2">
        <v>20005</v>
      </c>
      <c r="B20010" s="3" t="str">
        <f>"00989136"</f>
        <v>00989136</v>
      </c>
    </row>
    <row r="20011" spans="1:2" x14ac:dyDescent="0.25">
      <c r="A20011" s="2">
        <v>20006</v>
      </c>
      <c r="B20011" s="3" t="str">
        <f>"00989154"</f>
        <v>00989154</v>
      </c>
    </row>
    <row r="20012" spans="1:2" x14ac:dyDescent="0.25">
      <c r="A20012" s="2">
        <v>20007</v>
      </c>
      <c r="B20012" s="3" t="str">
        <f>"00989158"</f>
        <v>00989158</v>
      </c>
    </row>
    <row r="20013" spans="1:2" x14ac:dyDescent="0.25">
      <c r="A20013" s="2">
        <v>20008</v>
      </c>
      <c r="B20013" s="3" t="str">
        <f>"00989168"</f>
        <v>00989168</v>
      </c>
    </row>
    <row r="20014" spans="1:2" x14ac:dyDescent="0.25">
      <c r="A20014" s="2">
        <v>20009</v>
      </c>
      <c r="B20014" s="3" t="str">
        <f>"00989193"</f>
        <v>00989193</v>
      </c>
    </row>
    <row r="20015" spans="1:2" x14ac:dyDescent="0.25">
      <c r="A20015" s="2">
        <v>20010</v>
      </c>
      <c r="B20015" s="3" t="str">
        <f>"00989238"</f>
        <v>00989238</v>
      </c>
    </row>
    <row r="20016" spans="1:2" x14ac:dyDescent="0.25">
      <c r="A20016" s="2">
        <v>20011</v>
      </c>
      <c r="B20016" s="3" t="str">
        <f>"00989264"</f>
        <v>00989264</v>
      </c>
    </row>
    <row r="20017" spans="1:2" x14ac:dyDescent="0.25">
      <c r="A20017" s="2">
        <v>20012</v>
      </c>
      <c r="B20017" s="3" t="str">
        <f>"00989325"</f>
        <v>00989325</v>
      </c>
    </row>
    <row r="20018" spans="1:2" x14ac:dyDescent="0.25">
      <c r="A20018" s="2">
        <v>20013</v>
      </c>
      <c r="B20018" s="3" t="str">
        <f>"00989357"</f>
        <v>00989357</v>
      </c>
    </row>
    <row r="20019" spans="1:2" x14ac:dyDescent="0.25">
      <c r="A20019" s="2">
        <v>20014</v>
      </c>
      <c r="B20019" s="3" t="str">
        <f>"00989403"</f>
        <v>00989403</v>
      </c>
    </row>
    <row r="20020" spans="1:2" x14ac:dyDescent="0.25">
      <c r="A20020" s="2">
        <v>20015</v>
      </c>
      <c r="B20020" s="3" t="str">
        <f>"00989405"</f>
        <v>00989405</v>
      </c>
    </row>
    <row r="20021" spans="1:2" x14ac:dyDescent="0.25">
      <c r="A20021" s="2">
        <v>20016</v>
      </c>
      <c r="B20021" s="3" t="str">
        <f>"00989407"</f>
        <v>00989407</v>
      </c>
    </row>
    <row r="20022" spans="1:2" x14ac:dyDescent="0.25">
      <c r="A20022" s="2">
        <v>20017</v>
      </c>
      <c r="B20022" s="3" t="str">
        <f>"00989442"</f>
        <v>00989442</v>
      </c>
    </row>
    <row r="20023" spans="1:2" x14ac:dyDescent="0.25">
      <c r="A20023" s="2">
        <v>20018</v>
      </c>
      <c r="B20023" s="3" t="str">
        <f>"00989447"</f>
        <v>00989447</v>
      </c>
    </row>
    <row r="20024" spans="1:2" x14ac:dyDescent="0.25">
      <c r="A20024" s="2">
        <v>20019</v>
      </c>
      <c r="B20024" s="3" t="str">
        <f>"00989483"</f>
        <v>00989483</v>
      </c>
    </row>
    <row r="20025" spans="1:2" x14ac:dyDescent="0.25">
      <c r="A20025" s="2">
        <v>20020</v>
      </c>
      <c r="B20025" s="3" t="str">
        <f>"00989485"</f>
        <v>00989485</v>
      </c>
    </row>
    <row r="20026" spans="1:2" x14ac:dyDescent="0.25">
      <c r="A20026" s="2">
        <v>20021</v>
      </c>
      <c r="B20026" s="3" t="str">
        <f>"00989543"</f>
        <v>00989543</v>
      </c>
    </row>
    <row r="20027" spans="1:2" x14ac:dyDescent="0.25">
      <c r="A20027" s="2">
        <v>20022</v>
      </c>
      <c r="B20027" s="3" t="str">
        <f>"00989562"</f>
        <v>00989562</v>
      </c>
    </row>
    <row r="20028" spans="1:2" x14ac:dyDescent="0.25">
      <c r="A20028" s="2">
        <v>20023</v>
      </c>
      <c r="B20028" s="3" t="str">
        <f>"00989610"</f>
        <v>00989610</v>
      </c>
    </row>
    <row r="20029" spans="1:2" x14ac:dyDescent="0.25">
      <c r="A20029" s="2">
        <v>20024</v>
      </c>
      <c r="B20029" s="3" t="str">
        <f>"00989627"</f>
        <v>00989627</v>
      </c>
    </row>
    <row r="20030" spans="1:2" x14ac:dyDescent="0.25">
      <c r="A20030" s="2">
        <v>20025</v>
      </c>
      <c r="B20030" s="3" t="str">
        <f>"00989636"</f>
        <v>00989636</v>
      </c>
    </row>
    <row r="20031" spans="1:2" x14ac:dyDescent="0.25">
      <c r="A20031" s="2">
        <v>20026</v>
      </c>
      <c r="B20031" s="3" t="str">
        <f>"00989647"</f>
        <v>00989647</v>
      </c>
    </row>
    <row r="20032" spans="1:2" x14ac:dyDescent="0.25">
      <c r="A20032" s="2">
        <v>20027</v>
      </c>
      <c r="B20032" s="3" t="str">
        <f>"00989651"</f>
        <v>00989651</v>
      </c>
    </row>
    <row r="20033" spans="1:2" x14ac:dyDescent="0.25">
      <c r="A20033" s="2">
        <v>20028</v>
      </c>
      <c r="B20033" s="3" t="str">
        <f>"00989669"</f>
        <v>00989669</v>
      </c>
    </row>
    <row r="20034" spans="1:2" x14ac:dyDescent="0.25">
      <c r="A20034" s="2">
        <v>20029</v>
      </c>
      <c r="B20034" s="3" t="str">
        <f>"00989714"</f>
        <v>00989714</v>
      </c>
    </row>
    <row r="20035" spans="1:2" x14ac:dyDescent="0.25">
      <c r="A20035" s="2">
        <v>20030</v>
      </c>
      <c r="B20035" s="3" t="str">
        <f>"00989721"</f>
        <v>00989721</v>
      </c>
    </row>
    <row r="20036" spans="1:2" x14ac:dyDescent="0.25">
      <c r="A20036" s="2">
        <v>20031</v>
      </c>
      <c r="B20036" s="3" t="str">
        <f>"00989750"</f>
        <v>00989750</v>
      </c>
    </row>
    <row r="20037" spans="1:2" x14ac:dyDescent="0.25">
      <c r="A20037" s="2">
        <v>20032</v>
      </c>
      <c r="B20037" s="3" t="str">
        <f>"00989772"</f>
        <v>00989772</v>
      </c>
    </row>
    <row r="20038" spans="1:2" x14ac:dyDescent="0.25">
      <c r="A20038" s="2">
        <v>20033</v>
      </c>
      <c r="B20038" s="3" t="str">
        <f>"00989777"</f>
        <v>00989777</v>
      </c>
    </row>
    <row r="20039" spans="1:2" x14ac:dyDescent="0.25">
      <c r="A20039" s="2">
        <v>20034</v>
      </c>
      <c r="B20039" s="3" t="str">
        <f>"00989810"</f>
        <v>00989810</v>
      </c>
    </row>
    <row r="20040" spans="1:2" x14ac:dyDescent="0.25">
      <c r="A20040" s="2">
        <v>20035</v>
      </c>
      <c r="B20040" s="3" t="str">
        <f>"00989929"</f>
        <v>00989929</v>
      </c>
    </row>
    <row r="20041" spans="1:2" x14ac:dyDescent="0.25">
      <c r="A20041" s="2">
        <v>20036</v>
      </c>
      <c r="B20041" s="3" t="str">
        <f>"00989947"</f>
        <v>00989947</v>
      </c>
    </row>
    <row r="20042" spans="1:2" x14ac:dyDescent="0.25">
      <c r="A20042" s="2">
        <v>20037</v>
      </c>
      <c r="B20042" s="3" t="str">
        <f>"00989961"</f>
        <v>00989961</v>
      </c>
    </row>
    <row r="20043" spans="1:2" x14ac:dyDescent="0.25">
      <c r="A20043" s="2">
        <v>20038</v>
      </c>
      <c r="B20043" s="3" t="str">
        <f>"00990028"</f>
        <v>00990028</v>
      </c>
    </row>
    <row r="20044" spans="1:2" x14ac:dyDescent="0.25">
      <c r="A20044" s="2">
        <v>20039</v>
      </c>
      <c r="B20044" s="3" t="str">
        <f>"00990030"</f>
        <v>00990030</v>
      </c>
    </row>
    <row r="20045" spans="1:2" x14ac:dyDescent="0.25">
      <c r="A20045" s="2">
        <v>20040</v>
      </c>
      <c r="B20045" s="3" t="str">
        <f>"00990107"</f>
        <v>00990107</v>
      </c>
    </row>
    <row r="20046" spans="1:2" x14ac:dyDescent="0.25">
      <c r="A20046" s="2">
        <v>20041</v>
      </c>
      <c r="B20046" s="3" t="str">
        <f>"00990109"</f>
        <v>00990109</v>
      </c>
    </row>
    <row r="20047" spans="1:2" x14ac:dyDescent="0.25">
      <c r="A20047" s="2">
        <v>20042</v>
      </c>
      <c r="B20047" s="3" t="str">
        <f>"00990119"</f>
        <v>00990119</v>
      </c>
    </row>
    <row r="20048" spans="1:2" x14ac:dyDescent="0.25">
      <c r="A20048" s="2">
        <v>20043</v>
      </c>
      <c r="B20048" s="3" t="str">
        <f>"00990127"</f>
        <v>00990127</v>
      </c>
    </row>
    <row r="20049" spans="1:2" x14ac:dyDescent="0.25">
      <c r="A20049" s="2">
        <v>20044</v>
      </c>
      <c r="B20049" s="3" t="str">
        <f>"00990128"</f>
        <v>00990128</v>
      </c>
    </row>
    <row r="20050" spans="1:2" x14ac:dyDescent="0.25">
      <c r="A20050" s="2">
        <v>20045</v>
      </c>
      <c r="B20050" s="3" t="str">
        <f>"00990153"</f>
        <v>00990153</v>
      </c>
    </row>
    <row r="20051" spans="1:2" x14ac:dyDescent="0.25">
      <c r="A20051" s="2">
        <v>20046</v>
      </c>
      <c r="B20051" s="3" t="str">
        <f>"00990189"</f>
        <v>00990189</v>
      </c>
    </row>
    <row r="20052" spans="1:2" x14ac:dyDescent="0.25">
      <c r="A20052" s="2">
        <v>20047</v>
      </c>
      <c r="B20052" s="3" t="str">
        <f>"00990200"</f>
        <v>00990200</v>
      </c>
    </row>
    <row r="20053" spans="1:2" x14ac:dyDescent="0.25">
      <c r="A20053" s="2">
        <v>20048</v>
      </c>
      <c r="B20053" s="3" t="str">
        <f>"00990201"</f>
        <v>00990201</v>
      </c>
    </row>
    <row r="20054" spans="1:2" x14ac:dyDescent="0.25">
      <c r="A20054" s="2">
        <v>20049</v>
      </c>
      <c r="B20054" s="3" t="str">
        <f>"00990205"</f>
        <v>00990205</v>
      </c>
    </row>
    <row r="20055" spans="1:2" x14ac:dyDescent="0.25">
      <c r="A20055" s="2">
        <v>20050</v>
      </c>
      <c r="B20055" s="3" t="str">
        <f>"00990209"</f>
        <v>00990209</v>
      </c>
    </row>
    <row r="20056" spans="1:2" x14ac:dyDescent="0.25">
      <c r="A20056" s="2">
        <v>20051</v>
      </c>
      <c r="B20056" s="3" t="str">
        <f>"00990216"</f>
        <v>00990216</v>
      </c>
    </row>
    <row r="20057" spans="1:2" x14ac:dyDescent="0.25">
      <c r="A20057" s="2">
        <v>20052</v>
      </c>
      <c r="B20057" s="3" t="str">
        <f>"00990252"</f>
        <v>00990252</v>
      </c>
    </row>
    <row r="20058" spans="1:2" x14ac:dyDescent="0.25">
      <c r="A20058" s="2">
        <v>20053</v>
      </c>
      <c r="B20058" s="3" t="str">
        <f>"00990263"</f>
        <v>00990263</v>
      </c>
    </row>
    <row r="20059" spans="1:2" x14ac:dyDescent="0.25">
      <c r="A20059" s="2">
        <v>20054</v>
      </c>
      <c r="B20059" s="3" t="str">
        <f>"00990273"</f>
        <v>00990273</v>
      </c>
    </row>
    <row r="20060" spans="1:2" x14ac:dyDescent="0.25">
      <c r="A20060" s="2">
        <v>20055</v>
      </c>
      <c r="B20060" s="3" t="str">
        <f>"00990281"</f>
        <v>00990281</v>
      </c>
    </row>
    <row r="20061" spans="1:2" x14ac:dyDescent="0.25">
      <c r="A20061" s="2">
        <v>20056</v>
      </c>
      <c r="B20061" s="3" t="str">
        <f>"00990282"</f>
        <v>00990282</v>
      </c>
    </row>
    <row r="20062" spans="1:2" x14ac:dyDescent="0.25">
      <c r="A20062" s="2">
        <v>20057</v>
      </c>
      <c r="B20062" s="3" t="str">
        <f>"00990290"</f>
        <v>00990290</v>
      </c>
    </row>
    <row r="20063" spans="1:2" x14ac:dyDescent="0.25">
      <c r="A20063" s="2">
        <v>20058</v>
      </c>
      <c r="B20063" s="3" t="str">
        <f>"00990314"</f>
        <v>00990314</v>
      </c>
    </row>
    <row r="20064" spans="1:2" x14ac:dyDescent="0.25">
      <c r="A20064" s="2">
        <v>20059</v>
      </c>
      <c r="B20064" s="3" t="str">
        <f>"00990348"</f>
        <v>00990348</v>
      </c>
    </row>
    <row r="20065" spans="1:2" x14ac:dyDescent="0.25">
      <c r="A20065" s="2">
        <v>20060</v>
      </c>
      <c r="B20065" s="3" t="str">
        <f>"00990416"</f>
        <v>00990416</v>
      </c>
    </row>
    <row r="20066" spans="1:2" x14ac:dyDescent="0.25">
      <c r="A20066" s="2">
        <v>20061</v>
      </c>
      <c r="B20066" s="3" t="str">
        <f>"00990454"</f>
        <v>00990454</v>
      </c>
    </row>
    <row r="20067" spans="1:2" x14ac:dyDescent="0.25">
      <c r="A20067" s="2">
        <v>20062</v>
      </c>
      <c r="B20067" s="3" t="str">
        <f>"00990457"</f>
        <v>00990457</v>
      </c>
    </row>
    <row r="20068" spans="1:2" x14ac:dyDescent="0.25">
      <c r="A20068" s="2">
        <v>20063</v>
      </c>
      <c r="B20068" s="3" t="str">
        <f>"00990515"</f>
        <v>00990515</v>
      </c>
    </row>
    <row r="20069" spans="1:2" x14ac:dyDescent="0.25">
      <c r="A20069" s="2">
        <v>20064</v>
      </c>
      <c r="B20069" s="3" t="str">
        <f>"00990546"</f>
        <v>00990546</v>
      </c>
    </row>
    <row r="20070" spans="1:2" x14ac:dyDescent="0.25">
      <c r="A20070" s="2">
        <v>20065</v>
      </c>
      <c r="B20070" s="3" t="str">
        <f>"00990550"</f>
        <v>00990550</v>
      </c>
    </row>
    <row r="20071" spans="1:2" x14ac:dyDescent="0.25">
      <c r="A20071" s="2">
        <v>20066</v>
      </c>
      <c r="B20071" s="3" t="str">
        <f>"00990569"</f>
        <v>00990569</v>
      </c>
    </row>
    <row r="20072" spans="1:2" x14ac:dyDescent="0.25">
      <c r="A20072" s="2">
        <v>20067</v>
      </c>
      <c r="B20072" s="3" t="str">
        <f>"00990584"</f>
        <v>00990584</v>
      </c>
    </row>
    <row r="20073" spans="1:2" x14ac:dyDescent="0.25">
      <c r="A20073" s="2">
        <v>20068</v>
      </c>
      <c r="B20073" s="3" t="str">
        <f>"00990592"</f>
        <v>00990592</v>
      </c>
    </row>
    <row r="20074" spans="1:2" x14ac:dyDescent="0.25">
      <c r="A20074" s="2">
        <v>20069</v>
      </c>
      <c r="B20074" s="3" t="str">
        <f>"00990605"</f>
        <v>00990605</v>
      </c>
    </row>
    <row r="20075" spans="1:2" x14ac:dyDescent="0.25">
      <c r="A20075" s="2">
        <v>20070</v>
      </c>
      <c r="B20075" s="3" t="str">
        <f>"00990653"</f>
        <v>00990653</v>
      </c>
    </row>
    <row r="20076" spans="1:2" x14ac:dyDescent="0.25">
      <c r="A20076" s="2">
        <v>20071</v>
      </c>
      <c r="B20076" s="3" t="str">
        <f>"00990775"</f>
        <v>00990775</v>
      </c>
    </row>
    <row r="20077" spans="1:2" x14ac:dyDescent="0.25">
      <c r="A20077" s="2">
        <v>20072</v>
      </c>
      <c r="B20077" s="3" t="str">
        <f>"00990828"</f>
        <v>00990828</v>
      </c>
    </row>
    <row r="20078" spans="1:2" x14ac:dyDescent="0.25">
      <c r="A20078" s="2">
        <v>20073</v>
      </c>
      <c r="B20078" s="3" t="str">
        <f>"00990837"</f>
        <v>00990837</v>
      </c>
    </row>
    <row r="20079" spans="1:2" x14ac:dyDescent="0.25">
      <c r="A20079" s="2">
        <v>20074</v>
      </c>
      <c r="B20079" s="3" t="str">
        <f>"00990853"</f>
        <v>00990853</v>
      </c>
    </row>
    <row r="20080" spans="1:2" x14ac:dyDescent="0.25">
      <c r="A20080" s="2">
        <v>20075</v>
      </c>
      <c r="B20080" s="3" t="str">
        <f>"00990918"</f>
        <v>00990918</v>
      </c>
    </row>
    <row r="20081" spans="1:2" x14ac:dyDescent="0.25">
      <c r="A20081" s="2">
        <v>20076</v>
      </c>
      <c r="B20081" s="3" t="str">
        <f>"00990980"</f>
        <v>00990980</v>
      </c>
    </row>
    <row r="20082" spans="1:2" x14ac:dyDescent="0.25">
      <c r="A20082" s="2">
        <v>20077</v>
      </c>
      <c r="B20082" s="3" t="str">
        <f>"00991010"</f>
        <v>00991010</v>
      </c>
    </row>
    <row r="20083" spans="1:2" x14ac:dyDescent="0.25">
      <c r="A20083" s="2">
        <v>20078</v>
      </c>
      <c r="B20083" s="3" t="str">
        <f>"00991025"</f>
        <v>00991025</v>
      </c>
    </row>
    <row r="20084" spans="1:2" x14ac:dyDescent="0.25">
      <c r="A20084" s="2">
        <v>20079</v>
      </c>
      <c r="B20084" s="3" t="str">
        <f>"00991035"</f>
        <v>00991035</v>
      </c>
    </row>
    <row r="20085" spans="1:2" x14ac:dyDescent="0.25">
      <c r="A20085" s="2">
        <v>20080</v>
      </c>
      <c r="B20085" s="3" t="str">
        <f>"00991053"</f>
        <v>00991053</v>
      </c>
    </row>
    <row r="20086" spans="1:2" x14ac:dyDescent="0.25">
      <c r="A20086" s="2">
        <v>20081</v>
      </c>
      <c r="B20086" s="3" t="str">
        <f>"00991067"</f>
        <v>00991067</v>
      </c>
    </row>
    <row r="20087" spans="1:2" x14ac:dyDescent="0.25">
      <c r="A20087" s="2">
        <v>20082</v>
      </c>
      <c r="B20087" s="3" t="str">
        <f>"00991077"</f>
        <v>00991077</v>
      </c>
    </row>
    <row r="20088" spans="1:2" x14ac:dyDescent="0.25">
      <c r="A20088" s="2">
        <v>20083</v>
      </c>
      <c r="B20088" s="3" t="str">
        <f>"00991084"</f>
        <v>00991084</v>
      </c>
    </row>
    <row r="20089" spans="1:2" x14ac:dyDescent="0.25">
      <c r="A20089" s="2">
        <v>20084</v>
      </c>
      <c r="B20089" s="3" t="str">
        <f>"00991091"</f>
        <v>00991091</v>
      </c>
    </row>
    <row r="20090" spans="1:2" x14ac:dyDescent="0.25">
      <c r="A20090" s="2">
        <v>20085</v>
      </c>
      <c r="B20090" s="3" t="str">
        <f>"00991102"</f>
        <v>00991102</v>
      </c>
    </row>
    <row r="20091" spans="1:2" x14ac:dyDescent="0.25">
      <c r="A20091" s="2">
        <v>20086</v>
      </c>
      <c r="B20091" s="3" t="str">
        <f>"00991104"</f>
        <v>00991104</v>
      </c>
    </row>
    <row r="20092" spans="1:2" x14ac:dyDescent="0.25">
      <c r="A20092" s="2">
        <v>20087</v>
      </c>
      <c r="B20092" s="3" t="str">
        <f>"00991148"</f>
        <v>00991148</v>
      </c>
    </row>
    <row r="20093" spans="1:2" x14ac:dyDescent="0.25">
      <c r="A20093" s="2">
        <v>20088</v>
      </c>
      <c r="B20093" s="3" t="str">
        <f>"00991168"</f>
        <v>00991168</v>
      </c>
    </row>
    <row r="20094" spans="1:2" x14ac:dyDescent="0.25">
      <c r="A20094" s="2">
        <v>20089</v>
      </c>
      <c r="B20094" s="3" t="str">
        <f>"00991177"</f>
        <v>00991177</v>
      </c>
    </row>
    <row r="20095" spans="1:2" x14ac:dyDescent="0.25">
      <c r="A20095" s="2">
        <v>20090</v>
      </c>
      <c r="B20095" s="3" t="str">
        <f>"00991181"</f>
        <v>00991181</v>
      </c>
    </row>
    <row r="20096" spans="1:2" x14ac:dyDescent="0.25">
      <c r="A20096" s="2">
        <v>20091</v>
      </c>
      <c r="B20096" s="3" t="str">
        <f>"00991286"</f>
        <v>00991286</v>
      </c>
    </row>
    <row r="20097" spans="1:2" x14ac:dyDescent="0.25">
      <c r="A20097" s="2">
        <v>20092</v>
      </c>
      <c r="B20097" s="3" t="str">
        <f>"00991351"</f>
        <v>00991351</v>
      </c>
    </row>
    <row r="20098" spans="1:2" x14ac:dyDescent="0.25">
      <c r="A20098" s="2">
        <v>20093</v>
      </c>
      <c r="B20098" s="3" t="str">
        <f>"00991385"</f>
        <v>00991385</v>
      </c>
    </row>
    <row r="20099" spans="1:2" x14ac:dyDescent="0.25">
      <c r="A20099" s="2">
        <v>20094</v>
      </c>
      <c r="B20099" s="3" t="str">
        <f>"00991390"</f>
        <v>00991390</v>
      </c>
    </row>
    <row r="20100" spans="1:2" x14ac:dyDescent="0.25">
      <c r="A20100" s="2">
        <v>20095</v>
      </c>
      <c r="B20100" s="3" t="str">
        <f>"00991443"</f>
        <v>00991443</v>
      </c>
    </row>
    <row r="20101" spans="1:2" x14ac:dyDescent="0.25">
      <c r="A20101" s="2">
        <v>20096</v>
      </c>
      <c r="B20101" s="3" t="str">
        <f>"00991448"</f>
        <v>00991448</v>
      </c>
    </row>
    <row r="20102" spans="1:2" x14ac:dyDescent="0.25">
      <c r="A20102" s="2">
        <v>20097</v>
      </c>
      <c r="B20102" s="3" t="str">
        <f>"00991465"</f>
        <v>00991465</v>
      </c>
    </row>
    <row r="20103" spans="1:2" x14ac:dyDescent="0.25">
      <c r="A20103" s="2">
        <v>20098</v>
      </c>
      <c r="B20103" s="3" t="str">
        <f>"00991544"</f>
        <v>00991544</v>
      </c>
    </row>
    <row r="20104" spans="1:2" x14ac:dyDescent="0.25">
      <c r="A20104" s="2">
        <v>20099</v>
      </c>
      <c r="B20104" s="3" t="str">
        <f>"00991609"</f>
        <v>00991609</v>
      </c>
    </row>
    <row r="20105" spans="1:2" x14ac:dyDescent="0.25">
      <c r="A20105" s="2">
        <v>20100</v>
      </c>
      <c r="B20105" s="3" t="str">
        <f>"00991659"</f>
        <v>00991659</v>
      </c>
    </row>
    <row r="20106" spans="1:2" x14ac:dyDescent="0.25">
      <c r="A20106" s="2">
        <v>20101</v>
      </c>
      <c r="B20106" s="3" t="str">
        <f>"00991674"</f>
        <v>00991674</v>
      </c>
    </row>
    <row r="20107" spans="1:2" x14ac:dyDescent="0.25">
      <c r="A20107" s="2">
        <v>20102</v>
      </c>
      <c r="B20107" s="3" t="str">
        <f>"00991720"</f>
        <v>00991720</v>
      </c>
    </row>
    <row r="20108" spans="1:2" x14ac:dyDescent="0.25">
      <c r="A20108" s="2">
        <v>20103</v>
      </c>
      <c r="B20108" s="3" t="str">
        <f>"00991800"</f>
        <v>00991800</v>
      </c>
    </row>
    <row r="20109" spans="1:2" x14ac:dyDescent="0.25">
      <c r="A20109" s="2">
        <v>20104</v>
      </c>
      <c r="B20109" s="3" t="str">
        <f>"00991808"</f>
        <v>00991808</v>
      </c>
    </row>
    <row r="20110" spans="1:2" x14ac:dyDescent="0.25">
      <c r="A20110" s="2">
        <v>20105</v>
      </c>
      <c r="B20110" s="3" t="str">
        <f>"00991822"</f>
        <v>00991822</v>
      </c>
    </row>
    <row r="20111" spans="1:2" x14ac:dyDescent="0.25">
      <c r="A20111" s="2">
        <v>20106</v>
      </c>
      <c r="B20111" s="3" t="str">
        <f>"00991823"</f>
        <v>00991823</v>
      </c>
    </row>
    <row r="20112" spans="1:2" x14ac:dyDescent="0.25">
      <c r="A20112" s="2">
        <v>20107</v>
      </c>
      <c r="B20112" s="3" t="str">
        <f>"00991831"</f>
        <v>00991831</v>
      </c>
    </row>
    <row r="20113" spans="1:2" x14ac:dyDescent="0.25">
      <c r="A20113" s="2">
        <v>20108</v>
      </c>
      <c r="B20113" s="3" t="str">
        <f>"00991850"</f>
        <v>00991850</v>
      </c>
    </row>
    <row r="20114" spans="1:2" x14ac:dyDescent="0.25">
      <c r="A20114" s="2">
        <v>20109</v>
      </c>
      <c r="B20114" s="3" t="str">
        <f>"00991897"</f>
        <v>00991897</v>
      </c>
    </row>
    <row r="20115" spans="1:2" x14ac:dyDescent="0.25">
      <c r="A20115" s="2">
        <v>20110</v>
      </c>
      <c r="B20115" s="3" t="str">
        <f>"00991898"</f>
        <v>00991898</v>
      </c>
    </row>
    <row r="20116" spans="1:2" x14ac:dyDescent="0.25">
      <c r="A20116" s="2">
        <v>20111</v>
      </c>
      <c r="B20116" s="3" t="str">
        <f>"00991935"</f>
        <v>00991935</v>
      </c>
    </row>
    <row r="20117" spans="1:2" x14ac:dyDescent="0.25">
      <c r="A20117" s="2">
        <v>20112</v>
      </c>
      <c r="B20117" s="3" t="str">
        <f>"00991937"</f>
        <v>00991937</v>
      </c>
    </row>
    <row r="20118" spans="1:2" x14ac:dyDescent="0.25">
      <c r="A20118" s="2">
        <v>20113</v>
      </c>
      <c r="B20118" s="3" t="str">
        <f>"00991956"</f>
        <v>00991956</v>
      </c>
    </row>
    <row r="20119" spans="1:2" x14ac:dyDescent="0.25">
      <c r="A20119" s="2">
        <v>20114</v>
      </c>
      <c r="B20119" s="3" t="str">
        <f>"00991958"</f>
        <v>00991958</v>
      </c>
    </row>
    <row r="20120" spans="1:2" x14ac:dyDescent="0.25">
      <c r="A20120" s="2">
        <v>20115</v>
      </c>
      <c r="B20120" s="3" t="str">
        <f>"00992010"</f>
        <v>00992010</v>
      </c>
    </row>
    <row r="20121" spans="1:2" x14ac:dyDescent="0.25">
      <c r="A20121" s="2">
        <v>20116</v>
      </c>
      <c r="B20121" s="3" t="str">
        <f>"00992061"</f>
        <v>00992061</v>
      </c>
    </row>
    <row r="20122" spans="1:2" x14ac:dyDescent="0.25">
      <c r="A20122" s="2">
        <v>20117</v>
      </c>
      <c r="B20122" s="3" t="str">
        <f>"00992063"</f>
        <v>00992063</v>
      </c>
    </row>
    <row r="20123" spans="1:2" x14ac:dyDescent="0.25">
      <c r="A20123" s="2">
        <v>20118</v>
      </c>
      <c r="B20123" s="3" t="str">
        <f>"00992080"</f>
        <v>00992080</v>
      </c>
    </row>
    <row r="20124" spans="1:2" x14ac:dyDescent="0.25">
      <c r="A20124" s="2">
        <v>20119</v>
      </c>
      <c r="B20124" s="3" t="str">
        <f>"00992149"</f>
        <v>00992149</v>
      </c>
    </row>
    <row r="20125" spans="1:2" x14ac:dyDescent="0.25">
      <c r="A20125" s="2">
        <v>20120</v>
      </c>
      <c r="B20125" s="3" t="str">
        <f>"00992151"</f>
        <v>00992151</v>
      </c>
    </row>
    <row r="20126" spans="1:2" x14ac:dyDescent="0.25">
      <c r="A20126" s="2">
        <v>20121</v>
      </c>
      <c r="B20126" s="3" t="str">
        <f>"00992171"</f>
        <v>00992171</v>
      </c>
    </row>
    <row r="20127" spans="1:2" x14ac:dyDescent="0.25">
      <c r="A20127" s="2">
        <v>20122</v>
      </c>
      <c r="B20127" s="3" t="str">
        <f>"00992190"</f>
        <v>00992190</v>
      </c>
    </row>
    <row r="20128" spans="1:2" x14ac:dyDescent="0.25">
      <c r="A20128" s="2">
        <v>20123</v>
      </c>
      <c r="B20128" s="3" t="str">
        <f>"00992214"</f>
        <v>00992214</v>
      </c>
    </row>
    <row r="20129" spans="1:2" x14ac:dyDescent="0.25">
      <c r="A20129" s="2">
        <v>20124</v>
      </c>
      <c r="B20129" s="3" t="str">
        <f>"00992386"</f>
        <v>00992386</v>
      </c>
    </row>
    <row r="20130" spans="1:2" x14ac:dyDescent="0.25">
      <c r="A20130" s="2">
        <v>20125</v>
      </c>
      <c r="B20130" s="3" t="str">
        <f>"00992404"</f>
        <v>00992404</v>
      </c>
    </row>
    <row r="20131" spans="1:2" x14ac:dyDescent="0.25">
      <c r="A20131" s="2">
        <v>20126</v>
      </c>
      <c r="B20131" s="3" t="str">
        <f>"00992445"</f>
        <v>00992445</v>
      </c>
    </row>
    <row r="20132" spans="1:2" x14ac:dyDescent="0.25">
      <c r="A20132" s="2">
        <v>20127</v>
      </c>
      <c r="B20132" s="3" t="str">
        <f>"00992465"</f>
        <v>00992465</v>
      </c>
    </row>
    <row r="20133" spans="1:2" x14ac:dyDescent="0.25">
      <c r="A20133" s="2">
        <v>20128</v>
      </c>
      <c r="B20133" s="3" t="str">
        <f>"00992502"</f>
        <v>00992502</v>
      </c>
    </row>
    <row r="20134" spans="1:2" x14ac:dyDescent="0.25">
      <c r="A20134" s="2">
        <v>20129</v>
      </c>
      <c r="B20134" s="3" t="str">
        <f>"00992511"</f>
        <v>00992511</v>
      </c>
    </row>
    <row r="20135" spans="1:2" x14ac:dyDescent="0.25">
      <c r="A20135" s="2">
        <v>20130</v>
      </c>
      <c r="B20135" s="3" t="str">
        <f>"00992530"</f>
        <v>00992530</v>
      </c>
    </row>
    <row r="20136" spans="1:2" x14ac:dyDescent="0.25">
      <c r="A20136" s="2">
        <v>20131</v>
      </c>
      <c r="B20136" s="3" t="str">
        <f>"00992568"</f>
        <v>00992568</v>
      </c>
    </row>
    <row r="20137" spans="1:2" x14ac:dyDescent="0.25">
      <c r="A20137" s="2">
        <v>20132</v>
      </c>
      <c r="B20137" s="3" t="str">
        <f>"00992588"</f>
        <v>00992588</v>
      </c>
    </row>
    <row r="20138" spans="1:2" x14ac:dyDescent="0.25">
      <c r="A20138" s="2">
        <v>20133</v>
      </c>
      <c r="B20138" s="3" t="str">
        <f>"00992597"</f>
        <v>00992597</v>
      </c>
    </row>
    <row r="20139" spans="1:2" x14ac:dyDescent="0.25">
      <c r="A20139" s="2">
        <v>20134</v>
      </c>
      <c r="B20139" s="3" t="str">
        <f>"00992603"</f>
        <v>00992603</v>
      </c>
    </row>
    <row r="20140" spans="1:2" x14ac:dyDescent="0.25">
      <c r="A20140" s="2">
        <v>20135</v>
      </c>
      <c r="B20140" s="3" t="str">
        <f>"00992626"</f>
        <v>00992626</v>
      </c>
    </row>
    <row r="20141" spans="1:2" x14ac:dyDescent="0.25">
      <c r="A20141" s="2">
        <v>20136</v>
      </c>
      <c r="B20141" s="3" t="str">
        <f>"00992653"</f>
        <v>00992653</v>
      </c>
    </row>
    <row r="20142" spans="1:2" x14ac:dyDescent="0.25">
      <c r="A20142" s="2">
        <v>20137</v>
      </c>
      <c r="B20142" s="3" t="str">
        <f>"00992660"</f>
        <v>00992660</v>
      </c>
    </row>
    <row r="20143" spans="1:2" x14ac:dyDescent="0.25">
      <c r="A20143" s="2">
        <v>20138</v>
      </c>
      <c r="B20143" s="3" t="str">
        <f>"00992735"</f>
        <v>00992735</v>
      </c>
    </row>
    <row r="20144" spans="1:2" x14ac:dyDescent="0.25">
      <c r="A20144" s="2">
        <v>20139</v>
      </c>
      <c r="B20144" s="3" t="str">
        <f>"00992745"</f>
        <v>00992745</v>
      </c>
    </row>
    <row r="20145" spans="1:2" x14ac:dyDescent="0.25">
      <c r="A20145" s="2">
        <v>20140</v>
      </c>
      <c r="B20145" s="3" t="str">
        <f>"00992755"</f>
        <v>00992755</v>
      </c>
    </row>
    <row r="20146" spans="1:2" x14ac:dyDescent="0.25">
      <c r="A20146" s="2">
        <v>20141</v>
      </c>
      <c r="B20146" s="3" t="str">
        <f>"00992803"</f>
        <v>00992803</v>
      </c>
    </row>
    <row r="20147" spans="1:2" x14ac:dyDescent="0.25">
      <c r="A20147" s="2">
        <v>20142</v>
      </c>
      <c r="B20147" s="3" t="str">
        <f>"00992839"</f>
        <v>00992839</v>
      </c>
    </row>
    <row r="20148" spans="1:2" x14ac:dyDescent="0.25">
      <c r="A20148" s="2">
        <v>20143</v>
      </c>
      <c r="B20148" s="3" t="str">
        <f>"00992843"</f>
        <v>00992843</v>
      </c>
    </row>
    <row r="20149" spans="1:2" x14ac:dyDescent="0.25">
      <c r="A20149" s="2">
        <v>20144</v>
      </c>
      <c r="B20149" s="3" t="str">
        <f>"00992850"</f>
        <v>00992850</v>
      </c>
    </row>
    <row r="20150" spans="1:2" x14ac:dyDescent="0.25">
      <c r="A20150" s="2">
        <v>20145</v>
      </c>
      <c r="B20150" s="3" t="str">
        <f>"00992854"</f>
        <v>00992854</v>
      </c>
    </row>
    <row r="20151" spans="1:2" x14ac:dyDescent="0.25">
      <c r="A20151" s="2">
        <v>20146</v>
      </c>
      <c r="B20151" s="3" t="str">
        <f>"00992877"</f>
        <v>00992877</v>
      </c>
    </row>
    <row r="20152" spans="1:2" x14ac:dyDescent="0.25">
      <c r="A20152" s="2">
        <v>20147</v>
      </c>
      <c r="B20152" s="3" t="str">
        <f>"00992879"</f>
        <v>00992879</v>
      </c>
    </row>
    <row r="20153" spans="1:2" x14ac:dyDescent="0.25">
      <c r="A20153" s="2">
        <v>20148</v>
      </c>
      <c r="B20153" s="3" t="str">
        <f>"00992890"</f>
        <v>00992890</v>
      </c>
    </row>
    <row r="20154" spans="1:2" x14ac:dyDescent="0.25">
      <c r="A20154" s="2">
        <v>20149</v>
      </c>
      <c r="B20154" s="3" t="str">
        <f>"00992926"</f>
        <v>00992926</v>
      </c>
    </row>
    <row r="20155" spans="1:2" x14ac:dyDescent="0.25">
      <c r="A20155" s="2">
        <v>20150</v>
      </c>
      <c r="B20155" s="3" t="str">
        <f>"00992954"</f>
        <v>00992954</v>
      </c>
    </row>
    <row r="20156" spans="1:2" x14ac:dyDescent="0.25">
      <c r="A20156" s="2">
        <v>20151</v>
      </c>
      <c r="B20156" s="3" t="str">
        <f>"00992968"</f>
        <v>00992968</v>
      </c>
    </row>
    <row r="20157" spans="1:2" x14ac:dyDescent="0.25">
      <c r="A20157" s="2">
        <v>20152</v>
      </c>
      <c r="B20157" s="3" t="str">
        <f>"00992969"</f>
        <v>00992969</v>
      </c>
    </row>
    <row r="20158" spans="1:2" x14ac:dyDescent="0.25">
      <c r="A20158" s="2">
        <v>20153</v>
      </c>
      <c r="B20158" s="3" t="str">
        <f>"00992977"</f>
        <v>00992977</v>
      </c>
    </row>
    <row r="20159" spans="1:2" x14ac:dyDescent="0.25">
      <c r="A20159" s="2">
        <v>20154</v>
      </c>
      <c r="B20159" s="3" t="str">
        <f>"00993007"</f>
        <v>00993007</v>
      </c>
    </row>
    <row r="20160" spans="1:2" x14ac:dyDescent="0.25">
      <c r="A20160" s="2">
        <v>20155</v>
      </c>
      <c r="B20160" s="3" t="str">
        <f>"00993031"</f>
        <v>00993031</v>
      </c>
    </row>
    <row r="20161" spans="1:2" x14ac:dyDescent="0.25">
      <c r="A20161" s="2">
        <v>20156</v>
      </c>
      <c r="B20161" s="3" t="str">
        <f>"00993047"</f>
        <v>00993047</v>
      </c>
    </row>
    <row r="20162" spans="1:2" x14ac:dyDescent="0.25">
      <c r="A20162" s="2">
        <v>20157</v>
      </c>
      <c r="B20162" s="3" t="str">
        <f>"00993083"</f>
        <v>00993083</v>
      </c>
    </row>
    <row r="20163" spans="1:2" x14ac:dyDescent="0.25">
      <c r="A20163" s="2">
        <v>20158</v>
      </c>
      <c r="B20163" s="3" t="str">
        <f>"00993141"</f>
        <v>00993141</v>
      </c>
    </row>
    <row r="20164" spans="1:2" x14ac:dyDescent="0.25">
      <c r="A20164" s="2">
        <v>20159</v>
      </c>
      <c r="B20164" s="3" t="str">
        <f>"00993157"</f>
        <v>00993157</v>
      </c>
    </row>
    <row r="20165" spans="1:2" x14ac:dyDescent="0.25">
      <c r="A20165" s="2">
        <v>20160</v>
      </c>
      <c r="B20165" s="3" t="str">
        <f>"00993208"</f>
        <v>00993208</v>
      </c>
    </row>
    <row r="20166" spans="1:2" x14ac:dyDescent="0.25">
      <c r="A20166" s="2">
        <v>20161</v>
      </c>
      <c r="B20166" s="3" t="str">
        <f>"00993222"</f>
        <v>00993222</v>
      </c>
    </row>
    <row r="20167" spans="1:2" x14ac:dyDescent="0.25">
      <c r="A20167" s="2">
        <v>20162</v>
      </c>
      <c r="B20167" s="3" t="str">
        <f>"00993225"</f>
        <v>00993225</v>
      </c>
    </row>
    <row r="20168" spans="1:2" x14ac:dyDescent="0.25">
      <c r="A20168" s="2">
        <v>20163</v>
      </c>
      <c r="B20168" s="3" t="str">
        <f>"00993279"</f>
        <v>00993279</v>
      </c>
    </row>
    <row r="20169" spans="1:2" x14ac:dyDescent="0.25">
      <c r="A20169" s="2">
        <v>20164</v>
      </c>
      <c r="B20169" s="3" t="str">
        <f>"00993312"</f>
        <v>00993312</v>
      </c>
    </row>
    <row r="20170" spans="1:2" x14ac:dyDescent="0.25">
      <c r="A20170" s="2">
        <v>20165</v>
      </c>
      <c r="B20170" s="3" t="str">
        <f>"00993332"</f>
        <v>00993332</v>
      </c>
    </row>
    <row r="20171" spans="1:2" x14ac:dyDescent="0.25">
      <c r="A20171" s="2">
        <v>20166</v>
      </c>
      <c r="B20171" s="3" t="str">
        <f>"00993351"</f>
        <v>00993351</v>
      </c>
    </row>
    <row r="20172" spans="1:2" x14ac:dyDescent="0.25">
      <c r="A20172" s="2">
        <v>20167</v>
      </c>
      <c r="B20172" s="3" t="str">
        <f>"00993353"</f>
        <v>00993353</v>
      </c>
    </row>
    <row r="20173" spans="1:2" x14ac:dyDescent="0.25">
      <c r="A20173" s="2">
        <v>20168</v>
      </c>
      <c r="B20173" s="3" t="str">
        <f>"00993388"</f>
        <v>00993388</v>
      </c>
    </row>
    <row r="20174" spans="1:2" x14ac:dyDescent="0.25">
      <c r="A20174" s="2">
        <v>20169</v>
      </c>
      <c r="B20174" s="3" t="str">
        <f>"00993466"</f>
        <v>00993466</v>
      </c>
    </row>
    <row r="20175" spans="1:2" x14ac:dyDescent="0.25">
      <c r="A20175" s="2">
        <v>20170</v>
      </c>
      <c r="B20175" s="3" t="str">
        <f>"00993508"</f>
        <v>00993508</v>
      </c>
    </row>
    <row r="20176" spans="1:2" x14ac:dyDescent="0.25">
      <c r="A20176" s="2">
        <v>20171</v>
      </c>
      <c r="B20176" s="3" t="str">
        <f>"00993516"</f>
        <v>00993516</v>
      </c>
    </row>
    <row r="20177" spans="1:2" x14ac:dyDescent="0.25">
      <c r="A20177" s="2">
        <v>20172</v>
      </c>
      <c r="B20177" s="3" t="str">
        <f>"00993519"</f>
        <v>00993519</v>
      </c>
    </row>
    <row r="20178" spans="1:2" x14ac:dyDescent="0.25">
      <c r="A20178" s="2">
        <v>20173</v>
      </c>
      <c r="B20178" s="3" t="str">
        <f>"00993544"</f>
        <v>00993544</v>
      </c>
    </row>
    <row r="20179" spans="1:2" x14ac:dyDescent="0.25">
      <c r="A20179" s="2">
        <v>20174</v>
      </c>
      <c r="B20179" s="3" t="str">
        <f>"00993642"</f>
        <v>00993642</v>
      </c>
    </row>
    <row r="20180" spans="1:2" x14ac:dyDescent="0.25">
      <c r="A20180" s="2">
        <v>20175</v>
      </c>
      <c r="B20180" s="3" t="str">
        <f>"00993651"</f>
        <v>00993651</v>
      </c>
    </row>
    <row r="20181" spans="1:2" x14ac:dyDescent="0.25">
      <c r="A20181" s="2">
        <v>20176</v>
      </c>
      <c r="B20181" s="3" t="str">
        <f>"00993699"</f>
        <v>00993699</v>
      </c>
    </row>
    <row r="20182" spans="1:2" x14ac:dyDescent="0.25">
      <c r="A20182" s="2">
        <v>20177</v>
      </c>
      <c r="B20182" s="3" t="str">
        <f>"00993723"</f>
        <v>00993723</v>
      </c>
    </row>
    <row r="20183" spans="1:2" x14ac:dyDescent="0.25">
      <c r="A20183" s="2">
        <v>20178</v>
      </c>
      <c r="B20183" s="3" t="str">
        <f>"00993801"</f>
        <v>00993801</v>
      </c>
    </row>
    <row r="20184" spans="1:2" x14ac:dyDescent="0.25">
      <c r="A20184" s="2">
        <v>20179</v>
      </c>
      <c r="B20184" s="3" t="str">
        <f>"00993811"</f>
        <v>00993811</v>
      </c>
    </row>
    <row r="20185" spans="1:2" x14ac:dyDescent="0.25">
      <c r="A20185" s="2">
        <v>20180</v>
      </c>
      <c r="B20185" s="3" t="str">
        <f>"00993817"</f>
        <v>00993817</v>
      </c>
    </row>
    <row r="20186" spans="1:2" x14ac:dyDescent="0.25">
      <c r="A20186" s="2">
        <v>20181</v>
      </c>
      <c r="B20186" s="3" t="str">
        <f>"00993848"</f>
        <v>00993848</v>
      </c>
    </row>
    <row r="20187" spans="1:2" x14ac:dyDescent="0.25">
      <c r="A20187" s="2">
        <v>20182</v>
      </c>
      <c r="B20187" s="3" t="str">
        <f>"00993933"</f>
        <v>00993933</v>
      </c>
    </row>
    <row r="20188" spans="1:2" x14ac:dyDescent="0.25">
      <c r="A20188" s="2">
        <v>20183</v>
      </c>
      <c r="B20188" s="3" t="str">
        <f>"00993969"</f>
        <v>00993969</v>
      </c>
    </row>
    <row r="20189" spans="1:2" x14ac:dyDescent="0.25">
      <c r="A20189" s="2">
        <v>20184</v>
      </c>
      <c r="B20189" s="3" t="str">
        <f>"00994057"</f>
        <v>00994057</v>
      </c>
    </row>
    <row r="20190" spans="1:2" x14ac:dyDescent="0.25">
      <c r="A20190" s="2">
        <v>20185</v>
      </c>
      <c r="B20190" s="3" t="str">
        <f>"00994074"</f>
        <v>00994074</v>
      </c>
    </row>
    <row r="20191" spans="1:2" x14ac:dyDescent="0.25">
      <c r="A20191" s="2">
        <v>20186</v>
      </c>
      <c r="B20191" s="3" t="str">
        <f>"00994096"</f>
        <v>00994096</v>
      </c>
    </row>
    <row r="20192" spans="1:2" x14ac:dyDescent="0.25">
      <c r="A20192" s="2">
        <v>20187</v>
      </c>
      <c r="B20192" s="3" t="str">
        <f>"00994132"</f>
        <v>00994132</v>
      </c>
    </row>
    <row r="20193" spans="1:2" x14ac:dyDescent="0.25">
      <c r="A20193" s="2">
        <v>20188</v>
      </c>
      <c r="B20193" s="3" t="str">
        <f>"00994143"</f>
        <v>00994143</v>
      </c>
    </row>
    <row r="20194" spans="1:2" x14ac:dyDescent="0.25">
      <c r="A20194" s="2">
        <v>20189</v>
      </c>
      <c r="B20194" s="3" t="str">
        <f>"00994259"</f>
        <v>00994259</v>
      </c>
    </row>
    <row r="20195" spans="1:2" x14ac:dyDescent="0.25">
      <c r="A20195" s="2">
        <v>20190</v>
      </c>
      <c r="B20195" s="3" t="str">
        <f>"00994288"</f>
        <v>00994288</v>
      </c>
    </row>
    <row r="20196" spans="1:2" x14ac:dyDescent="0.25">
      <c r="A20196" s="2">
        <v>20191</v>
      </c>
      <c r="B20196" s="3" t="str">
        <f>"00994291"</f>
        <v>00994291</v>
      </c>
    </row>
    <row r="20197" spans="1:2" x14ac:dyDescent="0.25">
      <c r="A20197" s="2">
        <v>20192</v>
      </c>
      <c r="B20197" s="3" t="str">
        <f>"00994300"</f>
        <v>00994300</v>
      </c>
    </row>
    <row r="20198" spans="1:2" x14ac:dyDescent="0.25">
      <c r="A20198" s="2">
        <v>20193</v>
      </c>
      <c r="B20198" s="3" t="str">
        <f>"00994311"</f>
        <v>00994311</v>
      </c>
    </row>
    <row r="20199" spans="1:2" x14ac:dyDescent="0.25">
      <c r="A20199" s="2">
        <v>20194</v>
      </c>
      <c r="B20199" s="3" t="str">
        <f>"00994373"</f>
        <v>00994373</v>
      </c>
    </row>
    <row r="20200" spans="1:2" x14ac:dyDescent="0.25">
      <c r="A20200" s="2">
        <v>20195</v>
      </c>
      <c r="B20200" s="3" t="str">
        <f>"00994397"</f>
        <v>00994397</v>
      </c>
    </row>
    <row r="20201" spans="1:2" x14ac:dyDescent="0.25">
      <c r="A20201" s="2">
        <v>20196</v>
      </c>
      <c r="B20201" s="3" t="str">
        <f>"00994409"</f>
        <v>00994409</v>
      </c>
    </row>
    <row r="20202" spans="1:2" x14ac:dyDescent="0.25">
      <c r="A20202" s="2">
        <v>20197</v>
      </c>
      <c r="B20202" s="3" t="str">
        <f>"00994429"</f>
        <v>00994429</v>
      </c>
    </row>
    <row r="20203" spans="1:2" x14ac:dyDescent="0.25">
      <c r="A20203" s="2">
        <v>20198</v>
      </c>
      <c r="B20203" s="3" t="str">
        <f>"00994444"</f>
        <v>00994444</v>
      </c>
    </row>
    <row r="20204" spans="1:2" x14ac:dyDescent="0.25">
      <c r="A20204" s="2">
        <v>20199</v>
      </c>
      <c r="B20204" s="3" t="str">
        <f>"00994496"</f>
        <v>00994496</v>
      </c>
    </row>
    <row r="20205" spans="1:2" x14ac:dyDescent="0.25">
      <c r="A20205" s="2">
        <v>20200</v>
      </c>
      <c r="B20205" s="3" t="str">
        <f>"00994576"</f>
        <v>00994576</v>
      </c>
    </row>
    <row r="20206" spans="1:2" x14ac:dyDescent="0.25">
      <c r="A20206" s="2">
        <v>20201</v>
      </c>
      <c r="B20206" s="3" t="str">
        <f>"00994626"</f>
        <v>00994626</v>
      </c>
    </row>
    <row r="20207" spans="1:2" x14ac:dyDescent="0.25">
      <c r="A20207" s="2">
        <v>20202</v>
      </c>
      <c r="B20207" s="3" t="str">
        <f>"00994634"</f>
        <v>00994634</v>
      </c>
    </row>
    <row r="20208" spans="1:2" x14ac:dyDescent="0.25">
      <c r="A20208" s="2">
        <v>20203</v>
      </c>
      <c r="B20208" s="3" t="str">
        <f>"00994700"</f>
        <v>00994700</v>
      </c>
    </row>
    <row r="20209" spans="1:2" x14ac:dyDescent="0.25">
      <c r="A20209" s="2">
        <v>20204</v>
      </c>
      <c r="B20209" s="3" t="str">
        <f>"00994724"</f>
        <v>00994724</v>
      </c>
    </row>
    <row r="20210" spans="1:2" x14ac:dyDescent="0.25">
      <c r="A20210" s="2">
        <v>20205</v>
      </c>
      <c r="B20210" s="3" t="str">
        <f>"00994742"</f>
        <v>00994742</v>
      </c>
    </row>
    <row r="20211" spans="1:2" x14ac:dyDescent="0.25">
      <c r="A20211" s="2">
        <v>20206</v>
      </c>
      <c r="B20211" s="3" t="str">
        <f>"00994772"</f>
        <v>00994772</v>
      </c>
    </row>
    <row r="20212" spans="1:2" x14ac:dyDescent="0.25">
      <c r="A20212" s="2">
        <v>20207</v>
      </c>
      <c r="B20212" s="3" t="str">
        <f>"00994776"</f>
        <v>00994776</v>
      </c>
    </row>
    <row r="20213" spans="1:2" x14ac:dyDescent="0.25">
      <c r="A20213" s="2">
        <v>20208</v>
      </c>
      <c r="B20213" s="3" t="str">
        <f>"00994788"</f>
        <v>00994788</v>
      </c>
    </row>
    <row r="20214" spans="1:2" x14ac:dyDescent="0.25">
      <c r="A20214" s="2">
        <v>20209</v>
      </c>
      <c r="B20214" s="3" t="str">
        <f>"00994805"</f>
        <v>00994805</v>
      </c>
    </row>
    <row r="20215" spans="1:2" x14ac:dyDescent="0.25">
      <c r="A20215" s="2">
        <v>20210</v>
      </c>
      <c r="B20215" s="3" t="str">
        <f>"00994815"</f>
        <v>00994815</v>
      </c>
    </row>
    <row r="20216" spans="1:2" x14ac:dyDescent="0.25">
      <c r="A20216" s="2">
        <v>20211</v>
      </c>
      <c r="B20216" s="3" t="str">
        <f>"00994825"</f>
        <v>00994825</v>
      </c>
    </row>
    <row r="20217" spans="1:2" x14ac:dyDescent="0.25">
      <c r="A20217" s="2">
        <v>20212</v>
      </c>
      <c r="B20217" s="3" t="str">
        <f>"00994860"</f>
        <v>00994860</v>
      </c>
    </row>
    <row r="20218" spans="1:2" x14ac:dyDescent="0.25">
      <c r="A20218" s="2">
        <v>20213</v>
      </c>
      <c r="B20218" s="3" t="str">
        <f>"00994863"</f>
        <v>00994863</v>
      </c>
    </row>
    <row r="20219" spans="1:2" x14ac:dyDescent="0.25">
      <c r="A20219" s="2">
        <v>20214</v>
      </c>
      <c r="B20219" s="3" t="str">
        <f>"00994939"</f>
        <v>00994939</v>
      </c>
    </row>
    <row r="20220" spans="1:2" x14ac:dyDescent="0.25">
      <c r="A20220" s="2">
        <v>20215</v>
      </c>
      <c r="B20220" s="3" t="str">
        <f>"00994949"</f>
        <v>00994949</v>
      </c>
    </row>
    <row r="20221" spans="1:2" x14ac:dyDescent="0.25">
      <c r="A20221" s="2">
        <v>20216</v>
      </c>
      <c r="B20221" s="3" t="str">
        <f>"00994970"</f>
        <v>00994970</v>
      </c>
    </row>
    <row r="20222" spans="1:2" x14ac:dyDescent="0.25">
      <c r="A20222" s="2">
        <v>20217</v>
      </c>
      <c r="B20222" s="3" t="str">
        <f>"00994974"</f>
        <v>00994974</v>
      </c>
    </row>
    <row r="20223" spans="1:2" x14ac:dyDescent="0.25">
      <c r="A20223" s="2">
        <v>20218</v>
      </c>
      <c r="B20223" s="3" t="str">
        <f>"00994988"</f>
        <v>00994988</v>
      </c>
    </row>
    <row r="20224" spans="1:2" x14ac:dyDescent="0.25">
      <c r="A20224" s="2">
        <v>20219</v>
      </c>
      <c r="B20224" s="3" t="str">
        <f>"00995024"</f>
        <v>00995024</v>
      </c>
    </row>
    <row r="20225" spans="1:2" x14ac:dyDescent="0.25">
      <c r="A20225" s="2">
        <v>20220</v>
      </c>
      <c r="B20225" s="3" t="str">
        <f>"00995060"</f>
        <v>00995060</v>
      </c>
    </row>
    <row r="20226" spans="1:2" x14ac:dyDescent="0.25">
      <c r="A20226" s="2">
        <v>20221</v>
      </c>
      <c r="B20226" s="3" t="str">
        <f>"00995098"</f>
        <v>00995098</v>
      </c>
    </row>
    <row r="20227" spans="1:2" x14ac:dyDescent="0.25">
      <c r="A20227" s="2">
        <v>20222</v>
      </c>
      <c r="B20227" s="3" t="str">
        <f>"00995105"</f>
        <v>00995105</v>
      </c>
    </row>
    <row r="20228" spans="1:2" x14ac:dyDescent="0.25">
      <c r="A20228" s="2">
        <v>20223</v>
      </c>
      <c r="B20228" s="3" t="str">
        <f>"00995265"</f>
        <v>00995265</v>
      </c>
    </row>
    <row r="20229" spans="1:2" x14ac:dyDescent="0.25">
      <c r="A20229" s="2">
        <v>20224</v>
      </c>
      <c r="B20229" s="3" t="str">
        <f>"00995280"</f>
        <v>00995280</v>
      </c>
    </row>
    <row r="20230" spans="1:2" x14ac:dyDescent="0.25">
      <c r="A20230" s="2">
        <v>20225</v>
      </c>
      <c r="B20230" s="3" t="str">
        <f>"00995316"</f>
        <v>00995316</v>
      </c>
    </row>
    <row r="20231" spans="1:2" x14ac:dyDescent="0.25">
      <c r="A20231" s="2">
        <v>20226</v>
      </c>
      <c r="B20231" s="3" t="str">
        <f>"00995319"</f>
        <v>00995319</v>
      </c>
    </row>
    <row r="20232" spans="1:2" x14ac:dyDescent="0.25">
      <c r="A20232" s="2">
        <v>20227</v>
      </c>
      <c r="B20232" s="3" t="str">
        <f>"00995340"</f>
        <v>00995340</v>
      </c>
    </row>
    <row r="20233" spans="1:2" x14ac:dyDescent="0.25">
      <c r="A20233" s="2">
        <v>20228</v>
      </c>
      <c r="B20233" s="3" t="str">
        <f>"00995354"</f>
        <v>00995354</v>
      </c>
    </row>
    <row r="20234" spans="1:2" x14ac:dyDescent="0.25">
      <c r="A20234" s="2">
        <v>20229</v>
      </c>
      <c r="B20234" s="3" t="str">
        <f>"00995387"</f>
        <v>00995387</v>
      </c>
    </row>
    <row r="20235" spans="1:2" x14ac:dyDescent="0.25">
      <c r="A20235" s="2">
        <v>20230</v>
      </c>
      <c r="B20235" s="3" t="str">
        <f>"00995394"</f>
        <v>00995394</v>
      </c>
    </row>
    <row r="20236" spans="1:2" x14ac:dyDescent="0.25">
      <c r="A20236" s="2">
        <v>20231</v>
      </c>
      <c r="B20236" s="3" t="str">
        <f>"00995406"</f>
        <v>00995406</v>
      </c>
    </row>
    <row r="20237" spans="1:2" x14ac:dyDescent="0.25">
      <c r="A20237" s="2">
        <v>20232</v>
      </c>
      <c r="B20237" s="3" t="str">
        <f>"00995410"</f>
        <v>00995410</v>
      </c>
    </row>
    <row r="20238" spans="1:2" x14ac:dyDescent="0.25">
      <c r="A20238" s="2">
        <v>20233</v>
      </c>
      <c r="B20238" s="3" t="str">
        <f>"00995429"</f>
        <v>00995429</v>
      </c>
    </row>
    <row r="20239" spans="1:2" x14ac:dyDescent="0.25">
      <c r="A20239" s="2">
        <v>20234</v>
      </c>
      <c r="B20239" s="3" t="str">
        <f>"00995479"</f>
        <v>00995479</v>
      </c>
    </row>
    <row r="20240" spans="1:2" x14ac:dyDescent="0.25">
      <c r="A20240" s="2">
        <v>20235</v>
      </c>
      <c r="B20240" s="3" t="str">
        <f>"00995517"</f>
        <v>00995517</v>
      </c>
    </row>
    <row r="20241" spans="1:2" x14ac:dyDescent="0.25">
      <c r="A20241" s="2">
        <v>20236</v>
      </c>
      <c r="B20241" s="3" t="str">
        <f>"00995554"</f>
        <v>00995554</v>
      </c>
    </row>
    <row r="20242" spans="1:2" x14ac:dyDescent="0.25">
      <c r="A20242" s="2">
        <v>20237</v>
      </c>
      <c r="B20242" s="3" t="str">
        <f>"00995582"</f>
        <v>00995582</v>
      </c>
    </row>
    <row r="20243" spans="1:2" x14ac:dyDescent="0.25">
      <c r="A20243" s="2">
        <v>20238</v>
      </c>
      <c r="B20243" s="3" t="str">
        <f>"00995588"</f>
        <v>00995588</v>
      </c>
    </row>
    <row r="20244" spans="1:2" x14ac:dyDescent="0.25">
      <c r="A20244" s="2">
        <v>20239</v>
      </c>
      <c r="B20244" s="3" t="str">
        <f>"00995596"</f>
        <v>00995596</v>
      </c>
    </row>
    <row r="20245" spans="1:2" x14ac:dyDescent="0.25">
      <c r="A20245" s="2">
        <v>20240</v>
      </c>
      <c r="B20245" s="3" t="str">
        <f>"00995612"</f>
        <v>00995612</v>
      </c>
    </row>
    <row r="20246" spans="1:2" x14ac:dyDescent="0.25">
      <c r="A20246" s="2">
        <v>20241</v>
      </c>
      <c r="B20246" s="3" t="str">
        <f>"00995616"</f>
        <v>00995616</v>
      </c>
    </row>
    <row r="20247" spans="1:2" x14ac:dyDescent="0.25">
      <c r="A20247" s="2">
        <v>20242</v>
      </c>
      <c r="B20247" s="3" t="str">
        <f>"00995618"</f>
        <v>00995618</v>
      </c>
    </row>
    <row r="20248" spans="1:2" x14ac:dyDescent="0.25">
      <c r="A20248" s="2">
        <v>20243</v>
      </c>
      <c r="B20248" s="3" t="str">
        <f>"00995629"</f>
        <v>00995629</v>
      </c>
    </row>
    <row r="20249" spans="1:2" x14ac:dyDescent="0.25">
      <c r="A20249" s="2">
        <v>20244</v>
      </c>
      <c r="B20249" s="3" t="str">
        <f>"00995630"</f>
        <v>00995630</v>
      </c>
    </row>
    <row r="20250" spans="1:2" x14ac:dyDescent="0.25">
      <c r="A20250" s="2">
        <v>20245</v>
      </c>
      <c r="B20250" s="3" t="str">
        <f>"00995656"</f>
        <v>00995656</v>
      </c>
    </row>
    <row r="20251" spans="1:2" x14ac:dyDescent="0.25">
      <c r="A20251" s="2">
        <v>20246</v>
      </c>
      <c r="B20251" s="3" t="str">
        <f>"00995666"</f>
        <v>00995666</v>
      </c>
    </row>
    <row r="20252" spans="1:2" x14ac:dyDescent="0.25">
      <c r="A20252" s="2">
        <v>20247</v>
      </c>
      <c r="B20252" s="3" t="str">
        <f>"00995676"</f>
        <v>00995676</v>
      </c>
    </row>
    <row r="20253" spans="1:2" x14ac:dyDescent="0.25">
      <c r="A20253" s="2">
        <v>20248</v>
      </c>
      <c r="B20253" s="3" t="str">
        <f>"00995694"</f>
        <v>00995694</v>
      </c>
    </row>
    <row r="20254" spans="1:2" x14ac:dyDescent="0.25">
      <c r="A20254" s="2">
        <v>20249</v>
      </c>
      <c r="B20254" s="3" t="str">
        <f>"00995714"</f>
        <v>00995714</v>
      </c>
    </row>
    <row r="20255" spans="1:2" x14ac:dyDescent="0.25">
      <c r="A20255" s="2">
        <v>20250</v>
      </c>
      <c r="B20255" s="3" t="str">
        <f>"00995739"</f>
        <v>00995739</v>
      </c>
    </row>
    <row r="20256" spans="1:2" x14ac:dyDescent="0.25">
      <c r="A20256" s="2">
        <v>20251</v>
      </c>
      <c r="B20256" s="3" t="str">
        <f>"00995773"</f>
        <v>00995773</v>
      </c>
    </row>
    <row r="20257" spans="1:2" x14ac:dyDescent="0.25">
      <c r="A20257" s="2">
        <v>20252</v>
      </c>
      <c r="B20257" s="3" t="str">
        <f>"00995786"</f>
        <v>00995786</v>
      </c>
    </row>
    <row r="20258" spans="1:2" x14ac:dyDescent="0.25">
      <c r="A20258" s="2">
        <v>20253</v>
      </c>
      <c r="B20258" s="3" t="str">
        <f>"00995857"</f>
        <v>00995857</v>
      </c>
    </row>
    <row r="20259" spans="1:2" x14ac:dyDescent="0.25">
      <c r="A20259" s="2">
        <v>20254</v>
      </c>
      <c r="B20259" s="3" t="str">
        <f>"00995861"</f>
        <v>00995861</v>
      </c>
    </row>
    <row r="20260" spans="1:2" x14ac:dyDescent="0.25">
      <c r="A20260" s="2">
        <v>20255</v>
      </c>
      <c r="B20260" s="3" t="str">
        <f>"00995873"</f>
        <v>00995873</v>
      </c>
    </row>
    <row r="20261" spans="1:2" x14ac:dyDescent="0.25">
      <c r="A20261" s="2">
        <v>20256</v>
      </c>
      <c r="B20261" s="3" t="str">
        <f>"00995909"</f>
        <v>00995909</v>
      </c>
    </row>
    <row r="20262" spans="1:2" x14ac:dyDescent="0.25">
      <c r="A20262" s="2">
        <v>20257</v>
      </c>
      <c r="B20262" s="3" t="str">
        <f>"00995915"</f>
        <v>00995915</v>
      </c>
    </row>
    <row r="20263" spans="1:2" x14ac:dyDescent="0.25">
      <c r="A20263" s="2">
        <v>20258</v>
      </c>
      <c r="B20263" s="3" t="str">
        <f>"00995927"</f>
        <v>00995927</v>
      </c>
    </row>
    <row r="20264" spans="1:2" x14ac:dyDescent="0.25">
      <c r="A20264" s="2">
        <v>20259</v>
      </c>
      <c r="B20264" s="3" t="str">
        <f>"00995959"</f>
        <v>00995959</v>
      </c>
    </row>
    <row r="20265" spans="1:2" x14ac:dyDescent="0.25">
      <c r="A20265" s="2">
        <v>20260</v>
      </c>
      <c r="B20265" s="3" t="str">
        <f>"00995960"</f>
        <v>00995960</v>
      </c>
    </row>
    <row r="20266" spans="1:2" x14ac:dyDescent="0.25">
      <c r="A20266" s="2">
        <v>20261</v>
      </c>
      <c r="B20266" s="3" t="str">
        <f>"00995963"</f>
        <v>00995963</v>
      </c>
    </row>
    <row r="20267" spans="1:2" x14ac:dyDescent="0.25">
      <c r="A20267" s="2">
        <v>20262</v>
      </c>
      <c r="B20267" s="3" t="str">
        <f>"00996003"</f>
        <v>00996003</v>
      </c>
    </row>
    <row r="20268" spans="1:2" x14ac:dyDescent="0.25">
      <c r="A20268" s="2">
        <v>20263</v>
      </c>
      <c r="B20268" s="3" t="str">
        <f>"00996036"</f>
        <v>00996036</v>
      </c>
    </row>
    <row r="20269" spans="1:2" x14ac:dyDescent="0.25">
      <c r="A20269" s="2">
        <v>20264</v>
      </c>
      <c r="B20269" s="3" t="str">
        <f>"00996056"</f>
        <v>00996056</v>
      </c>
    </row>
    <row r="20270" spans="1:2" x14ac:dyDescent="0.25">
      <c r="A20270" s="2">
        <v>20265</v>
      </c>
      <c r="B20270" s="3" t="str">
        <f>"00996080"</f>
        <v>00996080</v>
      </c>
    </row>
    <row r="20271" spans="1:2" x14ac:dyDescent="0.25">
      <c r="A20271" s="2">
        <v>20266</v>
      </c>
      <c r="B20271" s="3" t="str">
        <f>"00996112"</f>
        <v>00996112</v>
      </c>
    </row>
    <row r="20272" spans="1:2" x14ac:dyDescent="0.25">
      <c r="A20272" s="2">
        <v>20267</v>
      </c>
      <c r="B20272" s="3" t="str">
        <f>"00996126"</f>
        <v>00996126</v>
      </c>
    </row>
    <row r="20273" spans="1:2" x14ac:dyDescent="0.25">
      <c r="A20273" s="2">
        <v>20268</v>
      </c>
      <c r="B20273" s="3" t="str">
        <f>"00996155"</f>
        <v>00996155</v>
      </c>
    </row>
    <row r="20274" spans="1:2" x14ac:dyDescent="0.25">
      <c r="A20274" s="2">
        <v>20269</v>
      </c>
      <c r="B20274" s="3" t="str">
        <f>"00996167"</f>
        <v>00996167</v>
      </c>
    </row>
    <row r="20275" spans="1:2" x14ac:dyDescent="0.25">
      <c r="A20275" s="2">
        <v>20270</v>
      </c>
      <c r="B20275" s="3" t="str">
        <f>"00996195"</f>
        <v>00996195</v>
      </c>
    </row>
    <row r="20276" spans="1:2" x14ac:dyDescent="0.25">
      <c r="A20276" s="2">
        <v>20271</v>
      </c>
      <c r="B20276" s="3" t="str">
        <f>"00996277"</f>
        <v>00996277</v>
      </c>
    </row>
    <row r="20277" spans="1:2" x14ac:dyDescent="0.25">
      <c r="A20277" s="2">
        <v>20272</v>
      </c>
      <c r="B20277" s="3" t="str">
        <f>"00996286"</f>
        <v>00996286</v>
      </c>
    </row>
    <row r="20278" spans="1:2" x14ac:dyDescent="0.25">
      <c r="A20278" s="2">
        <v>20273</v>
      </c>
      <c r="B20278" s="3" t="str">
        <f>"00996296"</f>
        <v>00996296</v>
      </c>
    </row>
    <row r="20279" spans="1:2" x14ac:dyDescent="0.25">
      <c r="A20279" s="2">
        <v>20274</v>
      </c>
      <c r="B20279" s="3" t="str">
        <f>"00996341"</f>
        <v>00996341</v>
      </c>
    </row>
    <row r="20280" spans="1:2" x14ac:dyDescent="0.25">
      <c r="A20280" s="2">
        <v>20275</v>
      </c>
      <c r="B20280" s="3" t="str">
        <f>"00996363"</f>
        <v>00996363</v>
      </c>
    </row>
    <row r="20281" spans="1:2" x14ac:dyDescent="0.25">
      <c r="A20281" s="2">
        <v>20276</v>
      </c>
      <c r="B20281" s="3" t="str">
        <f>"00996371"</f>
        <v>00996371</v>
      </c>
    </row>
    <row r="20282" spans="1:2" x14ac:dyDescent="0.25">
      <c r="A20282" s="2">
        <v>20277</v>
      </c>
      <c r="B20282" s="3" t="str">
        <f>"00996372"</f>
        <v>00996372</v>
      </c>
    </row>
    <row r="20283" spans="1:2" x14ac:dyDescent="0.25">
      <c r="A20283" s="2">
        <v>20278</v>
      </c>
      <c r="B20283" s="3" t="str">
        <f>"00996376"</f>
        <v>00996376</v>
      </c>
    </row>
    <row r="20284" spans="1:2" x14ac:dyDescent="0.25">
      <c r="A20284" s="2">
        <v>20279</v>
      </c>
      <c r="B20284" s="3" t="str">
        <f>"00996404"</f>
        <v>00996404</v>
      </c>
    </row>
    <row r="20285" spans="1:2" x14ac:dyDescent="0.25">
      <c r="A20285" s="2">
        <v>20280</v>
      </c>
      <c r="B20285" s="3" t="str">
        <f>"00996408"</f>
        <v>00996408</v>
      </c>
    </row>
    <row r="20286" spans="1:2" x14ac:dyDescent="0.25">
      <c r="A20286" s="2">
        <v>20281</v>
      </c>
      <c r="B20286" s="3" t="str">
        <f>"00996419"</f>
        <v>00996419</v>
      </c>
    </row>
    <row r="20287" spans="1:2" x14ac:dyDescent="0.25">
      <c r="A20287" s="2">
        <v>20282</v>
      </c>
      <c r="B20287" s="3" t="str">
        <f>"00996450"</f>
        <v>00996450</v>
      </c>
    </row>
    <row r="20288" spans="1:2" x14ac:dyDescent="0.25">
      <c r="A20288" s="2">
        <v>20283</v>
      </c>
      <c r="B20288" s="3" t="str">
        <f>"00996458"</f>
        <v>00996458</v>
      </c>
    </row>
    <row r="20289" spans="1:2" x14ac:dyDescent="0.25">
      <c r="A20289" s="2">
        <v>20284</v>
      </c>
      <c r="B20289" s="3" t="str">
        <f>"00996482"</f>
        <v>00996482</v>
      </c>
    </row>
    <row r="20290" spans="1:2" x14ac:dyDescent="0.25">
      <c r="A20290" s="2">
        <v>20285</v>
      </c>
      <c r="B20290" s="3" t="str">
        <f>"00996546"</f>
        <v>00996546</v>
      </c>
    </row>
    <row r="20291" spans="1:2" x14ac:dyDescent="0.25">
      <c r="A20291" s="2">
        <v>20286</v>
      </c>
      <c r="B20291" s="3" t="str">
        <f>"00996573"</f>
        <v>00996573</v>
      </c>
    </row>
    <row r="20292" spans="1:2" x14ac:dyDescent="0.25">
      <c r="A20292" s="2">
        <v>20287</v>
      </c>
      <c r="B20292" s="3" t="str">
        <f>"00996616"</f>
        <v>00996616</v>
      </c>
    </row>
    <row r="20293" spans="1:2" x14ac:dyDescent="0.25">
      <c r="A20293" s="2">
        <v>20288</v>
      </c>
      <c r="B20293" s="3" t="str">
        <f>"00996618"</f>
        <v>00996618</v>
      </c>
    </row>
    <row r="20294" spans="1:2" x14ac:dyDescent="0.25">
      <c r="A20294" s="2">
        <v>20289</v>
      </c>
      <c r="B20294" s="3" t="str">
        <f>"00996692"</f>
        <v>00996692</v>
      </c>
    </row>
    <row r="20295" spans="1:2" x14ac:dyDescent="0.25">
      <c r="A20295" s="2">
        <v>20290</v>
      </c>
      <c r="B20295" s="3" t="str">
        <f>"00996713"</f>
        <v>00996713</v>
      </c>
    </row>
    <row r="20296" spans="1:2" x14ac:dyDescent="0.25">
      <c r="A20296" s="2">
        <v>20291</v>
      </c>
      <c r="B20296" s="3" t="str">
        <f>"00996737"</f>
        <v>00996737</v>
      </c>
    </row>
    <row r="20297" spans="1:2" x14ac:dyDescent="0.25">
      <c r="A20297" s="2">
        <v>20292</v>
      </c>
      <c r="B20297" s="3" t="str">
        <f>"00996762"</f>
        <v>00996762</v>
      </c>
    </row>
    <row r="20298" spans="1:2" x14ac:dyDescent="0.25">
      <c r="A20298" s="2">
        <v>20293</v>
      </c>
      <c r="B20298" s="3" t="str">
        <f>"00996764"</f>
        <v>00996764</v>
      </c>
    </row>
    <row r="20299" spans="1:2" x14ac:dyDescent="0.25">
      <c r="A20299" s="2">
        <v>20294</v>
      </c>
      <c r="B20299" s="3" t="str">
        <f>"00996777"</f>
        <v>00996777</v>
      </c>
    </row>
    <row r="20300" spans="1:2" x14ac:dyDescent="0.25">
      <c r="A20300" s="2">
        <v>20295</v>
      </c>
      <c r="B20300" s="3" t="str">
        <f>"00996820"</f>
        <v>00996820</v>
      </c>
    </row>
    <row r="20301" spans="1:2" x14ac:dyDescent="0.25">
      <c r="A20301" s="2">
        <v>20296</v>
      </c>
      <c r="B20301" s="3" t="str">
        <f>"00996828"</f>
        <v>00996828</v>
      </c>
    </row>
    <row r="20302" spans="1:2" x14ac:dyDescent="0.25">
      <c r="A20302" s="2">
        <v>20297</v>
      </c>
      <c r="B20302" s="3" t="str">
        <f>"00996848"</f>
        <v>00996848</v>
      </c>
    </row>
    <row r="20303" spans="1:2" x14ac:dyDescent="0.25">
      <c r="A20303" s="2">
        <v>20298</v>
      </c>
      <c r="B20303" s="3" t="str">
        <f>"00996866"</f>
        <v>00996866</v>
      </c>
    </row>
    <row r="20304" spans="1:2" x14ac:dyDescent="0.25">
      <c r="A20304" s="2">
        <v>20299</v>
      </c>
      <c r="B20304" s="3" t="str">
        <f>"00996878"</f>
        <v>00996878</v>
      </c>
    </row>
    <row r="20305" spans="1:2" x14ac:dyDescent="0.25">
      <c r="A20305" s="2">
        <v>20300</v>
      </c>
      <c r="B20305" s="3" t="str">
        <f>"00996879"</f>
        <v>00996879</v>
      </c>
    </row>
    <row r="20306" spans="1:2" x14ac:dyDescent="0.25">
      <c r="A20306" s="2">
        <v>20301</v>
      </c>
      <c r="B20306" s="3" t="str">
        <f>"00996883"</f>
        <v>00996883</v>
      </c>
    </row>
    <row r="20307" spans="1:2" x14ac:dyDescent="0.25">
      <c r="A20307" s="2">
        <v>20302</v>
      </c>
      <c r="B20307" s="3" t="str">
        <f>"00996895"</f>
        <v>00996895</v>
      </c>
    </row>
    <row r="20308" spans="1:2" x14ac:dyDescent="0.25">
      <c r="A20308" s="2">
        <v>20303</v>
      </c>
      <c r="B20308" s="3" t="str">
        <f>"00996911"</f>
        <v>00996911</v>
      </c>
    </row>
    <row r="20309" spans="1:2" x14ac:dyDescent="0.25">
      <c r="A20309" s="2">
        <v>20304</v>
      </c>
      <c r="B20309" s="3" t="str">
        <f>"00996956"</f>
        <v>00996956</v>
      </c>
    </row>
    <row r="20310" spans="1:2" x14ac:dyDescent="0.25">
      <c r="A20310" s="2">
        <v>20305</v>
      </c>
      <c r="B20310" s="3" t="str">
        <f>"00996996"</f>
        <v>00996996</v>
      </c>
    </row>
    <row r="20311" spans="1:2" x14ac:dyDescent="0.25">
      <c r="A20311" s="2">
        <v>20306</v>
      </c>
      <c r="B20311" s="3" t="str">
        <f>"00997024"</f>
        <v>00997024</v>
      </c>
    </row>
    <row r="20312" spans="1:2" x14ac:dyDescent="0.25">
      <c r="A20312" s="2">
        <v>20307</v>
      </c>
      <c r="B20312" s="3" t="str">
        <f>"00997025"</f>
        <v>00997025</v>
      </c>
    </row>
    <row r="20313" spans="1:2" x14ac:dyDescent="0.25">
      <c r="A20313" s="2">
        <v>20308</v>
      </c>
      <c r="B20313" s="3" t="str">
        <f>"00997093"</f>
        <v>00997093</v>
      </c>
    </row>
    <row r="20314" spans="1:2" x14ac:dyDescent="0.25">
      <c r="A20314" s="2">
        <v>20309</v>
      </c>
      <c r="B20314" s="3" t="str">
        <f>"00997110"</f>
        <v>00997110</v>
      </c>
    </row>
    <row r="20315" spans="1:2" x14ac:dyDescent="0.25">
      <c r="A20315" s="2">
        <v>20310</v>
      </c>
      <c r="B20315" s="3" t="str">
        <f>"00997142"</f>
        <v>00997142</v>
      </c>
    </row>
    <row r="20316" spans="1:2" x14ac:dyDescent="0.25">
      <c r="A20316" s="2">
        <v>20311</v>
      </c>
      <c r="B20316" s="3" t="str">
        <f>"00997154"</f>
        <v>00997154</v>
      </c>
    </row>
    <row r="20317" spans="1:2" x14ac:dyDescent="0.25">
      <c r="A20317" s="2">
        <v>20312</v>
      </c>
      <c r="B20317" s="3" t="str">
        <f>"00997185"</f>
        <v>00997185</v>
      </c>
    </row>
    <row r="20318" spans="1:2" x14ac:dyDescent="0.25">
      <c r="A20318" s="2">
        <v>20313</v>
      </c>
      <c r="B20318" s="3" t="str">
        <f>"00997189"</f>
        <v>00997189</v>
      </c>
    </row>
    <row r="20319" spans="1:2" x14ac:dyDescent="0.25">
      <c r="A20319" s="2">
        <v>20314</v>
      </c>
      <c r="B20319" s="3" t="str">
        <f>"00997209"</f>
        <v>00997209</v>
      </c>
    </row>
    <row r="20320" spans="1:2" x14ac:dyDescent="0.25">
      <c r="A20320" s="2">
        <v>20315</v>
      </c>
      <c r="B20320" s="3" t="str">
        <f>"00997211"</f>
        <v>00997211</v>
      </c>
    </row>
    <row r="20321" spans="1:2" x14ac:dyDescent="0.25">
      <c r="A20321" s="2">
        <v>20316</v>
      </c>
      <c r="B20321" s="3" t="str">
        <f>"00997217"</f>
        <v>00997217</v>
      </c>
    </row>
    <row r="20322" spans="1:2" x14ac:dyDescent="0.25">
      <c r="A20322" s="2">
        <v>20317</v>
      </c>
      <c r="B20322" s="3" t="str">
        <f>"00997219"</f>
        <v>00997219</v>
      </c>
    </row>
    <row r="20323" spans="1:2" x14ac:dyDescent="0.25">
      <c r="A20323" s="2">
        <v>20318</v>
      </c>
      <c r="B20323" s="3" t="str">
        <f>"00997237"</f>
        <v>00997237</v>
      </c>
    </row>
    <row r="20324" spans="1:2" x14ac:dyDescent="0.25">
      <c r="A20324" s="2">
        <v>20319</v>
      </c>
      <c r="B20324" s="3" t="str">
        <f>"00997242"</f>
        <v>00997242</v>
      </c>
    </row>
    <row r="20325" spans="1:2" x14ac:dyDescent="0.25">
      <c r="A20325" s="2">
        <v>20320</v>
      </c>
      <c r="B20325" s="3" t="str">
        <f>"00997263"</f>
        <v>00997263</v>
      </c>
    </row>
    <row r="20326" spans="1:2" x14ac:dyDescent="0.25">
      <c r="A20326" s="2">
        <v>20321</v>
      </c>
      <c r="B20326" s="3" t="str">
        <f>"00997273"</f>
        <v>00997273</v>
      </c>
    </row>
    <row r="20327" spans="1:2" x14ac:dyDescent="0.25">
      <c r="A20327" s="2">
        <v>20322</v>
      </c>
      <c r="B20327" s="3" t="str">
        <f>"00997298"</f>
        <v>00997298</v>
      </c>
    </row>
    <row r="20328" spans="1:2" x14ac:dyDescent="0.25">
      <c r="A20328" s="2">
        <v>20323</v>
      </c>
      <c r="B20328" s="3" t="str">
        <f>"00997308"</f>
        <v>00997308</v>
      </c>
    </row>
    <row r="20329" spans="1:2" x14ac:dyDescent="0.25">
      <c r="A20329" s="2">
        <v>20324</v>
      </c>
      <c r="B20329" s="3" t="str">
        <f>"00997319"</f>
        <v>00997319</v>
      </c>
    </row>
    <row r="20330" spans="1:2" x14ac:dyDescent="0.25">
      <c r="A20330" s="2">
        <v>20325</v>
      </c>
      <c r="B20330" s="3" t="str">
        <f>"00997401"</f>
        <v>00997401</v>
      </c>
    </row>
    <row r="20331" spans="1:2" x14ac:dyDescent="0.25">
      <c r="A20331" s="2">
        <v>20326</v>
      </c>
      <c r="B20331" s="3" t="str">
        <f>"00997451"</f>
        <v>00997451</v>
      </c>
    </row>
    <row r="20332" spans="1:2" x14ac:dyDescent="0.25">
      <c r="A20332" s="2">
        <v>20327</v>
      </c>
      <c r="B20332" s="3" t="str">
        <f>"00997464"</f>
        <v>00997464</v>
      </c>
    </row>
    <row r="20333" spans="1:2" x14ac:dyDescent="0.25">
      <c r="A20333" s="2">
        <v>20328</v>
      </c>
      <c r="B20333" s="3" t="str">
        <f>"00997474"</f>
        <v>00997474</v>
      </c>
    </row>
    <row r="20334" spans="1:2" x14ac:dyDescent="0.25">
      <c r="A20334" s="2">
        <v>20329</v>
      </c>
      <c r="B20334" s="3" t="str">
        <f>"00997494"</f>
        <v>00997494</v>
      </c>
    </row>
    <row r="20335" spans="1:2" x14ac:dyDescent="0.25">
      <c r="A20335" s="2">
        <v>20330</v>
      </c>
      <c r="B20335" s="3" t="str">
        <f>"00997515"</f>
        <v>00997515</v>
      </c>
    </row>
    <row r="20336" spans="1:2" x14ac:dyDescent="0.25">
      <c r="A20336" s="2">
        <v>20331</v>
      </c>
      <c r="B20336" s="3" t="str">
        <f>"00997522"</f>
        <v>00997522</v>
      </c>
    </row>
    <row r="20337" spans="1:2" x14ac:dyDescent="0.25">
      <c r="A20337" s="2">
        <v>20332</v>
      </c>
      <c r="B20337" s="3" t="str">
        <f>"00997526"</f>
        <v>00997526</v>
      </c>
    </row>
    <row r="20338" spans="1:2" x14ac:dyDescent="0.25">
      <c r="A20338" s="2">
        <v>20333</v>
      </c>
      <c r="B20338" s="3" t="str">
        <f>"00997529"</f>
        <v>00997529</v>
      </c>
    </row>
    <row r="20339" spans="1:2" x14ac:dyDescent="0.25">
      <c r="A20339" s="2">
        <v>20334</v>
      </c>
      <c r="B20339" s="3" t="str">
        <f>"00997545"</f>
        <v>00997545</v>
      </c>
    </row>
    <row r="20340" spans="1:2" x14ac:dyDescent="0.25">
      <c r="A20340" s="2">
        <v>20335</v>
      </c>
      <c r="B20340" s="3" t="str">
        <f>"00997552"</f>
        <v>00997552</v>
      </c>
    </row>
    <row r="20341" spans="1:2" x14ac:dyDescent="0.25">
      <c r="A20341" s="2">
        <v>20336</v>
      </c>
      <c r="B20341" s="3" t="str">
        <f>"00997578"</f>
        <v>00997578</v>
      </c>
    </row>
    <row r="20342" spans="1:2" x14ac:dyDescent="0.25">
      <c r="A20342" s="2">
        <v>20337</v>
      </c>
      <c r="B20342" s="3" t="str">
        <f>"00997580"</f>
        <v>00997580</v>
      </c>
    </row>
    <row r="20343" spans="1:2" x14ac:dyDescent="0.25">
      <c r="A20343" s="2">
        <v>20338</v>
      </c>
      <c r="B20343" s="3" t="str">
        <f>"00997646"</f>
        <v>00997646</v>
      </c>
    </row>
    <row r="20344" spans="1:2" x14ac:dyDescent="0.25">
      <c r="A20344" s="2">
        <v>20339</v>
      </c>
      <c r="B20344" s="3" t="str">
        <f>"00997661"</f>
        <v>00997661</v>
      </c>
    </row>
    <row r="20345" spans="1:2" x14ac:dyDescent="0.25">
      <c r="A20345" s="2">
        <v>20340</v>
      </c>
      <c r="B20345" s="3" t="str">
        <f>"00997663"</f>
        <v>00997663</v>
      </c>
    </row>
    <row r="20346" spans="1:2" x14ac:dyDescent="0.25">
      <c r="A20346" s="2">
        <v>20341</v>
      </c>
      <c r="B20346" s="3" t="str">
        <f>"00997677"</f>
        <v>00997677</v>
      </c>
    </row>
    <row r="20347" spans="1:2" x14ac:dyDescent="0.25">
      <c r="A20347" s="2">
        <v>20342</v>
      </c>
      <c r="B20347" s="3" t="str">
        <f>"00997683"</f>
        <v>00997683</v>
      </c>
    </row>
    <row r="20348" spans="1:2" x14ac:dyDescent="0.25">
      <c r="A20348" s="2">
        <v>20343</v>
      </c>
      <c r="B20348" s="3" t="str">
        <f>"00997709"</f>
        <v>00997709</v>
      </c>
    </row>
    <row r="20349" spans="1:2" x14ac:dyDescent="0.25">
      <c r="A20349" s="2">
        <v>20344</v>
      </c>
      <c r="B20349" s="3" t="str">
        <f>"00997713"</f>
        <v>00997713</v>
      </c>
    </row>
    <row r="20350" spans="1:2" x14ac:dyDescent="0.25">
      <c r="A20350" s="2">
        <v>20345</v>
      </c>
      <c r="B20350" s="3" t="str">
        <f>"00997714"</f>
        <v>00997714</v>
      </c>
    </row>
    <row r="20351" spans="1:2" x14ac:dyDescent="0.25">
      <c r="A20351" s="2">
        <v>20346</v>
      </c>
      <c r="B20351" s="3" t="str">
        <f>"00997735"</f>
        <v>00997735</v>
      </c>
    </row>
    <row r="20352" spans="1:2" x14ac:dyDescent="0.25">
      <c r="A20352" s="2">
        <v>20347</v>
      </c>
      <c r="B20352" s="3" t="str">
        <f>"00997818"</f>
        <v>00997818</v>
      </c>
    </row>
    <row r="20353" spans="1:2" x14ac:dyDescent="0.25">
      <c r="A20353" s="2">
        <v>20348</v>
      </c>
      <c r="B20353" s="3" t="str">
        <f>"00997822"</f>
        <v>00997822</v>
      </c>
    </row>
    <row r="20354" spans="1:2" x14ac:dyDescent="0.25">
      <c r="A20354" s="2">
        <v>20349</v>
      </c>
      <c r="B20354" s="3" t="str">
        <f>"00997892"</f>
        <v>00997892</v>
      </c>
    </row>
    <row r="20355" spans="1:2" x14ac:dyDescent="0.25">
      <c r="A20355" s="2">
        <v>20350</v>
      </c>
      <c r="B20355" s="3" t="str">
        <f>"00997909"</f>
        <v>00997909</v>
      </c>
    </row>
    <row r="20356" spans="1:2" x14ac:dyDescent="0.25">
      <c r="A20356" s="2">
        <v>20351</v>
      </c>
      <c r="B20356" s="3" t="str">
        <f>"00997913"</f>
        <v>00997913</v>
      </c>
    </row>
    <row r="20357" spans="1:2" x14ac:dyDescent="0.25">
      <c r="A20357" s="2">
        <v>20352</v>
      </c>
      <c r="B20357" s="3" t="str">
        <f>"00998017"</f>
        <v>00998017</v>
      </c>
    </row>
    <row r="20358" spans="1:2" x14ac:dyDescent="0.25">
      <c r="A20358" s="2">
        <v>20353</v>
      </c>
      <c r="B20358" s="3" t="str">
        <f>"00998027"</f>
        <v>00998027</v>
      </c>
    </row>
    <row r="20359" spans="1:2" x14ac:dyDescent="0.25">
      <c r="A20359" s="2">
        <v>20354</v>
      </c>
      <c r="B20359" s="3" t="str">
        <f>"00998055"</f>
        <v>00998055</v>
      </c>
    </row>
    <row r="20360" spans="1:2" x14ac:dyDescent="0.25">
      <c r="A20360" s="2">
        <v>20355</v>
      </c>
      <c r="B20360" s="3" t="str">
        <f>"00998077"</f>
        <v>00998077</v>
      </c>
    </row>
    <row r="20361" spans="1:2" x14ac:dyDescent="0.25">
      <c r="A20361" s="2">
        <v>20356</v>
      </c>
      <c r="B20361" s="3" t="str">
        <f>"00998112"</f>
        <v>00998112</v>
      </c>
    </row>
    <row r="20362" spans="1:2" x14ac:dyDescent="0.25">
      <c r="A20362" s="2">
        <v>20357</v>
      </c>
      <c r="B20362" s="3" t="str">
        <f>"00998145"</f>
        <v>00998145</v>
      </c>
    </row>
    <row r="20363" spans="1:2" x14ac:dyDescent="0.25">
      <c r="A20363" s="2">
        <v>20358</v>
      </c>
      <c r="B20363" s="3" t="str">
        <f>"00998151"</f>
        <v>00998151</v>
      </c>
    </row>
    <row r="20364" spans="1:2" x14ac:dyDescent="0.25">
      <c r="A20364" s="2">
        <v>20359</v>
      </c>
      <c r="B20364" s="3" t="str">
        <f>"00998164"</f>
        <v>00998164</v>
      </c>
    </row>
    <row r="20365" spans="1:2" x14ac:dyDescent="0.25">
      <c r="A20365" s="2">
        <v>20360</v>
      </c>
      <c r="B20365" s="3" t="str">
        <f>"00998204"</f>
        <v>00998204</v>
      </c>
    </row>
    <row r="20366" spans="1:2" x14ac:dyDescent="0.25">
      <c r="A20366" s="2">
        <v>20361</v>
      </c>
      <c r="B20366" s="3" t="str">
        <f>"00998272"</f>
        <v>00998272</v>
      </c>
    </row>
    <row r="20367" spans="1:2" x14ac:dyDescent="0.25">
      <c r="A20367" s="2">
        <v>20362</v>
      </c>
      <c r="B20367" s="3" t="str">
        <f>"00998288"</f>
        <v>00998288</v>
      </c>
    </row>
    <row r="20368" spans="1:2" x14ac:dyDescent="0.25">
      <c r="A20368" s="2">
        <v>20363</v>
      </c>
      <c r="B20368" s="3" t="str">
        <f>"00998314"</f>
        <v>00998314</v>
      </c>
    </row>
    <row r="20369" spans="1:2" x14ac:dyDescent="0.25">
      <c r="A20369" s="2">
        <v>20364</v>
      </c>
      <c r="B20369" s="3" t="str">
        <f>"00998389"</f>
        <v>00998389</v>
      </c>
    </row>
    <row r="20370" spans="1:2" x14ac:dyDescent="0.25">
      <c r="A20370" s="2">
        <v>20365</v>
      </c>
      <c r="B20370" s="3" t="str">
        <f>"00998409"</f>
        <v>00998409</v>
      </c>
    </row>
    <row r="20371" spans="1:2" x14ac:dyDescent="0.25">
      <c r="A20371" s="2">
        <v>20366</v>
      </c>
      <c r="B20371" s="3" t="str">
        <f>"00998429"</f>
        <v>00998429</v>
      </c>
    </row>
    <row r="20372" spans="1:2" x14ac:dyDescent="0.25">
      <c r="A20372" s="2">
        <v>20367</v>
      </c>
      <c r="B20372" s="3" t="str">
        <f>"00998443"</f>
        <v>00998443</v>
      </c>
    </row>
    <row r="20373" spans="1:2" x14ac:dyDescent="0.25">
      <c r="A20373" s="2">
        <v>20368</v>
      </c>
      <c r="B20373" s="3" t="str">
        <f>"00998472"</f>
        <v>00998472</v>
      </c>
    </row>
    <row r="20374" spans="1:2" x14ac:dyDescent="0.25">
      <c r="A20374" s="2">
        <v>20369</v>
      </c>
      <c r="B20374" s="3" t="str">
        <f>"00998487"</f>
        <v>00998487</v>
      </c>
    </row>
    <row r="20375" spans="1:2" x14ac:dyDescent="0.25">
      <c r="A20375" s="2">
        <v>20370</v>
      </c>
      <c r="B20375" s="3" t="str">
        <f>"00998503"</f>
        <v>00998503</v>
      </c>
    </row>
    <row r="20376" spans="1:2" x14ac:dyDescent="0.25">
      <c r="A20376" s="2">
        <v>20371</v>
      </c>
      <c r="B20376" s="3" t="str">
        <f>"00998514"</f>
        <v>00998514</v>
      </c>
    </row>
    <row r="20377" spans="1:2" x14ac:dyDescent="0.25">
      <c r="A20377" s="2">
        <v>20372</v>
      </c>
      <c r="B20377" s="3" t="str">
        <f>"00998525"</f>
        <v>00998525</v>
      </c>
    </row>
    <row r="20378" spans="1:2" x14ac:dyDescent="0.25">
      <c r="A20378" s="2">
        <v>20373</v>
      </c>
      <c r="B20378" s="3" t="str">
        <f>"00998548"</f>
        <v>00998548</v>
      </c>
    </row>
    <row r="20379" spans="1:2" x14ac:dyDescent="0.25">
      <c r="A20379" s="2">
        <v>20374</v>
      </c>
      <c r="B20379" s="3" t="str">
        <f>"00998556"</f>
        <v>00998556</v>
      </c>
    </row>
    <row r="20380" spans="1:2" x14ac:dyDescent="0.25">
      <c r="A20380" s="2">
        <v>20375</v>
      </c>
      <c r="B20380" s="3" t="str">
        <f>"00998592"</f>
        <v>00998592</v>
      </c>
    </row>
    <row r="20381" spans="1:2" x14ac:dyDescent="0.25">
      <c r="A20381" s="2">
        <v>20376</v>
      </c>
      <c r="B20381" s="3" t="str">
        <f>"00998696"</f>
        <v>00998696</v>
      </c>
    </row>
    <row r="20382" spans="1:2" x14ac:dyDescent="0.25">
      <c r="A20382" s="2">
        <v>20377</v>
      </c>
      <c r="B20382" s="3" t="str">
        <f>"00998725"</f>
        <v>00998725</v>
      </c>
    </row>
    <row r="20383" spans="1:2" x14ac:dyDescent="0.25">
      <c r="A20383" s="2">
        <v>20378</v>
      </c>
      <c r="B20383" s="3" t="str">
        <f>"00998758"</f>
        <v>00998758</v>
      </c>
    </row>
    <row r="20384" spans="1:2" x14ac:dyDescent="0.25">
      <c r="A20384" s="2">
        <v>20379</v>
      </c>
      <c r="B20384" s="3" t="str">
        <f>"00998761"</f>
        <v>00998761</v>
      </c>
    </row>
    <row r="20385" spans="1:2" x14ac:dyDescent="0.25">
      <c r="A20385" s="2">
        <v>20380</v>
      </c>
      <c r="B20385" s="3" t="str">
        <f>"00998778"</f>
        <v>00998778</v>
      </c>
    </row>
    <row r="20386" spans="1:2" x14ac:dyDescent="0.25">
      <c r="A20386" s="2">
        <v>20381</v>
      </c>
      <c r="B20386" s="3" t="str">
        <f>"00998779"</f>
        <v>00998779</v>
      </c>
    </row>
    <row r="20387" spans="1:2" x14ac:dyDescent="0.25">
      <c r="A20387" s="2">
        <v>20382</v>
      </c>
      <c r="B20387" s="3" t="str">
        <f>"00998782"</f>
        <v>00998782</v>
      </c>
    </row>
    <row r="20388" spans="1:2" x14ac:dyDescent="0.25">
      <c r="A20388" s="2">
        <v>20383</v>
      </c>
      <c r="B20388" s="3" t="str">
        <f>"00998927"</f>
        <v>00998927</v>
      </c>
    </row>
    <row r="20389" spans="1:2" x14ac:dyDescent="0.25">
      <c r="A20389" s="2">
        <v>20384</v>
      </c>
      <c r="B20389" s="3" t="str">
        <f>"00998937"</f>
        <v>00998937</v>
      </c>
    </row>
    <row r="20390" spans="1:2" x14ac:dyDescent="0.25">
      <c r="A20390" s="2">
        <v>20385</v>
      </c>
      <c r="B20390" s="3" t="str">
        <f>"00998954"</f>
        <v>00998954</v>
      </c>
    </row>
    <row r="20391" spans="1:2" x14ac:dyDescent="0.25">
      <c r="A20391" s="2">
        <v>20386</v>
      </c>
      <c r="B20391" s="3" t="str">
        <f>"00998955"</f>
        <v>00998955</v>
      </c>
    </row>
    <row r="20392" spans="1:2" x14ac:dyDescent="0.25">
      <c r="A20392" s="2">
        <v>20387</v>
      </c>
      <c r="B20392" s="3" t="str">
        <f>"00999006"</f>
        <v>00999006</v>
      </c>
    </row>
    <row r="20393" spans="1:2" x14ac:dyDescent="0.25">
      <c r="A20393" s="2">
        <v>20388</v>
      </c>
      <c r="B20393" s="3" t="str">
        <f>"00999035"</f>
        <v>00999035</v>
      </c>
    </row>
    <row r="20394" spans="1:2" x14ac:dyDescent="0.25">
      <c r="A20394" s="2">
        <v>20389</v>
      </c>
      <c r="B20394" s="3" t="str">
        <f>"00999050"</f>
        <v>00999050</v>
      </c>
    </row>
    <row r="20395" spans="1:2" x14ac:dyDescent="0.25">
      <c r="A20395" s="2">
        <v>20390</v>
      </c>
      <c r="B20395" s="3" t="str">
        <f>"00999082"</f>
        <v>00999082</v>
      </c>
    </row>
    <row r="20396" spans="1:2" x14ac:dyDescent="0.25">
      <c r="A20396" s="2">
        <v>20391</v>
      </c>
      <c r="B20396" s="3" t="str">
        <f>"00999083"</f>
        <v>00999083</v>
      </c>
    </row>
    <row r="20397" spans="1:2" x14ac:dyDescent="0.25">
      <c r="A20397" s="2">
        <v>20392</v>
      </c>
      <c r="B20397" s="3" t="str">
        <f>"00999095"</f>
        <v>00999095</v>
      </c>
    </row>
    <row r="20398" spans="1:2" x14ac:dyDescent="0.25">
      <c r="A20398" s="2">
        <v>20393</v>
      </c>
      <c r="B20398" s="3" t="str">
        <f>"00999101"</f>
        <v>00999101</v>
      </c>
    </row>
    <row r="20399" spans="1:2" x14ac:dyDescent="0.25">
      <c r="A20399" s="2">
        <v>20394</v>
      </c>
      <c r="B20399" s="3" t="str">
        <f>"00999110"</f>
        <v>00999110</v>
      </c>
    </row>
    <row r="20400" spans="1:2" x14ac:dyDescent="0.25">
      <c r="A20400" s="2">
        <v>20395</v>
      </c>
      <c r="B20400" s="3" t="str">
        <f>"00999116"</f>
        <v>00999116</v>
      </c>
    </row>
    <row r="20401" spans="1:2" x14ac:dyDescent="0.25">
      <c r="A20401" s="2">
        <v>20396</v>
      </c>
      <c r="B20401" s="3" t="str">
        <f>"00999120"</f>
        <v>00999120</v>
      </c>
    </row>
    <row r="20402" spans="1:2" x14ac:dyDescent="0.25">
      <c r="A20402" s="2">
        <v>20397</v>
      </c>
      <c r="B20402" s="3" t="str">
        <f>"00999189"</f>
        <v>00999189</v>
      </c>
    </row>
    <row r="20403" spans="1:2" x14ac:dyDescent="0.25">
      <c r="A20403" s="2">
        <v>20398</v>
      </c>
      <c r="B20403" s="3" t="str">
        <f>"00999260"</f>
        <v>00999260</v>
      </c>
    </row>
    <row r="20404" spans="1:2" x14ac:dyDescent="0.25">
      <c r="A20404" s="2">
        <v>20399</v>
      </c>
      <c r="B20404" s="3" t="str">
        <f>"00999331"</f>
        <v>00999331</v>
      </c>
    </row>
    <row r="20405" spans="1:2" x14ac:dyDescent="0.25">
      <c r="A20405" s="2">
        <v>20400</v>
      </c>
      <c r="B20405" s="3" t="str">
        <f>"00999343"</f>
        <v>00999343</v>
      </c>
    </row>
    <row r="20406" spans="1:2" x14ac:dyDescent="0.25">
      <c r="A20406" s="2">
        <v>20401</v>
      </c>
      <c r="B20406" s="3" t="str">
        <f>"00999347"</f>
        <v>00999347</v>
      </c>
    </row>
    <row r="20407" spans="1:2" x14ac:dyDescent="0.25">
      <c r="A20407" s="2">
        <v>20402</v>
      </c>
      <c r="B20407" s="3" t="str">
        <f>"00999368"</f>
        <v>00999368</v>
      </c>
    </row>
    <row r="20408" spans="1:2" x14ac:dyDescent="0.25">
      <c r="A20408" s="2">
        <v>20403</v>
      </c>
      <c r="B20408" s="3" t="str">
        <f>"00999371"</f>
        <v>00999371</v>
      </c>
    </row>
    <row r="20409" spans="1:2" x14ac:dyDescent="0.25">
      <c r="A20409" s="2">
        <v>20404</v>
      </c>
      <c r="B20409" s="3" t="str">
        <f>"00999410"</f>
        <v>00999410</v>
      </c>
    </row>
    <row r="20410" spans="1:2" x14ac:dyDescent="0.25">
      <c r="A20410" s="2">
        <v>20405</v>
      </c>
      <c r="B20410" s="3" t="str">
        <f>"00999425"</f>
        <v>00999425</v>
      </c>
    </row>
    <row r="20411" spans="1:2" x14ac:dyDescent="0.25">
      <c r="A20411" s="2">
        <v>20406</v>
      </c>
      <c r="B20411" s="3" t="str">
        <f>"00999479"</f>
        <v>00999479</v>
      </c>
    </row>
    <row r="20412" spans="1:2" x14ac:dyDescent="0.25">
      <c r="A20412" s="2">
        <v>20407</v>
      </c>
      <c r="B20412" s="3" t="str">
        <f>"00999499"</f>
        <v>00999499</v>
      </c>
    </row>
    <row r="20413" spans="1:2" x14ac:dyDescent="0.25">
      <c r="A20413" s="2">
        <v>20408</v>
      </c>
      <c r="B20413" s="3" t="str">
        <f>"00999556"</f>
        <v>00999556</v>
      </c>
    </row>
    <row r="20414" spans="1:2" x14ac:dyDescent="0.25">
      <c r="A20414" s="2">
        <v>20409</v>
      </c>
      <c r="B20414" s="3" t="str">
        <f>"00999563"</f>
        <v>00999563</v>
      </c>
    </row>
    <row r="20415" spans="1:2" x14ac:dyDescent="0.25">
      <c r="A20415" s="2">
        <v>20410</v>
      </c>
      <c r="B20415" s="3" t="str">
        <f>"00999577"</f>
        <v>00999577</v>
      </c>
    </row>
    <row r="20416" spans="1:2" x14ac:dyDescent="0.25">
      <c r="A20416" s="2">
        <v>20411</v>
      </c>
      <c r="B20416" s="3" t="str">
        <f>"00999593"</f>
        <v>00999593</v>
      </c>
    </row>
    <row r="20417" spans="1:2" x14ac:dyDescent="0.25">
      <c r="A20417" s="2">
        <v>20412</v>
      </c>
      <c r="B20417" s="3" t="str">
        <f>"00999594"</f>
        <v>00999594</v>
      </c>
    </row>
    <row r="20418" spans="1:2" x14ac:dyDescent="0.25">
      <c r="A20418" s="2">
        <v>20413</v>
      </c>
      <c r="B20418" s="3" t="str">
        <f>"00999595"</f>
        <v>00999595</v>
      </c>
    </row>
    <row r="20419" spans="1:2" x14ac:dyDescent="0.25">
      <c r="A20419" s="2">
        <v>20414</v>
      </c>
      <c r="B20419" s="3" t="str">
        <f>"00999671"</f>
        <v>00999671</v>
      </c>
    </row>
    <row r="20420" spans="1:2" x14ac:dyDescent="0.25">
      <c r="A20420" s="2">
        <v>20415</v>
      </c>
      <c r="B20420" s="3" t="str">
        <f>"00999681"</f>
        <v>00999681</v>
      </c>
    </row>
    <row r="20421" spans="1:2" x14ac:dyDescent="0.25">
      <c r="A20421" s="2">
        <v>20416</v>
      </c>
      <c r="B20421" s="3" t="str">
        <f>"00999899"</f>
        <v>00999899</v>
      </c>
    </row>
    <row r="20422" spans="1:2" x14ac:dyDescent="0.25">
      <c r="A20422" s="2">
        <v>20417</v>
      </c>
      <c r="B20422" s="3" t="str">
        <f>"00999913"</f>
        <v>00999913</v>
      </c>
    </row>
    <row r="20423" spans="1:2" x14ac:dyDescent="0.25">
      <c r="A20423" s="2">
        <v>20418</v>
      </c>
      <c r="B20423" s="3" t="str">
        <f>"00999972"</f>
        <v>00999972</v>
      </c>
    </row>
    <row r="20424" spans="1:2" x14ac:dyDescent="0.25">
      <c r="A20424" s="2">
        <v>20419</v>
      </c>
      <c r="B20424" s="3" t="str">
        <f>"01000003"</f>
        <v>01000003</v>
      </c>
    </row>
    <row r="20425" spans="1:2" x14ac:dyDescent="0.25">
      <c r="A20425" s="2">
        <v>20420</v>
      </c>
      <c r="B20425" s="3" t="str">
        <f>"01000063"</f>
        <v>01000063</v>
      </c>
    </row>
    <row r="20426" spans="1:2" x14ac:dyDescent="0.25">
      <c r="A20426" s="2">
        <v>20421</v>
      </c>
      <c r="B20426" s="3" t="str">
        <f>"01000066"</f>
        <v>01000066</v>
      </c>
    </row>
    <row r="20427" spans="1:2" x14ac:dyDescent="0.25">
      <c r="A20427" s="2">
        <v>20422</v>
      </c>
      <c r="B20427" s="3" t="str">
        <f>"01000081"</f>
        <v>01000081</v>
      </c>
    </row>
    <row r="20428" spans="1:2" x14ac:dyDescent="0.25">
      <c r="A20428" s="2">
        <v>20423</v>
      </c>
      <c r="B20428" s="3" t="str">
        <f>"01000100"</f>
        <v>01000100</v>
      </c>
    </row>
    <row r="20429" spans="1:2" x14ac:dyDescent="0.25">
      <c r="A20429" s="2">
        <v>20424</v>
      </c>
      <c r="B20429" s="3" t="str">
        <f>"01000143"</f>
        <v>01000143</v>
      </c>
    </row>
    <row r="20430" spans="1:2" x14ac:dyDescent="0.25">
      <c r="A20430" s="2">
        <v>20425</v>
      </c>
      <c r="B20430" s="3" t="str">
        <f>"01000148"</f>
        <v>01000148</v>
      </c>
    </row>
    <row r="20431" spans="1:2" x14ac:dyDescent="0.25">
      <c r="A20431" s="2">
        <v>20426</v>
      </c>
      <c r="B20431" s="3" t="str">
        <f>"01000151"</f>
        <v>01000151</v>
      </c>
    </row>
    <row r="20432" spans="1:2" x14ac:dyDescent="0.25">
      <c r="A20432" s="2">
        <v>20427</v>
      </c>
      <c r="B20432" s="3" t="str">
        <f>"01000164"</f>
        <v>01000164</v>
      </c>
    </row>
    <row r="20433" spans="1:2" x14ac:dyDescent="0.25">
      <c r="A20433" s="2">
        <v>20428</v>
      </c>
      <c r="B20433" s="3" t="str">
        <f>"01000176"</f>
        <v>01000176</v>
      </c>
    </row>
    <row r="20434" spans="1:2" x14ac:dyDescent="0.25">
      <c r="A20434" s="2">
        <v>20429</v>
      </c>
      <c r="B20434" s="3" t="str">
        <f>"01000199"</f>
        <v>01000199</v>
      </c>
    </row>
    <row r="20435" spans="1:2" x14ac:dyDescent="0.25">
      <c r="A20435" s="2">
        <v>20430</v>
      </c>
      <c r="B20435" s="3" t="str">
        <f>"01000243"</f>
        <v>01000243</v>
      </c>
    </row>
    <row r="20436" spans="1:2" x14ac:dyDescent="0.25">
      <c r="A20436" s="2">
        <v>20431</v>
      </c>
      <c r="B20436" s="3" t="str">
        <f>"01000253"</f>
        <v>01000253</v>
      </c>
    </row>
    <row r="20437" spans="1:2" x14ac:dyDescent="0.25">
      <c r="A20437" s="2">
        <v>20432</v>
      </c>
      <c r="B20437" s="3" t="str">
        <f>"01000262"</f>
        <v>01000262</v>
      </c>
    </row>
    <row r="20438" spans="1:2" x14ac:dyDescent="0.25">
      <c r="A20438" s="2">
        <v>20433</v>
      </c>
      <c r="B20438" s="3" t="str">
        <f>"01000264"</f>
        <v>01000264</v>
      </c>
    </row>
    <row r="20439" spans="1:2" x14ac:dyDescent="0.25">
      <c r="A20439" s="2">
        <v>20434</v>
      </c>
      <c r="B20439" s="3" t="str">
        <f>"01000308"</f>
        <v>01000308</v>
      </c>
    </row>
    <row r="20440" spans="1:2" x14ac:dyDescent="0.25">
      <c r="A20440" s="2">
        <v>20435</v>
      </c>
      <c r="B20440" s="3" t="str">
        <f>"01000315"</f>
        <v>01000315</v>
      </c>
    </row>
    <row r="20441" spans="1:2" x14ac:dyDescent="0.25">
      <c r="A20441" s="2">
        <v>20436</v>
      </c>
      <c r="B20441" s="3" t="str">
        <f>"01000319"</f>
        <v>01000319</v>
      </c>
    </row>
    <row r="20442" spans="1:2" x14ac:dyDescent="0.25">
      <c r="A20442" s="2">
        <v>20437</v>
      </c>
      <c r="B20442" s="3" t="str">
        <f>"01000334"</f>
        <v>01000334</v>
      </c>
    </row>
    <row r="20443" spans="1:2" x14ac:dyDescent="0.25">
      <c r="A20443" s="2">
        <v>20438</v>
      </c>
      <c r="B20443" s="3" t="str">
        <f>"01000404"</f>
        <v>01000404</v>
      </c>
    </row>
    <row r="20444" spans="1:2" x14ac:dyDescent="0.25">
      <c r="A20444" s="2">
        <v>20439</v>
      </c>
      <c r="B20444" s="3" t="str">
        <f>"01000407"</f>
        <v>01000407</v>
      </c>
    </row>
    <row r="20445" spans="1:2" x14ac:dyDescent="0.25">
      <c r="A20445" s="2">
        <v>20440</v>
      </c>
      <c r="B20445" s="3" t="str">
        <f>"01000424"</f>
        <v>01000424</v>
      </c>
    </row>
    <row r="20446" spans="1:2" x14ac:dyDescent="0.25">
      <c r="A20446" s="2">
        <v>20441</v>
      </c>
      <c r="B20446" s="3" t="str">
        <f>"01000451"</f>
        <v>01000451</v>
      </c>
    </row>
    <row r="20447" spans="1:2" x14ac:dyDescent="0.25">
      <c r="A20447" s="2">
        <v>20442</v>
      </c>
      <c r="B20447" s="3" t="str">
        <f>"01000468"</f>
        <v>01000468</v>
      </c>
    </row>
    <row r="20448" spans="1:2" x14ac:dyDescent="0.25">
      <c r="A20448" s="2">
        <v>20443</v>
      </c>
      <c r="B20448" s="3" t="str">
        <f>"01000499"</f>
        <v>01000499</v>
      </c>
    </row>
    <row r="20449" spans="1:2" x14ac:dyDescent="0.25">
      <c r="A20449" s="2">
        <v>20444</v>
      </c>
      <c r="B20449" s="3" t="str">
        <f>"01000523"</f>
        <v>01000523</v>
      </c>
    </row>
    <row r="20450" spans="1:2" x14ac:dyDescent="0.25">
      <c r="A20450" s="2">
        <v>20445</v>
      </c>
      <c r="B20450" s="3" t="str">
        <f>"01000535"</f>
        <v>01000535</v>
      </c>
    </row>
    <row r="20451" spans="1:2" x14ac:dyDescent="0.25">
      <c r="A20451" s="2">
        <v>20446</v>
      </c>
      <c r="B20451" s="3" t="str">
        <f>"01000563"</f>
        <v>01000563</v>
      </c>
    </row>
    <row r="20452" spans="1:2" x14ac:dyDescent="0.25">
      <c r="A20452" s="2">
        <v>20447</v>
      </c>
      <c r="B20452" s="3" t="str">
        <f>"01000565"</f>
        <v>01000565</v>
      </c>
    </row>
    <row r="20453" spans="1:2" x14ac:dyDescent="0.25">
      <c r="A20453" s="2">
        <v>20448</v>
      </c>
      <c r="B20453" s="3" t="str">
        <f>"01000642"</f>
        <v>01000642</v>
      </c>
    </row>
    <row r="20454" spans="1:2" x14ac:dyDescent="0.25">
      <c r="A20454" s="2">
        <v>20449</v>
      </c>
      <c r="B20454" s="3" t="str">
        <f>"01000663"</f>
        <v>01000663</v>
      </c>
    </row>
    <row r="20455" spans="1:2" x14ac:dyDescent="0.25">
      <c r="A20455" s="2">
        <v>20450</v>
      </c>
      <c r="B20455" s="3" t="str">
        <f>"01000697"</f>
        <v>01000697</v>
      </c>
    </row>
    <row r="20456" spans="1:2" x14ac:dyDescent="0.25">
      <c r="A20456" s="2">
        <v>20451</v>
      </c>
      <c r="B20456" s="3" t="str">
        <f>"01000732"</f>
        <v>01000732</v>
      </c>
    </row>
    <row r="20457" spans="1:2" x14ac:dyDescent="0.25">
      <c r="A20457" s="2">
        <v>20452</v>
      </c>
      <c r="B20457" s="3" t="str">
        <f>"01000772"</f>
        <v>01000772</v>
      </c>
    </row>
    <row r="20458" spans="1:2" x14ac:dyDescent="0.25">
      <c r="A20458" s="2">
        <v>20453</v>
      </c>
      <c r="B20458" s="3" t="str">
        <f>"01000791"</f>
        <v>01000791</v>
      </c>
    </row>
    <row r="20459" spans="1:2" x14ac:dyDescent="0.25">
      <c r="A20459" s="2">
        <v>20454</v>
      </c>
      <c r="B20459" s="3" t="str">
        <f>"01000792"</f>
        <v>01000792</v>
      </c>
    </row>
    <row r="20460" spans="1:2" x14ac:dyDescent="0.25">
      <c r="A20460" s="2">
        <v>20455</v>
      </c>
      <c r="B20460" s="3" t="str">
        <f>"01000801"</f>
        <v>01000801</v>
      </c>
    </row>
    <row r="20461" spans="1:2" x14ac:dyDescent="0.25">
      <c r="A20461" s="2">
        <v>20456</v>
      </c>
      <c r="B20461" s="3" t="str">
        <f>"01000812"</f>
        <v>01000812</v>
      </c>
    </row>
    <row r="20462" spans="1:2" x14ac:dyDescent="0.25">
      <c r="A20462" s="2">
        <v>20457</v>
      </c>
      <c r="B20462" s="3" t="str">
        <f>"01000824"</f>
        <v>01000824</v>
      </c>
    </row>
    <row r="20463" spans="1:2" x14ac:dyDescent="0.25">
      <c r="A20463" s="2">
        <v>20458</v>
      </c>
      <c r="B20463" s="3" t="str">
        <f>"01000849"</f>
        <v>01000849</v>
      </c>
    </row>
    <row r="20464" spans="1:2" x14ac:dyDescent="0.25">
      <c r="A20464" s="2">
        <v>20459</v>
      </c>
      <c r="B20464" s="3" t="str">
        <f>"01000896"</f>
        <v>01000896</v>
      </c>
    </row>
    <row r="20465" spans="1:2" x14ac:dyDescent="0.25">
      <c r="A20465" s="2">
        <v>20460</v>
      </c>
      <c r="B20465" s="3" t="str">
        <f>"01000899"</f>
        <v>01000899</v>
      </c>
    </row>
    <row r="20466" spans="1:2" x14ac:dyDescent="0.25">
      <c r="A20466" s="2">
        <v>20461</v>
      </c>
      <c r="B20466" s="3" t="str">
        <f>"01000902"</f>
        <v>01000902</v>
      </c>
    </row>
    <row r="20467" spans="1:2" x14ac:dyDescent="0.25">
      <c r="A20467" s="2">
        <v>20462</v>
      </c>
      <c r="B20467" s="3" t="str">
        <f>"01000948"</f>
        <v>01000948</v>
      </c>
    </row>
    <row r="20468" spans="1:2" x14ac:dyDescent="0.25">
      <c r="A20468" s="2">
        <v>20463</v>
      </c>
      <c r="B20468" s="3" t="str">
        <f>"01001057"</f>
        <v>01001057</v>
      </c>
    </row>
    <row r="20469" spans="1:2" x14ac:dyDescent="0.25">
      <c r="A20469" s="2">
        <v>20464</v>
      </c>
      <c r="B20469" s="3" t="str">
        <f>"01001070"</f>
        <v>01001070</v>
      </c>
    </row>
    <row r="20470" spans="1:2" x14ac:dyDescent="0.25">
      <c r="A20470" s="2">
        <v>20465</v>
      </c>
      <c r="B20470" s="3" t="str">
        <f>"01001075"</f>
        <v>01001075</v>
      </c>
    </row>
    <row r="20471" spans="1:2" x14ac:dyDescent="0.25">
      <c r="A20471" s="2">
        <v>20466</v>
      </c>
      <c r="B20471" s="3" t="str">
        <f>"01001102"</f>
        <v>01001102</v>
      </c>
    </row>
    <row r="20472" spans="1:2" x14ac:dyDescent="0.25">
      <c r="A20472" s="2">
        <v>20467</v>
      </c>
      <c r="B20472" s="3" t="str">
        <f>"01001163"</f>
        <v>01001163</v>
      </c>
    </row>
    <row r="20473" spans="1:2" x14ac:dyDescent="0.25">
      <c r="A20473" s="2">
        <v>20468</v>
      </c>
      <c r="B20473" s="3" t="str">
        <f>"01001189"</f>
        <v>01001189</v>
      </c>
    </row>
    <row r="20474" spans="1:2" x14ac:dyDescent="0.25">
      <c r="A20474" s="2">
        <v>20469</v>
      </c>
      <c r="B20474" s="3" t="str">
        <f>"01001196"</f>
        <v>01001196</v>
      </c>
    </row>
    <row r="20475" spans="1:2" x14ac:dyDescent="0.25">
      <c r="A20475" s="2">
        <v>20470</v>
      </c>
      <c r="B20475" s="3" t="str">
        <f>"01001206"</f>
        <v>01001206</v>
      </c>
    </row>
    <row r="20476" spans="1:2" x14ac:dyDescent="0.25">
      <c r="A20476" s="2">
        <v>20471</v>
      </c>
      <c r="B20476" s="3" t="str">
        <f>"01001208"</f>
        <v>01001208</v>
      </c>
    </row>
    <row r="20477" spans="1:2" x14ac:dyDescent="0.25">
      <c r="A20477" s="2">
        <v>20472</v>
      </c>
      <c r="B20477" s="3" t="str">
        <f>"01001224"</f>
        <v>01001224</v>
      </c>
    </row>
    <row r="20478" spans="1:2" x14ac:dyDescent="0.25">
      <c r="A20478" s="2">
        <v>20473</v>
      </c>
      <c r="B20478" s="3" t="str">
        <f>"01001225"</f>
        <v>01001225</v>
      </c>
    </row>
    <row r="20479" spans="1:2" x14ac:dyDescent="0.25">
      <c r="A20479" s="2">
        <v>20474</v>
      </c>
      <c r="B20479" s="3" t="str">
        <f>"01001235"</f>
        <v>01001235</v>
      </c>
    </row>
    <row r="20480" spans="1:2" x14ac:dyDescent="0.25">
      <c r="A20480" s="2">
        <v>20475</v>
      </c>
      <c r="B20480" s="3" t="str">
        <f>"01001241"</f>
        <v>01001241</v>
      </c>
    </row>
    <row r="20481" spans="1:2" x14ac:dyDescent="0.25">
      <c r="A20481" s="2">
        <v>20476</v>
      </c>
      <c r="B20481" s="3" t="str">
        <f>"01001271"</f>
        <v>01001271</v>
      </c>
    </row>
    <row r="20482" spans="1:2" x14ac:dyDescent="0.25">
      <c r="A20482" s="2">
        <v>20477</v>
      </c>
      <c r="B20482" s="3" t="str">
        <f>"01001342"</f>
        <v>01001342</v>
      </c>
    </row>
    <row r="20483" spans="1:2" x14ac:dyDescent="0.25">
      <c r="A20483" s="2">
        <v>20478</v>
      </c>
      <c r="B20483" s="3" t="str">
        <f>"01001374"</f>
        <v>01001374</v>
      </c>
    </row>
    <row r="20484" spans="1:2" x14ac:dyDescent="0.25">
      <c r="A20484" s="2">
        <v>20479</v>
      </c>
      <c r="B20484" s="3" t="str">
        <f>"01001377"</f>
        <v>01001377</v>
      </c>
    </row>
    <row r="20485" spans="1:2" x14ac:dyDescent="0.25">
      <c r="A20485" s="2">
        <v>20480</v>
      </c>
      <c r="B20485" s="3" t="str">
        <f>"01001383"</f>
        <v>01001383</v>
      </c>
    </row>
    <row r="20486" spans="1:2" x14ac:dyDescent="0.25">
      <c r="A20486" s="2">
        <v>20481</v>
      </c>
      <c r="B20486" s="3" t="str">
        <f>"01001389"</f>
        <v>01001389</v>
      </c>
    </row>
    <row r="20487" spans="1:2" x14ac:dyDescent="0.25">
      <c r="A20487" s="2">
        <v>20482</v>
      </c>
      <c r="B20487" s="3" t="str">
        <f>"01001406"</f>
        <v>01001406</v>
      </c>
    </row>
    <row r="20488" spans="1:2" x14ac:dyDescent="0.25">
      <c r="A20488" s="2">
        <v>20483</v>
      </c>
      <c r="B20488" s="3" t="str">
        <f>"01001419"</f>
        <v>01001419</v>
      </c>
    </row>
    <row r="20489" spans="1:2" x14ac:dyDescent="0.25">
      <c r="A20489" s="2">
        <v>20484</v>
      </c>
      <c r="B20489" s="3" t="str">
        <f>"01001513"</f>
        <v>01001513</v>
      </c>
    </row>
    <row r="20490" spans="1:2" x14ac:dyDescent="0.25">
      <c r="A20490" s="2">
        <v>20485</v>
      </c>
      <c r="B20490" s="3" t="str">
        <f>"01001526"</f>
        <v>01001526</v>
      </c>
    </row>
    <row r="20491" spans="1:2" x14ac:dyDescent="0.25">
      <c r="A20491" s="2">
        <v>20486</v>
      </c>
      <c r="B20491" s="3" t="str">
        <f>"01001728"</f>
        <v>01001728</v>
      </c>
    </row>
    <row r="20492" spans="1:2" x14ac:dyDescent="0.25">
      <c r="A20492" s="2">
        <v>20487</v>
      </c>
      <c r="B20492" s="3" t="str">
        <f>"01001762"</f>
        <v>01001762</v>
      </c>
    </row>
    <row r="20493" spans="1:2" x14ac:dyDescent="0.25">
      <c r="A20493" s="2">
        <v>20488</v>
      </c>
      <c r="B20493" s="3" t="str">
        <f>"01001763"</f>
        <v>01001763</v>
      </c>
    </row>
    <row r="20494" spans="1:2" x14ac:dyDescent="0.25">
      <c r="A20494" s="2">
        <v>20489</v>
      </c>
      <c r="B20494" s="3" t="str">
        <f>"01001794"</f>
        <v>01001794</v>
      </c>
    </row>
    <row r="20495" spans="1:2" x14ac:dyDescent="0.25">
      <c r="A20495" s="2">
        <v>20490</v>
      </c>
      <c r="B20495" s="3" t="str">
        <f>"01001809"</f>
        <v>01001809</v>
      </c>
    </row>
    <row r="20496" spans="1:2" x14ac:dyDescent="0.25">
      <c r="A20496" s="2">
        <v>20491</v>
      </c>
      <c r="B20496" s="3" t="str">
        <f>"01001830"</f>
        <v>01001830</v>
      </c>
    </row>
    <row r="20497" spans="1:2" x14ac:dyDescent="0.25">
      <c r="A20497" s="2">
        <v>20492</v>
      </c>
      <c r="B20497" s="3" t="str">
        <f>"01001853"</f>
        <v>01001853</v>
      </c>
    </row>
    <row r="20498" spans="1:2" x14ac:dyDescent="0.25">
      <c r="A20498" s="2">
        <v>20493</v>
      </c>
      <c r="B20498" s="3" t="str">
        <f>"01001888"</f>
        <v>01001888</v>
      </c>
    </row>
    <row r="20499" spans="1:2" x14ac:dyDescent="0.25">
      <c r="A20499" s="2">
        <v>20494</v>
      </c>
      <c r="B20499" s="3" t="str">
        <f>"01001901"</f>
        <v>01001901</v>
      </c>
    </row>
    <row r="20500" spans="1:2" x14ac:dyDescent="0.25">
      <c r="A20500" s="2">
        <v>20495</v>
      </c>
      <c r="B20500" s="3" t="str">
        <f>"01001920"</f>
        <v>01001920</v>
      </c>
    </row>
    <row r="20501" spans="1:2" x14ac:dyDescent="0.25">
      <c r="A20501" s="2">
        <v>20496</v>
      </c>
      <c r="B20501" s="3" t="str">
        <f>"01001936"</f>
        <v>01001936</v>
      </c>
    </row>
    <row r="20502" spans="1:2" x14ac:dyDescent="0.25">
      <c r="A20502" s="2">
        <v>20497</v>
      </c>
      <c r="B20502" s="3" t="str">
        <f>"01001948"</f>
        <v>01001948</v>
      </c>
    </row>
    <row r="20503" spans="1:2" x14ac:dyDescent="0.25">
      <c r="A20503" s="2">
        <v>20498</v>
      </c>
      <c r="B20503" s="3" t="str">
        <f>"01001963"</f>
        <v>01001963</v>
      </c>
    </row>
    <row r="20504" spans="1:2" x14ac:dyDescent="0.25">
      <c r="A20504" s="2">
        <v>20499</v>
      </c>
      <c r="B20504" s="3" t="str">
        <f>"01001966"</f>
        <v>01001966</v>
      </c>
    </row>
    <row r="20505" spans="1:2" x14ac:dyDescent="0.25">
      <c r="A20505" s="2">
        <v>20500</v>
      </c>
      <c r="B20505" s="3" t="str">
        <f>"01001968"</f>
        <v>01001968</v>
      </c>
    </row>
    <row r="20506" spans="1:2" x14ac:dyDescent="0.25">
      <c r="A20506" s="2">
        <v>20501</v>
      </c>
      <c r="B20506" s="3" t="str">
        <f>"01001969"</f>
        <v>01001969</v>
      </c>
    </row>
    <row r="20507" spans="1:2" x14ac:dyDescent="0.25">
      <c r="A20507" s="2">
        <v>20502</v>
      </c>
      <c r="B20507" s="3" t="str">
        <f>"01001986"</f>
        <v>01001986</v>
      </c>
    </row>
    <row r="20508" spans="1:2" x14ac:dyDescent="0.25">
      <c r="A20508" s="2">
        <v>20503</v>
      </c>
      <c r="B20508" s="3" t="str">
        <f>"01001992"</f>
        <v>01001992</v>
      </c>
    </row>
    <row r="20509" spans="1:2" x14ac:dyDescent="0.25">
      <c r="A20509" s="2">
        <v>20504</v>
      </c>
      <c r="B20509" s="3" t="str">
        <f>"01001996"</f>
        <v>01001996</v>
      </c>
    </row>
    <row r="20510" spans="1:2" x14ac:dyDescent="0.25">
      <c r="A20510" s="2">
        <v>20505</v>
      </c>
      <c r="B20510" s="3" t="str">
        <f>"01002009"</f>
        <v>01002009</v>
      </c>
    </row>
    <row r="20511" spans="1:2" x14ac:dyDescent="0.25">
      <c r="A20511" s="2">
        <v>20506</v>
      </c>
      <c r="B20511" s="3" t="str">
        <f>"01002015"</f>
        <v>01002015</v>
      </c>
    </row>
    <row r="20512" spans="1:2" x14ac:dyDescent="0.25">
      <c r="A20512" s="2">
        <v>20507</v>
      </c>
      <c r="B20512" s="3" t="str">
        <f>"01002039"</f>
        <v>01002039</v>
      </c>
    </row>
    <row r="20513" spans="1:2" x14ac:dyDescent="0.25">
      <c r="A20513" s="2">
        <v>20508</v>
      </c>
      <c r="B20513" s="3" t="str">
        <f>"01002114"</f>
        <v>01002114</v>
      </c>
    </row>
    <row r="20514" spans="1:2" x14ac:dyDescent="0.25">
      <c r="A20514" s="2">
        <v>20509</v>
      </c>
      <c r="B20514" s="3" t="str">
        <f>"01002120"</f>
        <v>01002120</v>
      </c>
    </row>
    <row r="20515" spans="1:2" x14ac:dyDescent="0.25">
      <c r="A20515" s="2">
        <v>20510</v>
      </c>
      <c r="B20515" s="3" t="str">
        <f>"01002132"</f>
        <v>01002132</v>
      </c>
    </row>
    <row r="20516" spans="1:2" x14ac:dyDescent="0.25">
      <c r="A20516" s="2">
        <v>20511</v>
      </c>
      <c r="B20516" s="3" t="str">
        <f>"01002146"</f>
        <v>01002146</v>
      </c>
    </row>
    <row r="20517" spans="1:2" x14ac:dyDescent="0.25">
      <c r="A20517" s="2">
        <v>20512</v>
      </c>
      <c r="B20517" s="3" t="str">
        <f>"01002175"</f>
        <v>01002175</v>
      </c>
    </row>
    <row r="20518" spans="1:2" x14ac:dyDescent="0.25">
      <c r="A20518" s="2">
        <v>20513</v>
      </c>
      <c r="B20518" s="3" t="str">
        <f>"01002189"</f>
        <v>01002189</v>
      </c>
    </row>
    <row r="20519" spans="1:2" x14ac:dyDescent="0.25">
      <c r="A20519" s="2">
        <v>20514</v>
      </c>
      <c r="B20519" s="3" t="str">
        <f>"01002206"</f>
        <v>01002206</v>
      </c>
    </row>
    <row r="20520" spans="1:2" x14ac:dyDescent="0.25">
      <c r="A20520" s="2">
        <v>20515</v>
      </c>
      <c r="B20520" s="3" t="str">
        <f>"01002260"</f>
        <v>01002260</v>
      </c>
    </row>
    <row r="20521" spans="1:2" x14ac:dyDescent="0.25">
      <c r="A20521" s="2">
        <v>20516</v>
      </c>
      <c r="B20521" s="3" t="str">
        <f>"01002272"</f>
        <v>01002272</v>
      </c>
    </row>
    <row r="20522" spans="1:2" x14ac:dyDescent="0.25">
      <c r="A20522" s="2">
        <v>20517</v>
      </c>
      <c r="B20522" s="3" t="str">
        <f>"01002374"</f>
        <v>01002374</v>
      </c>
    </row>
    <row r="20523" spans="1:2" x14ac:dyDescent="0.25">
      <c r="A20523" s="2">
        <v>20518</v>
      </c>
      <c r="B20523" s="3" t="str">
        <f>"01002385"</f>
        <v>01002385</v>
      </c>
    </row>
    <row r="20524" spans="1:2" x14ac:dyDescent="0.25">
      <c r="A20524" s="2">
        <v>20519</v>
      </c>
      <c r="B20524" s="3" t="str">
        <f>"01002414"</f>
        <v>01002414</v>
      </c>
    </row>
    <row r="20525" spans="1:2" x14ac:dyDescent="0.25">
      <c r="A20525" s="2">
        <v>20520</v>
      </c>
      <c r="B20525" s="3" t="str">
        <f>"01002474"</f>
        <v>01002474</v>
      </c>
    </row>
    <row r="20526" spans="1:2" x14ac:dyDescent="0.25">
      <c r="A20526" s="2">
        <v>20521</v>
      </c>
      <c r="B20526" s="3" t="str">
        <f>"01002496"</f>
        <v>01002496</v>
      </c>
    </row>
    <row r="20527" spans="1:2" x14ac:dyDescent="0.25">
      <c r="A20527" s="2">
        <v>20522</v>
      </c>
      <c r="B20527" s="3" t="str">
        <f>"01002498"</f>
        <v>01002498</v>
      </c>
    </row>
    <row r="20528" spans="1:2" x14ac:dyDescent="0.25">
      <c r="A20528" s="2">
        <v>20523</v>
      </c>
      <c r="B20528" s="3" t="str">
        <f>"01002526"</f>
        <v>01002526</v>
      </c>
    </row>
    <row r="20529" spans="1:2" x14ac:dyDescent="0.25">
      <c r="A20529" s="2">
        <v>20524</v>
      </c>
      <c r="B20529" s="3" t="str">
        <f>"01002539"</f>
        <v>01002539</v>
      </c>
    </row>
    <row r="20530" spans="1:2" x14ac:dyDescent="0.25">
      <c r="A20530" s="2">
        <v>20525</v>
      </c>
      <c r="B20530" s="3" t="str">
        <f>"01002545"</f>
        <v>01002545</v>
      </c>
    </row>
    <row r="20531" spans="1:2" x14ac:dyDescent="0.25">
      <c r="A20531" s="2">
        <v>20526</v>
      </c>
      <c r="B20531" s="3" t="str">
        <f>"01002611"</f>
        <v>01002611</v>
      </c>
    </row>
    <row r="20532" spans="1:2" x14ac:dyDescent="0.25">
      <c r="A20532" s="2">
        <v>20527</v>
      </c>
      <c r="B20532" s="3" t="str">
        <f>"01002613"</f>
        <v>01002613</v>
      </c>
    </row>
    <row r="20533" spans="1:2" x14ac:dyDescent="0.25">
      <c r="A20533" s="2">
        <v>20528</v>
      </c>
      <c r="B20533" s="3" t="str">
        <f>"01002656"</f>
        <v>01002656</v>
      </c>
    </row>
    <row r="20534" spans="1:2" x14ac:dyDescent="0.25">
      <c r="A20534" s="2">
        <v>20529</v>
      </c>
      <c r="B20534" s="3" t="str">
        <f>"01002682"</f>
        <v>01002682</v>
      </c>
    </row>
    <row r="20535" spans="1:2" x14ac:dyDescent="0.25">
      <c r="A20535" s="2">
        <v>20530</v>
      </c>
      <c r="B20535" s="3" t="str">
        <f>"01002744"</f>
        <v>01002744</v>
      </c>
    </row>
    <row r="20536" spans="1:2" x14ac:dyDescent="0.25">
      <c r="A20536" s="2">
        <v>20531</v>
      </c>
      <c r="B20536" s="3" t="str">
        <f>"01002766"</f>
        <v>01002766</v>
      </c>
    </row>
    <row r="20537" spans="1:2" x14ac:dyDescent="0.25">
      <c r="A20537" s="2">
        <v>20532</v>
      </c>
      <c r="B20537" s="3" t="str">
        <f>"01002770"</f>
        <v>01002770</v>
      </c>
    </row>
    <row r="20538" spans="1:2" x14ac:dyDescent="0.25">
      <c r="A20538" s="2">
        <v>20533</v>
      </c>
      <c r="B20538" s="3" t="str">
        <f>"01002773"</f>
        <v>01002773</v>
      </c>
    </row>
    <row r="20539" spans="1:2" x14ac:dyDescent="0.25">
      <c r="A20539" s="2">
        <v>20534</v>
      </c>
      <c r="B20539" s="3" t="str">
        <f>"01002813"</f>
        <v>01002813</v>
      </c>
    </row>
    <row r="20540" spans="1:2" x14ac:dyDescent="0.25">
      <c r="A20540" s="2">
        <v>20535</v>
      </c>
      <c r="B20540" s="3" t="str">
        <f>"01002821"</f>
        <v>01002821</v>
      </c>
    </row>
    <row r="20541" spans="1:2" x14ac:dyDescent="0.25">
      <c r="A20541" s="2">
        <v>20536</v>
      </c>
      <c r="B20541" s="3" t="str">
        <f>"01002834"</f>
        <v>01002834</v>
      </c>
    </row>
    <row r="20542" spans="1:2" x14ac:dyDescent="0.25">
      <c r="A20542" s="2">
        <v>20537</v>
      </c>
      <c r="B20542" s="3" t="str">
        <f>"01002838"</f>
        <v>01002838</v>
      </c>
    </row>
    <row r="20543" spans="1:2" x14ac:dyDescent="0.25">
      <c r="A20543" s="2">
        <v>20538</v>
      </c>
      <c r="B20543" s="3" t="str">
        <f>"01002845"</f>
        <v>01002845</v>
      </c>
    </row>
    <row r="20544" spans="1:2" x14ac:dyDescent="0.25">
      <c r="A20544" s="2">
        <v>20539</v>
      </c>
      <c r="B20544" s="3" t="str">
        <f>"01002859"</f>
        <v>01002859</v>
      </c>
    </row>
    <row r="20545" spans="1:2" x14ac:dyDescent="0.25">
      <c r="A20545" s="2">
        <v>20540</v>
      </c>
      <c r="B20545" s="3" t="str">
        <f>"01002903"</f>
        <v>01002903</v>
      </c>
    </row>
    <row r="20546" spans="1:2" x14ac:dyDescent="0.25">
      <c r="A20546" s="2">
        <v>20541</v>
      </c>
      <c r="B20546" s="3" t="str">
        <f>"01002911"</f>
        <v>01002911</v>
      </c>
    </row>
    <row r="20547" spans="1:2" x14ac:dyDescent="0.25">
      <c r="A20547" s="2">
        <v>20542</v>
      </c>
      <c r="B20547" s="3" t="str">
        <f>"01002944"</f>
        <v>01002944</v>
      </c>
    </row>
    <row r="20548" spans="1:2" x14ac:dyDescent="0.25">
      <c r="A20548" s="2">
        <v>20543</v>
      </c>
      <c r="B20548" s="3" t="str">
        <f>"01002955"</f>
        <v>01002955</v>
      </c>
    </row>
    <row r="20549" spans="1:2" x14ac:dyDescent="0.25">
      <c r="A20549" s="2">
        <v>20544</v>
      </c>
      <c r="B20549" s="3" t="str">
        <f>"01002990"</f>
        <v>01002990</v>
      </c>
    </row>
    <row r="20550" spans="1:2" x14ac:dyDescent="0.25">
      <c r="A20550" s="2">
        <v>20545</v>
      </c>
      <c r="B20550" s="3" t="str">
        <f>"01003029"</f>
        <v>01003029</v>
      </c>
    </row>
    <row r="20551" spans="1:2" x14ac:dyDescent="0.25">
      <c r="A20551" s="2">
        <v>20546</v>
      </c>
      <c r="B20551" s="3" t="str">
        <f>"01003032"</f>
        <v>01003032</v>
      </c>
    </row>
    <row r="20552" spans="1:2" x14ac:dyDescent="0.25">
      <c r="A20552" s="2">
        <v>20547</v>
      </c>
      <c r="B20552" s="3" t="str">
        <f>"01003033"</f>
        <v>01003033</v>
      </c>
    </row>
    <row r="20553" spans="1:2" x14ac:dyDescent="0.25">
      <c r="A20553" s="2">
        <v>20548</v>
      </c>
      <c r="B20553" s="3" t="str">
        <f>"01003046"</f>
        <v>01003046</v>
      </c>
    </row>
    <row r="20554" spans="1:2" x14ac:dyDescent="0.25">
      <c r="A20554" s="2">
        <v>20549</v>
      </c>
      <c r="B20554" s="3" t="str">
        <f>"01003049"</f>
        <v>01003049</v>
      </c>
    </row>
    <row r="20555" spans="1:2" x14ac:dyDescent="0.25">
      <c r="A20555" s="2">
        <v>20550</v>
      </c>
      <c r="B20555" s="3" t="str">
        <f>"01003116"</f>
        <v>01003116</v>
      </c>
    </row>
    <row r="20556" spans="1:2" x14ac:dyDescent="0.25">
      <c r="A20556" s="2">
        <v>20551</v>
      </c>
      <c r="B20556" s="3" t="str">
        <f>"01003145"</f>
        <v>01003145</v>
      </c>
    </row>
    <row r="20557" spans="1:2" x14ac:dyDescent="0.25">
      <c r="A20557" s="2">
        <v>20552</v>
      </c>
      <c r="B20557" s="3" t="str">
        <f>"01003169"</f>
        <v>01003169</v>
      </c>
    </row>
    <row r="20558" spans="1:2" x14ac:dyDescent="0.25">
      <c r="A20558" s="2">
        <v>20553</v>
      </c>
      <c r="B20558" s="3" t="str">
        <f>"01003176"</f>
        <v>01003176</v>
      </c>
    </row>
    <row r="20559" spans="1:2" x14ac:dyDescent="0.25">
      <c r="A20559" s="2">
        <v>20554</v>
      </c>
      <c r="B20559" s="3" t="str">
        <f>"01003196"</f>
        <v>01003196</v>
      </c>
    </row>
    <row r="20560" spans="1:2" x14ac:dyDescent="0.25">
      <c r="A20560" s="2">
        <v>20555</v>
      </c>
      <c r="B20560" s="3" t="str">
        <f>"01003254"</f>
        <v>01003254</v>
      </c>
    </row>
    <row r="20561" spans="1:2" x14ac:dyDescent="0.25">
      <c r="A20561" s="2">
        <v>20556</v>
      </c>
      <c r="B20561" s="3" t="str">
        <f>"01003338"</f>
        <v>01003338</v>
      </c>
    </row>
    <row r="20562" spans="1:2" x14ac:dyDescent="0.25">
      <c r="A20562" s="2">
        <v>20557</v>
      </c>
      <c r="B20562" s="3" t="str">
        <f>"01003347"</f>
        <v>01003347</v>
      </c>
    </row>
    <row r="20563" spans="1:2" x14ac:dyDescent="0.25">
      <c r="A20563" s="2">
        <v>20558</v>
      </c>
      <c r="B20563" s="3" t="str">
        <f>"01003348"</f>
        <v>01003348</v>
      </c>
    </row>
    <row r="20564" spans="1:2" x14ac:dyDescent="0.25">
      <c r="A20564" s="2">
        <v>20559</v>
      </c>
      <c r="B20564" s="3" t="str">
        <f>"01003407"</f>
        <v>01003407</v>
      </c>
    </row>
    <row r="20565" spans="1:2" x14ac:dyDescent="0.25">
      <c r="A20565" s="2">
        <v>20560</v>
      </c>
      <c r="B20565" s="3" t="str">
        <f>"01003408"</f>
        <v>01003408</v>
      </c>
    </row>
    <row r="20566" spans="1:2" x14ac:dyDescent="0.25">
      <c r="A20566" s="2">
        <v>20561</v>
      </c>
      <c r="B20566" s="3" t="str">
        <f>"01003419"</f>
        <v>01003419</v>
      </c>
    </row>
    <row r="20567" spans="1:2" x14ac:dyDescent="0.25">
      <c r="A20567" s="2">
        <v>20562</v>
      </c>
      <c r="B20567" s="3" t="str">
        <f>"01003472"</f>
        <v>01003472</v>
      </c>
    </row>
    <row r="20568" spans="1:2" x14ac:dyDescent="0.25">
      <c r="A20568" s="2">
        <v>20563</v>
      </c>
      <c r="B20568" s="3" t="str">
        <f>"01003488"</f>
        <v>01003488</v>
      </c>
    </row>
    <row r="20569" spans="1:2" x14ac:dyDescent="0.25">
      <c r="A20569" s="2">
        <v>20564</v>
      </c>
      <c r="B20569" s="3" t="str">
        <f>"01003497"</f>
        <v>01003497</v>
      </c>
    </row>
    <row r="20570" spans="1:2" x14ac:dyDescent="0.25">
      <c r="A20570" s="2">
        <v>20565</v>
      </c>
      <c r="B20570" s="3" t="str">
        <f>"01003513"</f>
        <v>01003513</v>
      </c>
    </row>
    <row r="20571" spans="1:2" x14ac:dyDescent="0.25">
      <c r="A20571" s="2">
        <v>20566</v>
      </c>
      <c r="B20571" s="3" t="str">
        <f>"01003595"</f>
        <v>01003595</v>
      </c>
    </row>
    <row r="20572" spans="1:2" x14ac:dyDescent="0.25">
      <c r="A20572" s="2">
        <v>20567</v>
      </c>
      <c r="B20572" s="3" t="str">
        <f>"01003617"</f>
        <v>01003617</v>
      </c>
    </row>
    <row r="20573" spans="1:2" x14ac:dyDescent="0.25">
      <c r="A20573" s="2">
        <v>20568</v>
      </c>
      <c r="B20573" s="3" t="str">
        <f>"01003622"</f>
        <v>01003622</v>
      </c>
    </row>
    <row r="20574" spans="1:2" x14ac:dyDescent="0.25">
      <c r="A20574" s="2">
        <v>20569</v>
      </c>
      <c r="B20574" s="3" t="str">
        <f>"01003626"</f>
        <v>01003626</v>
      </c>
    </row>
    <row r="20575" spans="1:2" x14ac:dyDescent="0.25">
      <c r="A20575" s="2">
        <v>20570</v>
      </c>
      <c r="B20575" s="3" t="str">
        <f>"01003639"</f>
        <v>01003639</v>
      </c>
    </row>
    <row r="20576" spans="1:2" x14ac:dyDescent="0.25">
      <c r="A20576" s="2">
        <v>20571</v>
      </c>
      <c r="B20576" s="3" t="str">
        <f>"01003667"</f>
        <v>01003667</v>
      </c>
    </row>
    <row r="20577" spans="1:2" x14ac:dyDescent="0.25">
      <c r="A20577" s="2">
        <v>20572</v>
      </c>
      <c r="B20577" s="3" t="str">
        <f>"01003674"</f>
        <v>01003674</v>
      </c>
    </row>
    <row r="20578" spans="1:2" x14ac:dyDescent="0.25">
      <c r="A20578" s="2">
        <v>20573</v>
      </c>
      <c r="B20578" s="3" t="str">
        <f>"01003680"</f>
        <v>01003680</v>
      </c>
    </row>
    <row r="20579" spans="1:2" x14ac:dyDescent="0.25">
      <c r="A20579" s="2">
        <v>20574</v>
      </c>
      <c r="B20579" s="3" t="str">
        <f>"01003692"</f>
        <v>01003692</v>
      </c>
    </row>
    <row r="20580" spans="1:2" x14ac:dyDescent="0.25">
      <c r="A20580" s="2">
        <v>20575</v>
      </c>
      <c r="B20580" s="3" t="str">
        <f>"01003705"</f>
        <v>01003705</v>
      </c>
    </row>
    <row r="20581" spans="1:2" x14ac:dyDescent="0.25">
      <c r="A20581" s="2">
        <v>20576</v>
      </c>
      <c r="B20581" s="3" t="str">
        <f>"01003712"</f>
        <v>01003712</v>
      </c>
    </row>
    <row r="20582" spans="1:2" x14ac:dyDescent="0.25">
      <c r="A20582" s="2">
        <v>20577</v>
      </c>
      <c r="B20582" s="3" t="str">
        <f>"01003714"</f>
        <v>01003714</v>
      </c>
    </row>
    <row r="20583" spans="1:2" x14ac:dyDescent="0.25">
      <c r="A20583" s="2">
        <v>20578</v>
      </c>
      <c r="B20583" s="3" t="str">
        <f>"01003730"</f>
        <v>01003730</v>
      </c>
    </row>
    <row r="20584" spans="1:2" x14ac:dyDescent="0.25">
      <c r="A20584" s="2">
        <v>20579</v>
      </c>
      <c r="B20584" s="3" t="str">
        <f>"01003746"</f>
        <v>01003746</v>
      </c>
    </row>
    <row r="20585" spans="1:2" x14ac:dyDescent="0.25">
      <c r="A20585" s="2">
        <v>20580</v>
      </c>
      <c r="B20585" s="3" t="str">
        <f>"01003788"</f>
        <v>01003788</v>
      </c>
    </row>
    <row r="20586" spans="1:2" x14ac:dyDescent="0.25">
      <c r="A20586" s="2">
        <v>20581</v>
      </c>
      <c r="B20586" s="3" t="str">
        <f>"01003790"</f>
        <v>01003790</v>
      </c>
    </row>
    <row r="20587" spans="1:2" x14ac:dyDescent="0.25">
      <c r="A20587" s="2">
        <v>20582</v>
      </c>
      <c r="B20587" s="3" t="str">
        <f>"01003798"</f>
        <v>01003798</v>
      </c>
    </row>
    <row r="20588" spans="1:2" x14ac:dyDescent="0.25">
      <c r="A20588" s="2">
        <v>20583</v>
      </c>
      <c r="B20588" s="3" t="str">
        <f>"01003801"</f>
        <v>01003801</v>
      </c>
    </row>
    <row r="20589" spans="1:2" x14ac:dyDescent="0.25">
      <c r="A20589" s="2">
        <v>20584</v>
      </c>
      <c r="B20589" s="3" t="str">
        <f>"01003806"</f>
        <v>01003806</v>
      </c>
    </row>
    <row r="20590" spans="1:2" x14ac:dyDescent="0.25">
      <c r="A20590" s="2">
        <v>20585</v>
      </c>
      <c r="B20590" s="3" t="str">
        <f>"01003839"</f>
        <v>01003839</v>
      </c>
    </row>
    <row r="20591" spans="1:2" x14ac:dyDescent="0.25">
      <c r="A20591" s="2">
        <v>20586</v>
      </c>
      <c r="B20591" s="3" t="str">
        <f>"01003844"</f>
        <v>01003844</v>
      </c>
    </row>
    <row r="20592" spans="1:2" x14ac:dyDescent="0.25">
      <c r="A20592" s="2">
        <v>20587</v>
      </c>
      <c r="B20592" s="3" t="str">
        <f>"01003873"</f>
        <v>01003873</v>
      </c>
    </row>
    <row r="20593" spans="1:2" x14ac:dyDescent="0.25">
      <c r="A20593" s="2">
        <v>20588</v>
      </c>
      <c r="B20593" s="3" t="str">
        <f>"01003905"</f>
        <v>01003905</v>
      </c>
    </row>
    <row r="20594" spans="1:2" x14ac:dyDescent="0.25">
      <c r="A20594" s="2">
        <v>20589</v>
      </c>
      <c r="B20594" s="3" t="str">
        <f>"01003906"</f>
        <v>01003906</v>
      </c>
    </row>
    <row r="20595" spans="1:2" x14ac:dyDescent="0.25">
      <c r="A20595" s="2">
        <v>20590</v>
      </c>
      <c r="B20595" s="3" t="str">
        <f>"01003962"</f>
        <v>01003962</v>
      </c>
    </row>
    <row r="20596" spans="1:2" x14ac:dyDescent="0.25">
      <c r="A20596" s="2">
        <v>20591</v>
      </c>
      <c r="B20596" s="3" t="str">
        <f>"01003981"</f>
        <v>01003981</v>
      </c>
    </row>
    <row r="20597" spans="1:2" x14ac:dyDescent="0.25">
      <c r="A20597" s="2">
        <v>20592</v>
      </c>
      <c r="B20597" s="3" t="str">
        <f>"01004004"</f>
        <v>01004004</v>
      </c>
    </row>
    <row r="20598" spans="1:2" x14ac:dyDescent="0.25">
      <c r="A20598" s="2">
        <v>20593</v>
      </c>
      <c r="B20598" s="3" t="str">
        <f>"01004036"</f>
        <v>01004036</v>
      </c>
    </row>
    <row r="20599" spans="1:2" x14ac:dyDescent="0.25">
      <c r="A20599" s="2">
        <v>20594</v>
      </c>
      <c r="B20599" s="3" t="str">
        <f>"01004057"</f>
        <v>01004057</v>
      </c>
    </row>
    <row r="20600" spans="1:2" x14ac:dyDescent="0.25">
      <c r="A20600" s="2">
        <v>20595</v>
      </c>
      <c r="B20600" s="3" t="str">
        <f>"01004058"</f>
        <v>01004058</v>
      </c>
    </row>
    <row r="20601" spans="1:2" x14ac:dyDescent="0.25">
      <c r="A20601" s="2">
        <v>20596</v>
      </c>
      <c r="B20601" s="3" t="str">
        <f>"01004069"</f>
        <v>01004069</v>
      </c>
    </row>
    <row r="20602" spans="1:2" x14ac:dyDescent="0.25">
      <c r="A20602" s="2">
        <v>20597</v>
      </c>
      <c r="B20602" s="3" t="str">
        <f>"01004168"</f>
        <v>01004168</v>
      </c>
    </row>
    <row r="20603" spans="1:2" x14ac:dyDescent="0.25">
      <c r="A20603" s="2">
        <v>20598</v>
      </c>
      <c r="B20603" s="3" t="str">
        <f>"01004196"</f>
        <v>01004196</v>
      </c>
    </row>
    <row r="20604" spans="1:2" x14ac:dyDescent="0.25">
      <c r="A20604" s="2">
        <v>20599</v>
      </c>
      <c r="B20604" s="3" t="str">
        <f>"01004211"</f>
        <v>01004211</v>
      </c>
    </row>
    <row r="20605" spans="1:2" x14ac:dyDescent="0.25">
      <c r="A20605" s="2">
        <v>20600</v>
      </c>
      <c r="B20605" s="3" t="str">
        <f>"01004257"</f>
        <v>01004257</v>
      </c>
    </row>
    <row r="20606" spans="1:2" x14ac:dyDescent="0.25">
      <c r="A20606" s="2">
        <v>20601</v>
      </c>
      <c r="B20606" s="3" t="str">
        <f>"01004275"</f>
        <v>01004275</v>
      </c>
    </row>
    <row r="20607" spans="1:2" x14ac:dyDescent="0.25">
      <c r="A20607" s="2">
        <v>20602</v>
      </c>
      <c r="B20607" s="3" t="str">
        <f>"01004289"</f>
        <v>01004289</v>
      </c>
    </row>
    <row r="20608" spans="1:2" x14ac:dyDescent="0.25">
      <c r="A20608" s="2">
        <v>20603</v>
      </c>
      <c r="B20608" s="3" t="str">
        <f>"01004293"</f>
        <v>01004293</v>
      </c>
    </row>
    <row r="20609" spans="1:2" x14ac:dyDescent="0.25">
      <c r="A20609" s="2">
        <v>20604</v>
      </c>
      <c r="B20609" s="3" t="str">
        <f>"01004298"</f>
        <v>01004298</v>
      </c>
    </row>
    <row r="20610" spans="1:2" x14ac:dyDescent="0.25">
      <c r="A20610" s="2">
        <v>20605</v>
      </c>
      <c r="B20610" s="3" t="str">
        <f>"01004370"</f>
        <v>01004370</v>
      </c>
    </row>
    <row r="20611" spans="1:2" x14ac:dyDescent="0.25">
      <c r="A20611" s="2">
        <v>20606</v>
      </c>
      <c r="B20611" s="3" t="str">
        <f>"01004385"</f>
        <v>01004385</v>
      </c>
    </row>
    <row r="20612" spans="1:2" x14ac:dyDescent="0.25">
      <c r="A20612" s="2">
        <v>20607</v>
      </c>
      <c r="B20612" s="3" t="str">
        <f>"01004474"</f>
        <v>01004474</v>
      </c>
    </row>
    <row r="20613" spans="1:2" x14ac:dyDescent="0.25">
      <c r="A20613" s="2">
        <v>20608</v>
      </c>
      <c r="B20613" s="3" t="str">
        <f>"01004485"</f>
        <v>01004485</v>
      </c>
    </row>
    <row r="20614" spans="1:2" x14ac:dyDescent="0.25">
      <c r="A20614" s="2">
        <v>20609</v>
      </c>
      <c r="B20614" s="3" t="str">
        <f>"01004493"</f>
        <v>01004493</v>
      </c>
    </row>
    <row r="20615" spans="1:2" x14ac:dyDescent="0.25">
      <c r="A20615" s="2">
        <v>20610</v>
      </c>
      <c r="B20615" s="3" t="str">
        <f>"01004500"</f>
        <v>01004500</v>
      </c>
    </row>
    <row r="20616" spans="1:2" x14ac:dyDescent="0.25">
      <c r="A20616" s="2">
        <v>20611</v>
      </c>
      <c r="B20616" s="3" t="str">
        <f>"01004512"</f>
        <v>01004512</v>
      </c>
    </row>
    <row r="20617" spans="1:2" x14ac:dyDescent="0.25">
      <c r="A20617" s="2">
        <v>20612</v>
      </c>
      <c r="B20617" s="3" t="str">
        <f>"01004520"</f>
        <v>01004520</v>
      </c>
    </row>
    <row r="20618" spans="1:2" x14ac:dyDescent="0.25">
      <c r="A20618" s="2">
        <v>20613</v>
      </c>
      <c r="B20618" s="3" t="str">
        <f>"01004610"</f>
        <v>01004610</v>
      </c>
    </row>
    <row r="20619" spans="1:2" x14ac:dyDescent="0.25">
      <c r="A20619" s="2">
        <v>20614</v>
      </c>
      <c r="B20619" s="3" t="str">
        <f>"01004641"</f>
        <v>01004641</v>
      </c>
    </row>
    <row r="20620" spans="1:2" x14ac:dyDescent="0.25">
      <c r="A20620" s="2">
        <v>20615</v>
      </c>
      <c r="B20620" s="3" t="str">
        <f>"01004662"</f>
        <v>01004662</v>
      </c>
    </row>
    <row r="20621" spans="1:2" x14ac:dyDescent="0.25">
      <c r="A20621" s="2">
        <v>20616</v>
      </c>
      <c r="B20621" s="3" t="str">
        <f>"01004665"</f>
        <v>01004665</v>
      </c>
    </row>
    <row r="20622" spans="1:2" x14ac:dyDescent="0.25">
      <c r="A20622" s="2">
        <v>20617</v>
      </c>
      <c r="B20622" s="3" t="str">
        <f>"01004714"</f>
        <v>01004714</v>
      </c>
    </row>
    <row r="20623" spans="1:2" x14ac:dyDescent="0.25">
      <c r="A20623" s="2">
        <v>20618</v>
      </c>
      <c r="B20623" s="3" t="str">
        <f>"01004721"</f>
        <v>01004721</v>
      </c>
    </row>
    <row r="20624" spans="1:2" x14ac:dyDescent="0.25">
      <c r="A20624" s="2">
        <v>20619</v>
      </c>
      <c r="B20624" s="3" t="str">
        <f>"01004728"</f>
        <v>01004728</v>
      </c>
    </row>
    <row r="20625" spans="1:2" x14ac:dyDescent="0.25">
      <c r="A20625" s="2">
        <v>20620</v>
      </c>
      <c r="B20625" s="3" t="str">
        <f>"01004748"</f>
        <v>01004748</v>
      </c>
    </row>
    <row r="20626" spans="1:2" x14ac:dyDescent="0.25">
      <c r="A20626" s="2">
        <v>20621</v>
      </c>
      <c r="B20626" s="3" t="str">
        <f>"01004764"</f>
        <v>01004764</v>
      </c>
    </row>
    <row r="20627" spans="1:2" x14ac:dyDescent="0.25">
      <c r="A20627" s="2">
        <v>20622</v>
      </c>
      <c r="B20627" s="3" t="str">
        <f>"01004792"</f>
        <v>01004792</v>
      </c>
    </row>
    <row r="20628" spans="1:2" x14ac:dyDescent="0.25">
      <c r="A20628" s="2">
        <v>20623</v>
      </c>
      <c r="B20628" s="3" t="str">
        <f>"01004816"</f>
        <v>01004816</v>
      </c>
    </row>
    <row r="20629" spans="1:2" x14ac:dyDescent="0.25">
      <c r="A20629" s="2">
        <v>20624</v>
      </c>
      <c r="B20629" s="3" t="str">
        <f>"01004818"</f>
        <v>01004818</v>
      </c>
    </row>
    <row r="20630" spans="1:2" x14ac:dyDescent="0.25">
      <c r="A20630" s="2">
        <v>20625</v>
      </c>
      <c r="B20630" s="3" t="str">
        <f>"01004845"</f>
        <v>01004845</v>
      </c>
    </row>
    <row r="20631" spans="1:2" x14ac:dyDescent="0.25">
      <c r="A20631" s="2">
        <v>20626</v>
      </c>
      <c r="B20631" s="3" t="str">
        <f>"01004860"</f>
        <v>01004860</v>
      </c>
    </row>
    <row r="20632" spans="1:2" x14ac:dyDescent="0.25">
      <c r="A20632" s="2">
        <v>20627</v>
      </c>
      <c r="B20632" s="3" t="str">
        <f>"01004869"</f>
        <v>01004869</v>
      </c>
    </row>
    <row r="20633" spans="1:2" x14ac:dyDescent="0.25">
      <c r="A20633" s="2">
        <v>20628</v>
      </c>
      <c r="B20633" s="3" t="str">
        <f>"01004877"</f>
        <v>01004877</v>
      </c>
    </row>
    <row r="20634" spans="1:2" x14ac:dyDescent="0.25">
      <c r="A20634" s="2">
        <v>20629</v>
      </c>
      <c r="B20634" s="3" t="str">
        <f>"01004905"</f>
        <v>01004905</v>
      </c>
    </row>
    <row r="20635" spans="1:2" x14ac:dyDescent="0.25">
      <c r="A20635" s="2">
        <v>20630</v>
      </c>
      <c r="B20635" s="3" t="str">
        <f>"01004959"</f>
        <v>01004959</v>
      </c>
    </row>
    <row r="20636" spans="1:2" x14ac:dyDescent="0.25">
      <c r="A20636" s="2">
        <v>20631</v>
      </c>
      <c r="B20636" s="3" t="str">
        <f>"01004980"</f>
        <v>01004980</v>
      </c>
    </row>
    <row r="20637" spans="1:2" x14ac:dyDescent="0.25">
      <c r="A20637" s="2">
        <v>20632</v>
      </c>
      <c r="B20637" s="3" t="str">
        <f>"01005031"</f>
        <v>01005031</v>
      </c>
    </row>
    <row r="20638" spans="1:2" x14ac:dyDescent="0.25">
      <c r="A20638" s="2">
        <v>20633</v>
      </c>
      <c r="B20638" s="3" t="str">
        <f>"01005038"</f>
        <v>01005038</v>
      </c>
    </row>
    <row r="20639" spans="1:2" x14ac:dyDescent="0.25">
      <c r="A20639" s="2">
        <v>20634</v>
      </c>
      <c r="B20639" s="3" t="str">
        <f>"01005046"</f>
        <v>01005046</v>
      </c>
    </row>
    <row r="20640" spans="1:2" x14ac:dyDescent="0.25">
      <c r="A20640" s="2">
        <v>20635</v>
      </c>
      <c r="B20640" s="3" t="str">
        <f>"01005051"</f>
        <v>01005051</v>
      </c>
    </row>
    <row r="20641" spans="1:2" x14ac:dyDescent="0.25">
      <c r="A20641" s="2">
        <v>20636</v>
      </c>
      <c r="B20641" s="3" t="str">
        <f>"01005052"</f>
        <v>01005052</v>
      </c>
    </row>
    <row r="20642" spans="1:2" x14ac:dyDescent="0.25">
      <c r="A20642" s="2">
        <v>20637</v>
      </c>
      <c r="B20642" s="3" t="str">
        <f>"01005137"</f>
        <v>01005137</v>
      </c>
    </row>
    <row r="20643" spans="1:2" x14ac:dyDescent="0.25">
      <c r="A20643" s="2">
        <v>20638</v>
      </c>
      <c r="B20643" s="3" t="str">
        <f>"01005151"</f>
        <v>01005151</v>
      </c>
    </row>
    <row r="20644" spans="1:2" x14ac:dyDescent="0.25">
      <c r="A20644" s="2">
        <v>20639</v>
      </c>
      <c r="B20644" s="3" t="str">
        <f>"01005161"</f>
        <v>01005161</v>
      </c>
    </row>
    <row r="20645" spans="1:2" x14ac:dyDescent="0.25">
      <c r="A20645" s="2">
        <v>20640</v>
      </c>
      <c r="B20645" s="3" t="str">
        <f>"01005169"</f>
        <v>01005169</v>
      </c>
    </row>
    <row r="20646" spans="1:2" x14ac:dyDescent="0.25">
      <c r="A20646" s="2">
        <v>20641</v>
      </c>
      <c r="B20646" s="3" t="str">
        <f>"01005174"</f>
        <v>01005174</v>
      </c>
    </row>
    <row r="20647" spans="1:2" x14ac:dyDescent="0.25">
      <c r="A20647" s="2">
        <v>20642</v>
      </c>
      <c r="B20647" s="3" t="str">
        <f>"01005196"</f>
        <v>01005196</v>
      </c>
    </row>
    <row r="20648" spans="1:2" x14ac:dyDescent="0.25">
      <c r="A20648" s="2">
        <v>20643</v>
      </c>
      <c r="B20648" s="3" t="str">
        <f>"01005227"</f>
        <v>01005227</v>
      </c>
    </row>
    <row r="20649" spans="1:2" x14ac:dyDescent="0.25">
      <c r="A20649" s="2">
        <v>20644</v>
      </c>
      <c r="B20649" s="3" t="str">
        <f>"01005259"</f>
        <v>01005259</v>
      </c>
    </row>
    <row r="20650" spans="1:2" x14ac:dyDescent="0.25">
      <c r="A20650" s="2">
        <v>20645</v>
      </c>
      <c r="B20650" s="3" t="str">
        <f>"01005279"</f>
        <v>01005279</v>
      </c>
    </row>
    <row r="20651" spans="1:2" x14ac:dyDescent="0.25">
      <c r="A20651" s="2">
        <v>20646</v>
      </c>
      <c r="B20651" s="3" t="str">
        <f>"01005286"</f>
        <v>01005286</v>
      </c>
    </row>
    <row r="20652" spans="1:2" x14ac:dyDescent="0.25">
      <c r="A20652" s="2">
        <v>20647</v>
      </c>
      <c r="B20652" s="3" t="str">
        <f>"01005335"</f>
        <v>01005335</v>
      </c>
    </row>
    <row r="20653" spans="1:2" x14ac:dyDescent="0.25">
      <c r="A20653" s="2">
        <v>20648</v>
      </c>
      <c r="B20653" s="3" t="str">
        <f>"01005343"</f>
        <v>01005343</v>
      </c>
    </row>
    <row r="20654" spans="1:2" x14ac:dyDescent="0.25">
      <c r="A20654" s="2">
        <v>20649</v>
      </c>
      <c r="B20654" s="3" t="str">
        <f>"01005348"</f>
        <v>01005348</v>
      </c>
    </row>
    <row r="20655" spans="1:2" x14ac:dyDescent="0.25">
      <c r="A20655" s="2">
        <v>20650</v>
      </c>
      <c r="B20655" s="3" t="str">
        <f>"01005372"</f>
        <v>01005372</v>
      </c>
    </row>
    <row r="20656" spans="1:2" x14ac:dyDescent="0.25">
      <c r="A20656" s="2">
        <v>20651</v>
      </c>
      <c r="B20656" s="3" t="str">
        <f>"01005407"</f>
        <v>01005407</v>
      </c>
    </row>
    <row r="20657" spans="1:2" x14ac:dyDescent="0.25">
      <c r="A20657" s="2">
        <v>20652</v>
      </c>
      <c r="B20657" s="3" t="str">
        <f>"01005414"</f>
        <v>01005414</v>
      </c>
    </row>
    <row r="20658" spans="1:2" x14ac:dyDescent="0.25">
      <c r="A20658" s="2">
        <v>20653</v>
      </c>
      <c r="B20658" s="3" t="str">
        <f>"01005477"</f>
        <v>01005477</v>
      </c>
    </row>
    <row r="20659" spans="1:2" x14ac:dyDescent="0.25">
      <c r="A20659" s="2">
        <v>20654</v>
      </c>
      <c r="B20659" s="3" t="str">
        <f>"01005494"</f>
        <v>01005494</v>
      </c>
    </row>
    <row r="20660" spans="1:2" x14ac:dyDescent="0.25">
      <c r="A20660" s="2">
        <v>20655</v>
      </c>
      <c r="B20660" s="3" t="str">
        <f>"01005503"</f>
        <v>01005503</v>
      </c>
    </row>
    <row r="20661" spans="1:2" x14ac:dyDescent="0.25">
      <c r="A20661" s="2">
        <v>20656</v>
      </c>
      <c r="B20661" s="3" t="str">
        <f>"01005517"</f>
        <v>01005517</v>
      </c>
    </row>
    <row r="20662" spans="1:2" x14ac:dyDescent="0.25">
      <c r="A20662" s="2">
        <v>20657</v>
      </c>
      <c r="B20662" s="3" t="str">
        <f>"01005581"</f>
        <v>01005581</v>
      </c>
    </row>
    <row r="20663" spans="1:2" x14ac:dyDescent="0.25">
      <c r="A20663" s="2">
        <v>20658</v>
      </c>
      <c r="B20663" s="3" t="str">
        <f>"01005596"</f>
        <v>01005596</v>
      </c>
    </row>
    <row r="20664" spans="1:2" x14ac:dyDescent="0.25">
      <c r="A20664" s="2">
        <v>20659</v>
      </c>
      <c r="B20664" s="3" t="str">
        <f>"01005612"</f>
        <v>01005612</v>
      </c>
    </row>
    <row r="20665" spans="1:2" x14ac:dyDescent="0.25">
      <c r="A20665" s="2">
        <v>20660</v>
      </c>
      <c r="B20665" s="3" t="str">
        <f>"01005629"</f>
        <v>01005629</v>
      </c>
    </row>
    <row r="20666" spans="1:2" x14ac:dyDescent="0.25">
      <c r="A20666" s="2">
        <v>20661</v>
      </c>
      <c r="B20666" s="3" t="str">
        <f>"01005634"</f>
        <v>01005634</v>
      </c>
    </row>
    <row r="20667" spans="1:2" x14ac:dyDescent="0.25">
      <c r="A20667" s="2">
        <v>20662</v>
      </c>
      <c r="B20667" s="3" t="str">
        <f>"01005671"</f>
        <v>01005671</v>
      </c>
    </row>
    <row r="20668" spans="1:2" x14ac:dyDescent="0.25">
      <c r="A20668" s="2">
        <v>20663</v>
      </c>
      <c r="B20668" s="3" t="str">
        <f>"01005695"</f>
        <v>01005695</v>
      </c>
    </row>
    <row r="20669" spans="1:2" x14ac:dyDescent="0.25">
      <c r="A20669" s="2">
        <v>20664</v>
      </c>
      <c r="B20669" s="3" t="str">
        <f>"01005707"</f>
        <v>01005707</v>
      </c>
    </row>
    <row r="20670" spans="1:2" x14ac:dyDescent="0.25">
      <c r="A20670" s="2">
        <v>20665</v>
      </c>
      <c r="B20670" s="3" t="str">
        <f>"01005710"</f>
        <v>01005710</v>
      </c>
    </row>
    <row r="20671" spans="1:2" x14ac:dyDescent="0.25">
      <c r="A20671" s="2">
        <v>20666</v>
      </c>
      <c r="B20671" s="3" t="str">
        <f>"01005772"</f>
        <v>01005772</v>
      </c>
    </row>
    <row r="20672" spans="1:2" x14ac:dyDescent="0.25">
      <c r="A20672" s="2">
        <v>20667</v>
      </c>
      <c r="B20672" s="3" t="str">
        <f>"01005780"</f>
        <v>01005780</v>
      </c>
    </row>
    <row r="20673" spans="1:2" x14ac:dyDescent="0.25">
      <c r="A20673" s="2">
        <v>20668</v>
      </c>
      <c r="B20673" s="3" t="str">
        <f>"01005835"</f>
        <v>01005835</v>
      </c>
    </row>
    <row r="20674" spans="1:2" x14ac:dyDescent="0.25">
      <c r="A20674" s="2">
        <v>20669</v>
      </c>
      <c r="B20674" s="3" t="str">
        <f>"01005840"</f>
        <v>01005840</v>
      </c>
    </row>
    <row r="20675" spans="1:2" x14ac:dyDescent="0.25">
      <c r="A20675" s="2">
        <v>20670</v>
      </c>
      <c r="B20675" s="3" t="str">
        <f>"01005841"</f>
        <v>01005841</v>
      </c>
    </row>
    <row r="20676" spans="1:2" x14ac:dyDescent="0.25">
      <c r="A20676" s="2">
        <v>20671</v>
      </c>
      <c r="B20676" s="3" t="str">
        <f>"01005860"</f>
        <v>01005860</v>
      </c>
    </row>
    <row r="20677" spans="1:2" x14ac:dyDescent="0.25">
      <c r="A20677" s="2">
        <v>20672</v>
      </c>
      <c r="B20677" s="3" t="str">
        <f>"01005863"</f>
        <v>01005863</v>
      </c>
    </row>
    <row r="20678" spans="1:2" x14ac:dyDescent="0.25">
      <c r="A20678" s="2">
        <v>20673</v>
      </c>
      <c r="B20678" s="3" t="str">
        <f>"01005883"</f>
        <v>01005883</v>
      </c>
    </row>
    <row r="20679" spans="1:2" x14ac:dyDescent="0.25">
      <c r="A20679" s="2">
        <v>20674</v>
      </c>
      <c r="B20679" s="3" t="str">
        <f>"01005902"</f>
        <v>01005902</v>
      </c>
    </row>
    <row r="20680" spans="1:2" x14ac:dyDescent="0.25">
      <c r="A20680" s="2">
        <v>20675</v>
      </c>
      <c r="B20680" s="3" t="str">
        <f>"01005918"</f>
        <v>01005918</v>
      </c>
    </row>
    <row r="20681" spans="1:2" x14ac:dyDescent="0.25">
      <c r="A20681" s="2">
        <v>20676</v>
      </c>
      <c r="B20681" s="3" t="str">
        <f>"01005930"</f>
        <v>01005930</v>
      </c>
    </row>
    <row r="20682" spans="1:2" x14ac:dyDescent="0.25">
      <c r="A20682" s="2">
        <v>20677</v>
      </c>
      <c r="B20682" s="3" t="str">
        <f>"01005932"</f>
        <v>01005932</v>
      </c>
    </row>
    <row r="20683" spans="1:2" x14ac:dyDescent="0.25">
      <c r="A20683" s="2">
        <v>20678</v>
      </c>
      <c r="B20683" s="3" t="str">
        <f>"01005934"</f>
        <v>01005934</v>
      </c>
    </row>
    <row r="20684" spans="1:2" x14ac:dyDescent="0.25">
      <c r="A20684" s="2">
        <v>20679</v>
      </c>
      <c r="B20684" s="3" t="str">
        <f>"01005935"</f>
        <v>01005935</v>
      </c>
    </row>
    <row r="20685" spans="1:2" x14ac:dyDescent="0.25">
      <c r="A20685" s="2">
        <v>20680</v>
      </c>
      <c r="B20685" s="3" t="str">
        <f>"01005936"</f>
        <v>01005936</v>
      </c>
    </row>
    <row r="20686" spans="1:2" x14ac:dyDescent="0.25">
      <c r="A20686" s="2">
        <v>20681</v>
      </c>
      <c r="B20686" s="3" t="str">
        <f>"01005968"</f>
        <v>01005968</v>
      </c>
    </row>
    <row r="20687" spans="1:2" x14ac:dyDescent="0.25">
      <c r="A20687" s="2">
        <v>20682</v>
      </c>
      <c r="B20687" s="3" t="str">
        <f>"01006013"</f>
        <v>01006013</v>
      </c>
    </row>
    <row r="20688" spans="1:2" x14ac:dyDescent="0.25">
      <c r="A20688" s="2">
        <v>20683</v>
      </c>
      <c r="B20688" s="3" t="str">
        <f>"01006087"</f>
        <v>01006087</v>
      </c>
    </row>
    <row r="20689" spans="1:2" x14ac:dyDescent="0.25">
      <c r="A20689" s="2">
        <v>20684</v>
      </c>
      <c r="B20689" s="3" t="str">
        <f>"01006165"</f>
        <v>01006165</v>
      </c>
    </row>
    <row r="20690" spans="1:2" x14ac:dyDescent="0.25">
      <c r="A20690" s="2">
        <v>20685</v>
      </c>
      <c r="B20690" s="3" t="str">
        <f>"01006169"</f>
        <v>01006169</v>
      </c>
    </row>
    <row r="20691" spans="1:2" x14ac:dyDescent="0.25">
      <c r="A20691" s="2">
        <v>20686</v>
      </c>
      <c r="B20691" s="3" t="str">
        <f>"01006186"</f>
        <v>01006186</v>
      </c>
    </row>
    <row r="20692" spans="1:2" x14ac:dyDescent="0.25">
      <c r="A20692" s="2">
        <v>20687</v>
      </c>
      <c r="B20692" s="3" t="str">
        <f>"01006218"</f>
        <v>01006218</v>
      </c>
    </row>
    <row r="20693" spans="1:2" x14ac:dyDescent="0.25">
      <c r="A20693" s="2">
        <v>20688</v>
      </c>
      <c r="B20693" s="3" t="str">
        <f>"01006287"</f>
        <v>01006287</v>
      </c>
    </row>
    <row r="20694" spans="1:2" x14ac:dyDescent="0.25">
      <c r="A20694" s="2">
        <v>20689</v>
      </c>
      <c r="B20694" s="3" t="str">
        <f>"01006296"</f>
        <v>01006296</v>
      </c>
    </row>
    <row r="20695" spans="1:2" x14ac:dyDescent="0.25">
      <c r="A20695" s="2">
        <v>20690</v>
      </c>
      <c r="B20695" s="3" t="str">
        <f>"01006305"</f>
        <v>01006305</v>
      </c>
    </row>
    <row r="20696" spans="1:2" x14ac:dyDescent="0.25">
      <c r="A20696" s="2">
        <v>20691</v>
      </c>
      <c r="B20696" s="3" t="str">
        <f>"01006322"</f>
        <v>01006322</v>
      </c>
    </row>
    <row r="20697" spans="1:2" x14ac:dyDescent="0.25">
      <c r="A20697" s="2">
        <v>20692</v>
      </c>
      <c r="B20697" s="3" t="str">
        <f>"01006327"</f>
        <v>01006327</v>
      </c>
    </row>
    <row r="20698" spans="1:2" x14ac:dyDescent="0.25">
      <c r="A20698" s="2">
        <v>20693</v>
      </c>
      <c r="B20698" s="3" t="str">
        <f>"01006330"</f>
        <v>01006330</v>
      </c>
    </row>
    <row r="20699" spans="1:2" x14ac:dyDescent="0.25">
      <c r="A20699" s="2">
        <v>20694</v>
      </c>
      <c r="B20699" s="3" t="str">
        <f>"01006331"</f>
        <v>01006331</v>
      </c>
    </row>
    <row r="20700" spans="1:2" x14ac:dyDescent="0.25">
      <c r="A20700" s="2">
        <v>20695</v>
      </c>
      <c r="B20700" s="3" t="str">
        <f>"01006359"</f>
        <v>01006359</v>
      </c>
    </row>
    <row r="20701" spans="1:2" x14ac:dyDescent="0.25">
      <c r="A20701" s="2">
        <v>20696</v>
      </c>
      <c r="B20701" s="3" t="str">
        <f>"01006369"</f>
        <v>01006369</v>
      </c>
    </row>
    <row r="20702" spans="1:2" x14ac:dyDescent="0.25">
      <c r="A20702" s="2">
        <v>20697</v>
      </c>
      <c r="B20702" s="3" t="str">
        <f>"01006374"</f>
        <v>01006374</v>
      </c>
    </row>
    <row r="20703" spans="1:2" x14ac:dyDescent="0.25">
      <c r="A20703" s="2">
        <v>20698</v>
      </c>
      <c r="B20703" s="3" t="str">
        <f>"01006416"</f>
        <v>01006416</v>
      </c>
    </row>
    <row r="20704" spans="1:2" x14ac:dyDescent="0.25">
      <c r="A20704" s="2">
        <v>20699</v>
      </c>
      <c r="B20704" s="3" t="str">
        <f>"01006452"</f>
        <v>01006452</v>
      </c>
    </row>
    <row r="20705" spans="1:2" x14ac:dyDescent="0.25">
      <c r="A20705" s="2">
        <v>20700</v>
      </c>
      <c r="B20705" s="3" t="str">
        <f>"01006454"</f>
        <v>01006454</v>
      </c>
    </row>
    <row r="20706" spans="1:2" x14ac:dyDescent="0.25">
      <c r="A20706" s="2">
        <v>20701</v>
      </c>
      <c r="B20706" s="3" t="str">
        <f>"01006469"</f>
        <v>01006469</v>
      </c>
    </row>
    <row r="20707" spans="1:2" x14ac:dyDescent="0.25">
      <c r="A20707" s="2">
        <v>20702</v>
      </c>
      <c r="B20707" s="3" t="str">
        <f>"01006501"</f>
        <v>01006501</v>
      </c>
    </row>
    <row r="20708" spans="1:2" x14ac:dyDescent="0.25">
      <c r="A20708" s="2">
        <v>20703</v>
      </c>
      <c r="B20708" s="3" t="str">
        <f>"01006618"</f>
        <v>01006618</v>
      </c>
    </row>
    <row r="20709" spans="1:2" x14ac:dyDescent="0.25">
      <c r="A20709" s="2">
        <v>20704</v>
      </c>
      <c r="B20709" s="3" t="str">
        <f>"01006635"</f>
        <v>01006635</v>
      </c>
    </row>
    <row r="20710" spans="1:2" x14ac:dyDescent="0.25">
      <c r="A20710" s="2">
        <v>20705</v>
      </c>
      <c r="B20710" s="3" t="str">
        <f>"01006647"</f>
        <v>01006647</v>
      </c>
    </row>
    <row r="20711" spans="1:2" x14ac:dyDescent="0.25">
      <c r="A20711" s="2">
        <v>20706</v>
      </c>
      <c r="B20711" s="3" t="str">
        <f>"01006676"</f>
        <v>01006676</v>
      </c>
    </row>
    <row r="20712" spans="1:2" x14ac:dyDescent="0.25">
      <c r="A20712" s="2">
        <v>20707</v>
      </c>
      <c r="B20712" s="3" t="str">
        <f>"01006698"</f>
        <v>01006698</v>
      </c>
    </row>
    <row r="20713" spans="1:2" x14ac:dyDescent="0.25">
      <c r="A20713" s="2">
        <v>20708</v>
      </c>
      <c r="B20713" s="3" t="str">
        <f>"01006712"</f>
        <v>01006712</v>
      </c>
    </row>
    <row r="20714" spans="1:2" x14ac:dyDescent="0.25">
      <c r="A20714" s="2">
        <v>20709</v>
      </c>
      <c r="B20714" s="3" t="str">
        <f>"01006728"</f>
        <v>01006728</v>
      </c>
    </row>
    <row r="20715" spans="1:2" x14ac:dyDescent="0.25">
      <c r="A20715" s="2">
        <v>20710</v>
      </c>
      <c r="B20715" s="3" t="str">
        <f>"01006737"</f>
        <v>01006737</v>
      </c>
    </row>
    <row r="20716" spans="1:2" x14ac:dyDescent="0.25">
      <c r="A20716" s="2">
        <v>20711</v>
      </c>
      <c r="B20716" s="3" t="str">
        <f>"01006746"</f>
        <v>01006746</v>
      </c>
    </row>
    <row r="20717" spans="1:2" x14ac:dyDescent="0.25">
      <c r="A20717" s="2">
        <v>20712</v>
      </c>
      <c r="B20717" s="3" t="str">
        <f>"01006900"</f>
        <v>01006900</v>
      </c>
    </row>
    <row r="20718" spans="1:2" x14ac:dyDescent="0.25">
      <c r="A20718" s="2">
        <v>20713</v>
      </c>
      <c r="B20718" s="3" t="str">
        <f>"01006911"</f>
        <v>01006911</v>
      </c>
    </row>
    <row r="20719" spans="1:2" x14ac:dyDescent="0.25">
      <c r="A20719" s="2">
        <v>20714</v>
      </c>
      <c r="B20719" s="3" t="str">
        <f>"01006934"</f>
        <v>01006934</v>
      </c>
    </row>
    <row r="20720" spans="1:2" x14ac:dyDescent="0.25">
      <c r="A20720" s="2">
        <v>20715</v>
      </c>
      <c r="B20720" s="3" t="str">
        <f>"01006942"</f>
        <v>01006942</v>
      </c>
    </row>
    <row r="20721" spans="1:2" x14ac:dyDescent="0.25">
      <c r="A20721" s="2">
        <v>20716</v>
      </c>
      <c r="B20721" s="3" t="str">
        <f>"01006975"</f>
        <v>01006975</v>
      </c>
    </row>
    <row r="20722" spans="1:2" x14ac:dyDescent="0.25">
      <c r="A20722" s="2">
        <v>20717</v>
      </c>
      <c r="B20722" s="3" t="str">
        <f>"01007002"</f>
        <v>01007002</v>
      </c>
    </row>
    <row r="20723" spans="1:2" x14ac:dyDescent="0.25">
      <c r="A20723" s="2">
        <v>20718</v>
      </c>
      <c r="B20723" s="3" t="str">
        <f>"01007012"</f>
        <v>01007012</v>
      </c>
    </row>
    <row r="20724" spans="1:2" x14ac:dyDescent="0.25">
      <c r="A20724" s="2">
        <v>20719</v>
      </c>
      <c r="B20724" s="3" t="str">
        <f>"01007015"</f>
        <v>01007015</v>
      </c>
    </row>
    <row r="20725" spans="1:2" x14ac:dyDescent="0.25">
      <c r="A20725" s="2">
        <v>20720</v>
      </c>
      <c r="B20725" s="3" t="str">
        <f>"01007024"</f>
        <v>01007024</v>
      </c>
    </row>
    <row r="20726" spans="1:2" x14ac:dyDescent="0.25">
      <c r="A20726" s="2">
        <v>20721</v>
      </c>
      <c r="B20726" s="3" t="str">
        <f>"01007049"</f>
        <v>01007049</v>
      </c>
    </row>
    <row r="20727" spans="1:2" x14ac:dyDescent="0.25">
      <c r="A20727" s="2">
        <v>20722</v>
      </c>
      <c r="B20727" s="3" t="str">
        <f>"01007051"</f>
        <v>01007051</v>
      </c>
    </row>
    <row r="20728" spans="1:2" x14ac:dyDescent="0.25">
      <c r="A20728" s="2">
        <v>20723</v>
      </c>
      <c r="B20728" s="3" t="str">
        <f>"01007058"</f>
        <v>01007058</v>
      </c>
    </row>
    <row r="20729" spans="1:2" x14ac:dyDescent="0.25">
      <c r="A20729" s="2">
        <v>20724</v>
      </c>
      <c r="B20729" s="3" t="str">
        <f>"01007059"</f>
        <v>01007059</v>
      </c>
    </row>
    <row r="20730" spans="1:2" x14ac:dyDescent="0.25">
      <c r="A20730" s="2">
        <v>20725</v>
      </c>
      <c r="B20730" s="3" t="str">
        <f>"01007082"</f>
        <v>01007082</v>
      </c>
    </row>
    <row r="20731" spans="1:2" x14ac:dyDescent="0.25">
      <c r="A20731" s="2">
        <v>20726</v>
      </c>
      <c r="B20731" s="3" t="str">
        <f>"01007088"</f>
        <v>01007088</v>
      </c>
    </row>
    <row r="20732" spans="1:2" x14ac:dyDescent="0.25">
      <c r="A20732" s="2">
        <v>20727</v>
      </c>
      <c r="B20732" s="3" t="str">
        <f>"01007098"</f>
        <v>01007098</v>
      </c>
    </row>
    <row r="20733" spans="1:2" x14ac:dyDescent="0.25">
      <c r="A20733" s="2">
        <v>20728</v>
      </c>
      <c r="B20733" s="3" t="str">
        <f>"01007106"</f>
        <v>01007106</v>
      </c>
    </row>
    <row r="20734" spans="1:2" x14ac:dyDescent="0.25">
      <c r="A20734" s="2">
        <v>20729</v>
      </c>
      <c r="B20734" s="3" t="str">
        <f>"01007110"</f>
        <v>01007110</v>
      </c>
    </row>
    <row r="20735" spans="1:2" x14ac:dyDescent="0.25">
      <c r="A20735" s="2">
        <v>20730</v>
      </c>
      <c r="B20735" s="3" t="str">
        <f>"01007117"</f>
        <v>01007117</v>
      </c>
    </row>
    <row r="20736" spans="1:2" x14ac:dyDescent="0.25">
      <c r="A20736" s="2">
        <v>20731</v>
      </c>
      <c r="B20736" s="3" t="str">
        <f>"01007141"</f>
        <v>01007141</v>
      </c>
    </row>
    <row r="20737" spans="1:2" x14ac:dyDescent="0.25">
      <c r="A20737" s="2">
        <v>20732</v>
      </c>
      <c r="B20737" s="3" t="str">
        <f>"01007146"</f>
        <v>01007146</v>
      </c>
    </row>
    <row r="20738" spans="1:2" x14ac:dyDescent="0.25">
      <c r="A20738" s="2">
        <v>20733</v>
      </c>
      <c r="B20738" s="3" t="str">
        <f>"01007186"</f>
        <v>01007186</v>
      </c>
    </row>
    <row r="20739" spans="1:2" x14ac:dyDescent="0.25">
      <c r="A20739" s="2">
        <v>20734</v>
      </c>
      <c r="B20739" s="3" t="str">
        <f>"01007194"</f>
        <v>01007194</v>
      </c>
    </row>
    <row r="20740" spans="1:2" x14ac:dyDescent="0.25">
      <c r="A20740" s="2">
        <v>20735</v>
      </c>
      <c r="B20740" s="3" t="str">
        <f>"01007205"</f>
        <v>01007205</v>
      </c>
    </row>
    <row r="20741" spans="1:2" x14ac:dyDescent="0.25">
      <c r="A20741" s="2">
        <v>20736</v>
      </c>
      <c r="B20741" s="3" t="str">
        <f>"01007311"</f>
        <v>01007311</v>
      </c>
    </row>
    <row r="20742" spans="1:2" x14ac:dyDescent="0.25">
      <c r="A20742" s="2">
        <v>20737</v>
      </c>
      <c r="B20742" s="3" t="str">
        <f>"01007339"</f>
        <v>01007339</v>
      </c>
    </row>
    <row r="20743" spans="1:2" x14ac:dyDescent="0.25">
      <c r="A20743" s="2">
        <v>20738</v>
      </c>
      <c r="B20743" s="3" t="str">
        <f>"01007341"</f>
        <v>01007341</v>
      </c>
    </row>
    <row r="20744" spans="1:2" x14ac:dyDescent="0.25">
      <c r="A20744" s="2">
        <v>20739</v>
      </c>
      <c r="B20744" s="3" t="str">
        <f>"01007345"</f>
        <v>01007345</v>
      </c>
    </row>
    <row r="20745" spans="1:2" x14ac:dyDescent="0.25">
      <c r="A20745" s="2">
        <v>20740</v>
      </c>
      <c r="B20745" s="3" t="str">
        <f>"01007356"</f>
        <v>01007356</v>
      </c>
    </row>
    <row r="20746" spans="1:2" x14ac:dyDescent="0.25">
      <c r="A20746" s="2">
        <v>20741</v>
      </c>
      <c r="B20746" s="3" t="str">
        <f>"01007361"</f>
        <v>01007361</v>
      </c>
    </row>
    <row r="20747" spans="1:2" x14ac:dyDescent="0.25">
      <c r="A20747" s="2">
        <v>20742</v>
      </c>
      <c r="B20747" s="3" t="str">
        <f>"01007415"</f>
        <v>01007415</v>
      </c>
    </row>
    <row r="20748" spans="1:2" x14ac:dyDescent="0.25">
      <c r="A20748" s="2">
        <v>20743</v>
      </c>
      <c r="B20748" s="3" t="str">
        <f>"01007458"</f>
        <v>01007458</v>
      </c>
    </row>
    <row r="20749" spans="1:2" x14ac:dyDescent="0.25">
      <c r="A20749" s="2">
        <v>20744</v>
      </c>
      <c r="B20749" s="3" t="str">
        <f>"01007472"</f>
        <v>01007472</v>
      </c>
    </row>
    <row r="20750" spans="1:2" x14ac:dyDescent="0.25">
      <c r="A20750" s="2">
        <v>20745</v>
      </c>
      <c r="B20750" s="3" t="str">
        <f>"01007482"</f>
        <v>01007482</v>
      </c>
    </row>
    <row r="20751" spans="1:2" x14ac:dyDescent="0.25">
      <c r="A20751" s="2">
        <v>20746</v>
      </c>
      <c r="B20751" s="3" t="str">
        <f>"01007493"</f>
        <v>01007493</v>
      </c>
    </row>
    <row r="20752" spans="1:2" x14ac:dyDescent="0.25">
      <c r="A20752" s="2">
        <v>20747</v>
      </c>
      <c r="B20752" s="3" t="str">
        <f>"01007515"</f>
        <v>01007515</v>
      </c>
    </row>
    <row r="20753" spans="1:2" x14ac:dyDescent="0.25">
      <c r="A20753" s="2">
        <v>20748</v>
      </c>
      <c r="B20753" s="3" t="str">
        <f>"01007547"</f>
        <v>01007547</v>
      </c>
    </row>
    <row r="20754" spans="1:2" x14ac:dyDescent="0.25">
      <c r="A20754" s="2">
        <v>20749</v>
      </c>
      <c r="B20754" s="3" t="str">
        <f>"01007591"</f>
        <v>01007591</v>
      </c>
    </row>
    <row r="20755" spans="1:2" x14ac:dyDescent="0.25">
      <c r="A20755" s="2">
        <v>20750</v>
      </c>
      <c r="B20755" s="3" t="str">
        <f>"01007613"</f>
        <v>01007613</v>
      </c>
    </row>
    <row r="20756" spans="1:2" x14ac:dyDescent="0.25">
      <c r="A20756" s="2">
        <v>20751</v>
      </c>
      <c r="B20756" s="3" t="str">
        <f>"01007635"</f>
        <v>01007635</v>
      </c>
    </row>
    <row r="20757" spans="1:2" x14ac:dyDescent="0.25">
      <c r="A20757" s="2">
        <v>20752</v>
      </c>
      <c r="B20757" s="3" t="str">
        <f>"01007663"</f>
        <v>01007663</v>
      </c>
    </row>
    <row r="20758" spans="1:2" x14ac:dyDescent="0.25">
      <c r="A20758" s="2">
        <v>20753</v>
      </c>
      <c r="B20758" s="3" t="str">
        <f>"01007691"</f>
        <v>01007691</v>
      </c>
    </row>
    <row r="20759" spans="1:2" x14ac:dyDescent="0.25">
      <c r="A20759" s="2">
        <v>20754</v>
      </c>
      <c r="B20759" s="3" t="str">
        <f>"01007692"</f>
        <v>01007692</v>
      </c>
    </row>
    <row r="20760" spans="1:2" x14ac:dyDescent="0.25">
      <c r="A20760" s="2">
        <v>20755</v>
      </c>
      <c r="B20760" s="3" t="str">
        <f>"01007704"</f>
        <v>01007704</v>
      </c>
    </row>
    <row r="20761" spans="1:2" x14ac:dyDescent="0.25">
      <c r="A20761" s="2">
        <v>20756</v>
      </c>
      <c r="B20761" s="3" t="str">
        <f>"01007725"</f>
        <v>01007725</v>
      </c>
    </row>
    <row r="20762" spans="1:2" x14ac:dyDescent="0.25">
      <c r="A20762" s="2">
        <v>20757</v>
      </c>
      <c r="B20762" s="3" t="str">
        <f>"01007778"</f>
        <v>01007778</v>
      </c>
    </row>
    <row r="20763" spans="1:2" x14ac:dyDescent="0.25">
      <c r="A20763" s="2">
        <v>20758</v>
      </c>
      <c r="B20763" s="3" t="str">
        <f>"01007817"</f>
        <v>01007817</v>
      </c>
    </row>
    <row r="20764" spans="1:2" x14ac:dyDescent="0.25">
      <c r="A20764" s="2">
        <v>20759</v>
      </c>
      <c r="B20764" s="3" t="str">
        <f>"01007825"</f>
        <v>01007825</v>
      </c>
    </row>
    <row r="20765" spans="1:2" x14ac:dyDescent="0.25">
      <c r="A20765" s="2">
        <v>20760</v>
      </c>
      <c r="B20765" s="3" t="str">
        <f>"01007834"</f>
        <v>01007834</v>
      </c>
    </row>
    <row r="20766" spans="1:2" x14ac:dyDescent="0.25">
      <c r="A20766" s="2">
        <v>20761</v>
      </c>
      <c r="B20766" s="3" t="str">
        <f>"01007838"</f>
        <v>01007838</v>
      </c>
    </row>
    <row r="20767" spans="1:2" x14ac:dyDescent="0.25">
      <c r="A20767" s="2">
        <v>20762</v>
      </c>
      <c r="B20767" s="3" t="str">
        <f>"01007841"</f>
        <v>01007841</v>
      </c>
    </row>
    <row r="20768" spans="1:2" x14ac:dyDescent="0.25">
      <c r="A20768" s="2">
        <v>20763</v>
      </c>
      <c r="B20768" s="3" t="str">
        <f>"01007842"</f>
        <v>01007842</v>
      </c>
    </row>
    <row r="20769" spans="1:2" x14ac:dyDescent="0.25">
      <c r="A20769" s="2">
        <v>20764</v>
      </c>
      <c r="B20769" s="3" t="str">
        <f>"01007845"</f>
        <v>01007845</v>
      </c>
    </row>
    <row r="20770" spans="1:2" x14ac:dyDescent="0.25">
      <c r="A20770" s="2">
        <v>20765</v>
      </c>
      <c r="B20770" s="3" t="str">
        <f>"01007868"</f>
        <v>01007868</v>
      </c>
    </row>
    <row r="20771" spans="1:2" x14ac:dyDescent="0.25">
      <c r="A20771" s="2">
        <v>20766</v>
      </c>
      <c r="B20771" s="3" t="str">
        <f>"01007872"</f>
        <v>01007872</v>
      </c>
    </row>
    <row r="20772" spans="1:2" x14ac:dyDescent="0.25">
      <c r="A20772" s="2">
        <v>20767</v>
      </c>
      <c r="B20772" s="3" t="str">
        <f>"01007952"</f>
        <v>01007952</v>
      </c>
    </row>
    <row r="20773" spans="1:2" x14ac:dyDescent="0.25">
      <c r="A20773" s="2">
        <v>20768</v>
      </c>
      <c r="B20773" s="3" t="str">
        <f>"01007954"</f>
        <v>01007954</v>
      </c>
    </row>
    <row r="20774" spans="1:2" x14ac:dyDescent="0.25">
      <c r="A20774" s="2">
        <v>20769</v>
      </c>
      <c r="B20774" s="3" t="str">
        <f>"01007962"</f>
        <v>01007962</v>
      </c>
    </row>
    <row r="20775" spans="1:2" x14ac:dyDescent="0.25">
      <c r="A20775" s="2">
        <v>20770</v>
      </c>
      <c r="B20775" s="3" t="str">
        <f>"01007963"</f>
        <v>01007963</v>
      </c>
    </row>
    <row r="20776" spans="1:2" x14ac:dyDescent="0.25">
      <c r="A20776" s="2">
        <v>20771</v>
      </c>
      <c r="B20776" s="3" t="str">
        <f>"01007972"</f>
        <v>01007972</v>
      </c>
    </row>
    <row r="20777" spans="1:2" x14ac:dyDescent="0.25">
      <c r="A20777" s="2">
        <v>20772</v>
      </c>
      <c r="B20777" s="3" t="str">
        <f>"01007986"</f>
        <v>01007986</v>
      </c>
    </row>
    <row r="20778" spans="1:2" x14ac:dyDescent="0.25">
      <c r="A20778" s="2">
        <v>20773</v>
      </c>
      <c r="B20778" s="3" t="str">
        <f>"01007995"</f>
        <v>01007995</v>
      </c>
    </row>
    <row r="20779" spans="1:2" x14ac:dyDescent="0.25">
      <c r="A20779" s="2">
        <v>20774</v>
      </c>
      <c r="B20779" s="3" t="str">
        <f>"01008020"</f>
        <v>01008020</v>
      </c>
    </row>
    <row r="20780" spans="1:2" x14ac:dyDescent="0.25">
      <c r="A20780" s="2">
        <v>20775</v>
      </c>
      <c r="B20780" s="3" t="str">
        <f>"01008022"</f>
        <v>01008022</v>
      </c>
    </row>
    <row r="20781" spans="1:2" x14ac:dyDescent="0.25">
      <c r="A20781" s="2">
        <v>20776</v>
      </c>
      <c r="B20781" s="3" t="str">
        <f>"01008031"</f>
        <v>01008031</v>
      </c>
    </row>
    <row r="20782" spans="1:2" x14ac:dyDescent="0.25">
      <c r="A20782" s="2">
        <v>20777</v>
      </c>
      <c r="B20782" s="3" t="str">
        <f>"01008053"</f>
        <v>01008053</v>
      </c>
    </row>
    <row r="20783" spans="1:2" x14ac:dyDescent="0.25">
      <c r="A20783" s="2">
        <v>20778</v>
      </c>
      <c r="B20783" s="3" t="str">
        <f>"01008066"</f>
        <v>01008066</v>
      </c>
    </row>
    <row r="20784" spans="1:2" x14ac:dyDescent="0.25">
      <c r="A20784" s="2">
        <v>20779</v>
      </c>
      <c r="B20784" s="3" t="str">
        <f>"01008107"</f>
        <v>01008107</v>
      </c>
    </row>
    <row r="20785" spans="1:2" x14ac:dyDescent="0.25">
      <c r="A20785" s="2">
        <v>20780</v>
      </c>
      <c r="B20785" s="3" t="str">
        <f>"01008110"</f>
        <v>01008110</v>
      </c>
    </row>
    <row r="20786" spans="1:2" x14ac:dyDescent="0.25">
      <c r="A20786" s="2">
        <v>20781</v>
      </c>
      <c r="B20786" s="3" t="str">
        <f>"01008134"</f>
        <v>01008134</v>
      </c>
    </row>
    <row r="20787" spans="1:2" x14ac:dyDescent="0.25">
      <c r="A20787" s="2">
        <v>20782</v>
      </c>
      <c r="B20787" s="3" t="str">
        <f>"01008140"</f>
        <v>01008140</v>
      </c>
    </row>
    <row r="20788" spans="1:2" x14ac:dyDescent="0.25">
      <c r="A20788" s="2">
        <v>20783</v>
      </c>
      <c r="B20788" s="3" t="str">
        <f>"01008155"</f>
        <v>01008155</v>
      </c>
    </row>
    <row r="20789" spans="1:2" x14ac:dyDescent="0.25">
      <c r="A20789" s="2">
        <v>20784</v>
      </c>
      <c r="B20789" s="3" t="str">
        <f>"01008231"</f>
        <v>01008231</v>
      </c>
    </row>
    <row r="20790" spans="1:2" x14ac:dyDescent="0.25">
      <c r="A20790" s="2">
        <v>20785</v>
      </c>
      <c r="B20790" s="3" t="str">
        <f>"01008238"</f>
        <v>01008238</v>
      </c>
    </row>
    <row r="20791" spans="1:2" x14ac:dyDescent="0.25">
      <c r="A20791" s="2">
        <v>20786</v>
      </c>
      <c r="B20791" s="3" t="str">
        <f>"01008240"</f>
        <v>01008240</v>
      </c>
    </row>
    <row r="20792" spans="1:2" x14ac:dyDescent="0.25">
      <c r="A20792" s="2">
        <v>20787</v>
      </c>
      <c r="B20792" s="3" t="str">
        <f>"01008248"</f>
        <v>01008248</v>
      </c>
    </row>
    <row r="20793" spans="1:2" x14ac:dyDescent="0.25">
      <c r="A20793" s="2">
        <v>20788</v>
      </c>
      <c r="B20793" s="3" t="str">
        <f>"01008276"</f>
        <v>01008276</v>
      </c>
    </row>
    <row r="20794" spans="1:2" x14ac:dyDescent="0.25">
      <c r="A20794" s="2">
        <v>20789</v>
      </c>
      <c r="B20794" s="3" t="str">
        <f>"01008334"</f>
        <v>01008334</v>
      </c>
    </row>
    <row r="20795" spans="1:2" x14ac:dyDescent="0.25">
      <c r="A20795" s="2">
        <v>20790</v>
      </c>
      <c r="B20795" s="3" t="str">
        <f>"01008341"</f>
        <v>01008341</v>
      </c>
    </row>
    <row r="20796" spans="1:2" x14ac:dyDescent="0.25">
      <c r="A20796" s="2">
        <v>20791</v>
      </c>
      <c r="B20796" s="3" t="str">
        <f>"01008370"</f>
        <v>01008370</v>
      </c>
    </row>
    <row r="20797" spans="1:2" x14ac:dyDescent="0.25">
      <c r="A20797" s="2">
        <v>20792</v>
      </c>
      <c r="B20797" s="3" t="str">
        <f>"01008430"</f>
        <v>01008430</v>
      </c>
    </row>
    <row r="20798" spans="1:2" x14ac:dyDescent="0.25">
      <c r="A20798" s="2">
        <v>20793</v>
      </c>
      <c r="B20798" s="3" t="str">
        <f>"01008434"</f>
        <v>01008434</v>
      </c>
    </row>
    <row r="20799" spans="1:2" x14ac:dyDescent="0.25">
      <c r="A20799" s="2">
        <v>20794</v>
      </c>
      <c r="B20799" s="3" t="str">
        <f>"01008449"</f>
        <v>01008449</v>
      </c>
    </row>
    <row r="20800" spans="1:2" x14ac:dyDescent="0.25">
      <c r="A20800" s="2">
        <v>20795</v>
      </c>
      <c r="B20800" s="3" t="str">
        <f>"01008455"</f>
        <v>01008455</v>
      </c>
    </row>
    <row r="20801" spans="1:2" x14ac:dyDescent="0.25">
      <c r="A20801" s="2">
        <v>20796</v>
      </c>
      <c r="B20801" s="3" t="str">
        <f>"01008485"</f>
        <v>01008485</v>
      </c>
    </row>
    <row r="20802" spans="1:2" x14ac:dyDescent="0.25">
      <c r="A20802" s="2">
        <v>20797</v>
      </c>
      <c r="B20802" s="3" t="str">
        <f>"01008493"</f>
        <v>01008493</v>
      </c>
    </row>
    <row r="20803" spans="1:2" x14ac:dyDescent="0.25">
      <c r="A20803" s="2">
        <v>20798</v>
      </c>
      <c r="B20803" s="3" t="str">
        <f>"01008530"</f>
        <v>01008530</v>
      </c>
    </row>
    <row r="20804" spans="1:2" x14ac:dyDescent="0.25">
      <c r="A20804" s="2">
        <v>20799</v>
      </c>
      <c r="B20804" s="3" t="str">
        <f>"01008556"</f>
        <v>01008556</v>
      </c>
    </row>
    <row r="20805" spans="1:2" x14ac:dyDescent="0.25">
      <c r="A20805" s="2">
        <v>20800</v>
      </c>
      <c r="B20805" s="3" t="str">
        <f>"01008604"</f>
        <v>01008604</v>
      </c>
    </row>
    <row r="20806" spans="1:2" x14ac:dyDescent="0.25">
      <c r="A20806" s="2">
        <v>20801</v>
      </c>
      <c r="B20806" s="3" t="str">
        <f>"01008637"</f>
        <v>01008637</v>
      </c>
    </row>
    <row r="20807" spans="1:2" x14ac:dyDescent="0.25">
      <c r="A20807" s="2">
        <v>20802</v>
      </c>
      <c r="B20807" s="3" t="str">
        <f>"01008641"</f>
        <v>01008641</v>
      </c>
    </row>
    <row r="20808" spans="1:2" x14ac:dyDescent="0.25">
      <c r="A20808" s="2">
        <v>20803</v>
      </c>
      <c r="B20808" s="3" t="str">
        <f>"01008656"</f>
        <v>01008656</v>
      </c>
    </row>
    <row r="20809" spans="1:2" x14ac:dyDescent="0.25">
      <c r="A20809" s="2">
        <v>20804</v>
      </c>
      <c r="B20809" s="3" t="str">
        <f>"01008666"</f>
        <v>01008666</v>
      </c>
    </row>
    <row r="20810" spans="1:2" x14ac:dyDescent="0.25">
      <c r="A20810" s="2">
        <v>20805</v>
      </c>
      <c r="B20810" s="3" t="str">
        <f>"01008705"</f>
        <v>01008705</v>
      </c>
    </row>
    <row r="20811" spans="1:2" x14ac:dyDescent="0.25">
      <c r="A20811" s="2">
        <v>20806</v>
      </c>
      <c r="B20811" s="3" t="str">
        <f>"01008710"</f>
        <v>01008710</v>
      </c>
    </row>
    <row r="20812" spans="1:2" x14ac:dyDescent="0.25">
      <c r="A20812" s="2">
        <v>20807</v>
      </c>
      <c r="B20812" s="3" t="str">
        <f>"01008754"</f>
        <v>01008754</v>
      </c>
    </row>
    <row r="20813" spans="1:2" x14ac:dyDescent="0.25">
      <c r="A20813" s="2">
        <v>20808</v>
      </c>
      <c r="B20813" s="3" t="str">
        <f>"01008769"</f>
        <v>01008769</v>
      </c>
    </row>
    <row r="20814" spans="1:2" x14ac:dyDescent="0.25">
      <c r="A20814" s="2">
        <v>20809</v>
      </c>
      <c r="B20814" s="3" t="str">
        <f>"01008800"</f>
        <v>01008800</v>
      </c>
    </row>
    <row r="20815" spans="1:2" x14ac:dyDescent="0.25">
      <c r="A20815" s="2">
        <v>20810</v>
      </c>
      <c r="B20815" s="3" t="str">
        <f>"01008815"</f>
        <v>01008815</v>
      </c>
    </row>
    <row r="20816" spans="1:2" x14ac:dyDescent="0.25">
      <c r="A20816" s="2">
        <v>20811</v>
      </c>
      <c r="B20816" s="3" t="str">
        <f>"01008847"</f>
        <v>01008847</v>
      </c>
    </row>
    <row r="20817" spans="1:2" x14ac:dyDescent="0.25">
      <c r="A20817" s="2">
        <v>20812</v>
      </c>
      <c r="B20817" s="3" t="str">
        <f>"01008859"</f>
        <v>01008859</v>
      </c>
    </row>
    <row r="20818" spans="1:2" x14ac:dyDescent="0.25">
      <c r="A20818" s="2">
        <v>20813</v>
      </c>
      <c r="B20818" s="3" t="str">
        <f>"01008869"</f>
        <v>01008869</v>
      </c>
    </row>
    <row r="20819" spans="1:2" x14ac:dyDescent="0.25">
      <c r="A20819" s="2">
        <v>20814</v>
      </c>
      <c r="B20819" s="3" t="str">
        <f>"01008928"</f>
        <v>01008928</v>
      </c>
    </row>
    <row r="20820" spans="1:2" x14ac:dyDescent="0.25">
      <c r="A20820" s="2">
        <v>20815</v>
      </c>
      <c r="B20820" s="3" t="str">
        <f>"01008942"</f>
        <v>01008942</v>
      </c>
    </row>
    <row r="20821" spans="1:2" x14ac:dyDescent="0.25">
      <c r="A20821" s="2">
        <v>20816</v>
      </c>
      <c r="B20821" s="3" t="str">
        <f>"01008986"</f>
        <v>01008986</v>
      </c>
    </row>
    <row r="20822" spans="1:2" x14ac:dyDescent="0.25">
      <c r="A20822" s="2">
        <v>20817</v>
      </c>
      <c r="B20822" s="3" t="str">
        <f>"01009008"</f>
        <v>01009008</v>
      </c>
    </row>
    <row r="20823" spans="1:2" x14ac:dyDescent="0.25">
      <c r="A20823" s="2">
        <v>20818</v>
      </c>
      <c r="B20823" s="3" t="str">
        <f>"01009012"</f>
        <v>01009012</v>
      </c>
    </row>
    <row r="20824" spans="1:2" x14ac:dyDescent="0.25">
      <c r="A20824" s="2">
        <v>20819</v>
      </c>
      <c r="B20824" s="3" t="str">
        <f>"01009084"</f>
        <v>01009084</v>
      </c>
    </row>
    <row r="20825" spans="1:2" x14ac:dyDescent="0.25">
      <c r="A20825" s="2">
        <v>20820</v>
      </c>
      <c r="B20825" s="3" t="str">
        <f>"01009103"</f>
        <v>01009103</v>
      </c>
    </row>
    <row r="20826" spans="1:2" x14ac:dyDescent="0.25">
      <c r="A20826" s="2">
        <v>20821</v>
      </c>
      <c r="B20826" s="3" t="str">
        <f>"01009119"</f>
        <v>01009119</v>
      </c>
    </row>
    <row r="20827" spans="1:2" x14ac:dyDescent="0.25">
      <c r="A20827" s="2">
        <v>20822</v>
      </c>
      <c r="B20827" s="3" t="str">
        <f>"01009136"</f>
        <v>01009136</v>
      </c>
    </row>
    <row r="20828" spans="1:2" x14ac:dyDescent="0.25">
      <c r="A20828" s="2">
        <v>20823</v>
      </c>
      <c r="B20828" s="3" t="str">
        <f>"01009150"</f>
        <v>01009150</v>
      </c>
    </row>
    <row r="20829" spans="1:2" x14ac:dyDescent="0.25">
      <c r="A20829" s="2">
        <v>20824</v>
      </c>
      <c r="B20829" s="3" t="str">
        <f>"01009152"</f>
        <v>01009152</v>
      </c>
    </row>
    <row r="20830" spans="1:2" x14ac:dyDescent="0.25">
      <c r="A20830" s="2">
        <v>20825</v>
      </c>
      <c r="B20830" s="3" t="str">
        <f>"01009154"</f>
        <v>01009154</v>
      </c>
    </row>
    <row r="20831" spans="1:2" x14ac:dyDescent="0.25">
      <c r="A20831" s="2">
        <v>20826</v>
      </c>
      <c r="B20831" s="3" t="str">
        <f>"01009155"</f>
        <v>01009155</v>
      </c>
    </row>
    <row r="20832" spans="1:2" x14ac:dyDescent="0.25">
      <c r="A20832" s="2">
        <v>20827</v>
      </c>
      <c r="B20832" s="3" t="str">
        <f>"01009160"</f>
        <v>01009160</v>
      </c>
    </row>
    <row r="20833" spans="1:2" x14ac:dyDescent="0.25">
      <c r="A20833" s="2">
        <v>20828</v>
      </c>
      <c r="B20833" s="3" t="str">
        <f>"01009233"</f>
        <v>01009233</v>
      </c>
    </row>
    <row r="20834" spans="1:2" x14ac:dyDescent="0.25">
      <c r="A20834" s="2">
        <v>20829</v>
      </c>
      <c r="B20834" s="3" t="str">
        <f>"01009286"</f>
        <v>01009286</v>
      </c>
    </row>
    <row r="20835" spans="1:2" x14ac:dyDescent="0.25">
      <c r="A20835" s="2">
        <v>20830</v>
      </c>
      <c r="B20835" s="3" t="str">
        <f>"01009318"</f>
        <v>01009318</v>
      </c>
    </row>
    <row r="20836" spans="1:2" x14ac:dyDescent="0.25">
      <c r="A20836" s="2">
        <v>20831</v>
      </c>
      <c r="B20836" s="3" t="str">
        <f>"01009346"</f>
        <v>01009346</v>
      </c>
    </row>
    <row r="20837" spans="1:2" x14ac:dyDescent="0.25">
      <c r="A20837" s="2">
        <v>20832</v>
      </c>
      <c r="B20837" s="3" t="str">
        <f>"01009352"</f>
        <v>01009352</v>
      </c>
    </row>
    <row r="20838" spans="1:2" x14ac:dyDescent="0.25">
      <c r="A20838" s="2">
        <v>20833</v>
      </c>
      <c r="B20838" s="3" t="str">
        <f>"01009367"</f>
        <v>01009367</v>
      </c>
    </row>
    <row r="20839" spans="1:2" x14ac:dyDescent="0.25">
      <c r="A20839" s="2">
        <v>20834</v>
      </c>
      <c r="B20839" s="3" t="str">
        <f>"01009436"</f>
        <v>01009436</v>
      </c>
    </row>
    <row r="20840" spans="1:2" x14ac:dyDescent="0.25">
      <c r="A20840" s="2">
        <v>20835</v>
      </c>
      <c r="B20840" s="3" t="str">
        <f>"01009489"</f>
        <v>01009489</v>
      </c>
    </row>
    <row r="20841" spans="1:2" x14ac:dyDescent="0.25">
      <c r="A20841" s="2">
        <v>20836</v>
      </c>
      <c r="B20841" s="3" t="str">
        <f>"01009511"</f>
        <v>01009511</v>
      </c>
    </row>
    <row r="20842" spans="1:2" x14ac:dyDescent="0.25">
      <c r="A20842" s="2">
        <v>20837</v>
      </c>
      <c r="B20842" s="3" t="str">
        <f>"01009538"</f>
        <v>01009538</v>
      </c>
    </row>
    <row r="20843" spans="1:2" x14ac:dyDescent="0.25">
      <c r="A20843" s="2">
        <v>20838</v>
      </c>
      <c r="B20843" s="3" t="str">
        <f>"01009546"</f>
        <v>01009546</v>
      </c>
    </row>
    <row r="20844" spans="1:2" x14ac:dyDescent="0.25">
      <c r="A20844" s="2">
        <v>20839</v>
      </c>
      <c r="B20844" s="3" t="str">
        <f>"01009555"</f>
        <v>01009555</v>
      </c>
    </row>
    <row r="20845" spans="1:2" x14ac:dyDescent="0.25">
      <c r="A20845" s="2">
        <v>20840</v>
      </c>
      <c r="B20845" s="3" t="str">
        <f>"01009600"</f>
        <v>01009600</v>
      </c>
    </row>
    <row r="20846" spans="1:2" x14ac:dyDescent="0.25">
      <c r="A20846" s="2">
        <v>20841</v>
      </c>
      <c r="B20846" s="3" t="str">
        <f>"01009603"</f>
        <v>01009603</v>
      </c>
    </row>
    <row r="20847" spans="1:2" x14ac:dyDescent="0.25">
      <c r="A20847" s="2">
        <v>20842</v>
      </c>
      <c r="B20847" s="3" t="str">
        <f>"01009616"</f>
        <v>01009616</v>
      </c>
    </row>
    <row r="20848" spans="1:2" x14ac:dyDescent="0.25">
      <c r="A20848" s="2">
        <v>20843</v>
      </c>
      <c r="B20848" s="3" t="str">
        <f>"01009630"</f>
        <v>01009630</v>
      </c>
    </row>
    <row r="20849" spans="1:2" x14ac:dyDescent="0.25">
      <c r="A20849" s="2">
        <v>20844</v>
      </c>
      <c r="B20849" s="3" t="str">
        <f>"01009646"</f>
        <v>01009646</v>
      </c>
    </row>
    <row r="20850" spans="1:2" x14ac:dyDescent="0.25">
      <c r="A20850" s="2">
        <v>20845</v>
      </c>
      <c r="B20850" s="3" t="str">
        <f>"01009647"</f>
        <v>01009647</v>
      </c>
    </row>
    <row r="20851" spans="1:2" x14ac:dyDescent="0.25">
      <c r="A20851" s="2">
        <v>20846</v>
      </c>
      <c r="B20851" s="3" t="str">
        <f>"01009661"</f>
        <v>01009661</v>
      </c>
    </row>
    <row r="20852" spans="1:2" x14ac:dyDescent="0.25">
      <c r="A20852" s="2">
        <v>20847</v>
      </c>
      <c r="B20852" s="3" t="str">
        <f>"01009774"</f>
        <v>01009774</v>
      </c>
    </row>
    <row r="20853" spans="1:2" x14ac:dyDescent="0.25">
      <c r="A20853" s="2">
        <v>20848</v>
      </c>
      <c r="B20853" s="3" t="str">
        <f>"01009791"</f>
        <v>01009791</v>
      </c>
    </row>
    <row r="20854" spans="1:2" x14ac:dyDescent="0.25">
      <c r="A20854" s="2">
        <v>20849</v>
      </c>
      <c r="B20854" s="3" t="str">
        <f>"01009796"</f>
        <v>01009796</v>
      </c>
    </row>
    <row r="20855" spans="1:2" x14ac:dyDescent="0.25">
      <c r="A20855" s="2">
        <v>20850</v>
      </c>
      <c r="B20855" s="3" t="str">
        <f>"01009838"</f>
        <v>01009838</v>
      </c>
    </row>
    <row r="20856" spans="1:2" x14ac:dyDescent="0.25">
      <c r="A20856" s="2">
        <v>20851</v>
      </c>
      <c r="B20856" s="3" t="str">
        <f>"01009863"</f>
        <v>01009863</v>
      </c>
    </row>
    <row r="20857" spans="1:2" x14ac:dyDescent="0.25">
      <c r="A20857" s="2">
        <v>20852</v>
      </c>
      <c r="B20857" s="3" t="str">
        <f>"01009875"</f>
        <v>01009875</v>
      </c>
    </row>
    <row r="20858" spans="1:2" x14ac:dyDescent="0.25">
      <c r="A20858" s="2">
        <v>20853</v>
      </c>
      <c r="B20858" s="3" t="str">
        <f>"01009881"</f>
        <v>01009881</v>
      </c>
    </row>
    <row r="20859" spans="1:2" x14ac:dyDescent="0.25">
      <c r="A20859" s="2">
        <v>20854</v>
      </c>
      <c r="B20859" s="3" t="str">
        <f>"01009887"</f>
        <v>01009887</v>
      </c>
    </row>
    <row r="20860" spans="1:2" x14ac:dyDescent="0.25">
      <c r="A20860" s="2">
        <v>20855</v>
      </c>
      <c r="B20860" s="3" t="str">
        <f>"01009952"</f>
        <v>01009952</v>
      </c>
    </row>
    <row r="20861" spans="1:2" x14ac:dyDescent="0.25">
      <c r="A20861" s="2">
        <v>20856</v>
      </c>
      <c r="B20861" s="3" t="str">
        <f>"01010049"</f>
        <v>01010049</v>
      </c>
    </row>
    <row r="20862" spans="1:2" x14ac:dyDescent="0.25">
      <c r="A20862" s="2">
        <v>20857</v>
      </c>
      <c r="B20862" s="3" t="str">
        <f>"01010054"</f>
        <v>01010054</v>
      </c>
    </row>
    <row r="20863" spans="1:2" x14ac:dyDescent="0.25">
      <c r="A20863" s="2">
        <v>20858</v>
      </c>
      <c r="B20863" s="3" t="str">
        <f>"01010156"</f>
        <v>01010156</v>
      </c>
    </row>
    <row r="20864" spans="1:2" x14ac:dyDescent="0.25">
      <c r="A20864" s="2">
        <v>20859</v>
      </c>
      <c r="B20864" s="3" t="str">
        <f>"01010176"</f>
        <v>01010176</v>
      </c>
    </row>
    <row r="20865" spans="1:2" x14ac:dyDescent="0.25">
      <c r="A20865" s="2">
        <v>20860</v>
      </c>
      <c r="B20865" s="3" t="str">
        <f>"01010204"</f>
        <v>01010204</v>
      </c>
    </row>
    <row r="20866" spans="1:2" x14ac:dyDescent="0.25">
      <c r="A20866" s="2">
        <v>20861</v>
      </c>
      <c r="B20866" s="3" t="str">
        <f>"01010255"</f>
        <v>01010255</v>
      </c>
    </row>
    <row r="20867" spans="1:2" x14ac:dyDescent="0.25">
      <c r="A20867" s="2">
        <v>20862</v>
      </c>
      <c r="B20867" s="3" t="str">
        <f>"01010286"</f>
        <v>01010286</v>
      </c>
    </row>
    <row r="20868" spans="1:2" x14ac:dyDescent="0.25">
      <c r="A20868" s="2">
        <v>20863</v>
      </c>
      <c r="B20868" s="3" t="str">
        <f>"01010312"</f>
        <v>01010312</v>
      </c>
    </row>
    <row r="20869" spans="1:2" x14ac:dyDescent="0.25">
      <c r="A20869" s="2">
        <v>20864</v>
      </c>
      <c r="B20869" s="3" t="str">
        <f>"01010489"</f>
        <v>01010489</v>
      </c>
    </row>
    <row r="20870" spans="1:2" x14ac:dyDescent="0.25">
      <c r="A20870" s="2">
        <v>20865</v>
      </c>
      <c r="B20870" s="3" t="str">
        <f>"01010579"</f>
        <v>01010579</v>
      </c>
    </row>
    <row r="20871" spans="1:2" x14ac:dyDescent="0.25">
      <c r="A20871" s="2">
        <v>20866</v>
      </c>
      <c r="B20871" s="3" t="str">
        <f>"01010581"</f>
        <v>01010581</v>
      </c>
    </row>
    <row r="20872" spans="1:2" x14ac:dyDescent="0.25">
      <c r="A20872" s="2">
        <v>20867</v>
      </c>
      <c r="B20872" s="3" t="str">
        <f>"01010591"</f>
        <v>01010591</v>
      </c>
    </row>
    <row r="20873" spans="1:2" x14ac:dyDescent="0.25">
      <c r="A20873" s="2">
        <v>20868</v>
      </c>
      <c r="B20873" s="3" t="str">
        <f>"01010594"</f>
        <v>01010594</v>
      </c>
    </row>
    <row r="20874" spans="1:2" x14ac:dyDescent="0.25">
      <c r="A20874" s="2">
        <v>20869</v>
      </c>
      <c r="B20874" s="3" t="str">
        <f>"01010613"</f>
        <v>01010613</v>
      </c>
    </row>
    <row r="20875" spans="1:2" x14ac:dyDescent="0.25">
      <c r="A20875" s="2">
        <v>20870</v>
      </c>
      <c r="B20875" s="3" t="str">
        <f>"01010673"</f>
        <v>01010673</v>
      </c>
    </row>
    <row r="20876" spans="1:2" x14ac:dyDescent="0.25">
      <c r="A20876" s="2">
        <v>20871</v>
      </c>
      <c r="B20876" s="3" t="str">
        <f>"01010676"</f>
        <v>01010676</v>
      </c>
    </row>
    <row r="20877" spans="1:2" x14ac:dyDescent="0.25">
      <c r="A20877" s="2">
        <v>20872</v>
      </c>
      <c r="B20877" s="3" t="str">
        <f>"01010707"</f>
        <v>01010707</v>
      </c>
    </row>
    <row r="20878" spans="1:2" x14ac:dyDescent="0.25">
      <c r="A20878" s="2">
        <v>20873</v>
      </c>
      <c r="B20878" s="3" t="str">
        <f>"01010758"</f>
        <v>01010758</v>
      </c>
    </row>
    <row r="20879" spans="1:2" x14ac:dyDescent="0.25">
      <c r="A20879" s="2">
        <v>20874</v>
      </c>
      <c r="B20879" s="3" t="str">
        <f>"01010781"</f>
        <v>01010781</v>
      </c>
    </row>
    <row r="20880" spans="1:2" x14ac:dyDescent="0.25">
      <c r="A20880" s="2">
        <v>20875</v>
      </c>
      <c r="B20880" s="3" t="str">
        <f>"01010926"</f>
        <v>01010926</v>
      </c>
    </row>
    <row r="20881" spans="1:2" x14ac:dyDescent="0.25">
      <c r="A20881" s="2">
        <v>20876</v>
      </c>
      <c r="B20881" s="3" t="str">
        <f>"01010996"</f>
        <v>01010996</v>
      </c>
    </row>
    <row r="20882" spans="1:2" x14ac:dyDescent="0.25">
      <c r="A20882" s="2">
        <v>20877</v>
      </c>
      <c r="B20882" s="3" t="str">
        <f>"01011072"</f>
        <v>01011072</v>
      </c>
    </row>
    <row r="20883" spans="1:2" x14ac:dyDescent="0.25">
      <c r="A20883" s="2">
        <v>20878</v>
      </c>
      <c r="B20883" s="3" t="str">
        <f>"01011108"</f>
        <v>01011108</v>
      </c>
    </row>
    <row r="20884" spans="1:2" x14ac:dyDescent="0.25">
      <c r="A20884" s="2">
        <v>20879</v>
      </c>
      <c r="B20884" s="3" t="str">
        <f>"01011132"</f>
        <v>01011132</v>
      </c>
    </row>
    <row r="20885" spans="1:2" x14ac:dyDescent="0.25">
      <c r="A20885" s="2">
        <v>20880</v>
      </c>
      <c r="B20885" s="3" t="str">
        <f>"01011155"</f>
        <v>01011155</v>
      </c>
    </row>
    <row r="20886" spans="1:2" x14ac:dyDescent="0.25">
      <c r="A20886" s="2">
        <v>20881</v>
      </c>
      <c r="B20886" s="3" t="str">
        <f>"01011260"</f>
        <v>01011260</v>
      </c>
    </row>
    <row r="20887" spans="1:2" x14ac:dyDescent="0.25">
      <c r="A20887" s="2">
        <v>20882</v>
      </c>
      <c r="B20887" s="3" t="str">
        <f>"01011426"</f>
        <v>01011426</v>
      </c>
    </row>
    <row r="20888" spans="1:2" x14ac:dyDescent="0.25">
      <c r="A20888" s="2">
        <v>20883</v>
      </c>
      <c r="B20888" s="3" t="str">
        <f>"01011539"</f>
        <v>01011539</v>
      </c>
    </row>
    <row r="20889" spans="1:2" x14ac:dyDescent="0.25">
      <c r="A20889" s="2">
        <v>20884</v>
      </c>
      <c r="B20889" s="3" t="str">
        <f>"01011624"</f>
        <v>01011624</v>
      </c>
    </row>
    <row r="20890" spans="1:2" x14ac:dyDescent="0.25">
      <c r="A20890" s="2">
        <v>20885</v>
      </c>
      <c r="B20890" s="3" t="str">
        <f>"01011680"</f>
        <v>01011680</v>
      </c>
    </row>
    <row r="20891" spans="1:2" x14ac:dyDescent="0.25">
      <c r="A20891" s="2">
        <v>20886</v>
      </c>
      <c r="B20891" s="3" t="str">
        <f>"01011703"</f>
        <v>01011703</v>
      </c>
    </row>
    <row r="20892" spans="1:2" x14ac:dyDescent="0.25">
      <c r="A20892" s="2">
        <v>20887</v>
      </c>
      <c r="B20892" s="3" t="str">
        <f>"01011738"</f>
        <v>01011738</v>
      </c>
    </row>
    <row r="20893" spans="1:2" x14ac:dyDescent="0.25">
      <c r="A20893" s="2">
        <v>20888</v>
      </c>
      <c r="B20893" s="3" t="str">
        <f>"01011816"</f>
        <v>01011816</v>
      </c>
    </row>
    <row r="20894" spans="1:2" x14ac:dyDescent="0.25">
      <c r="A20894" s="2">
        <v>20889</v>
      </c>
      <c r="B20894" s="3" t="str">
        <f>"01011823"</f>
        <v>01011823</v>
      </c>
    </row>
    <row r="20895" spans="1:2" x14ac:dyDescent="0.25">
      <c r="A20895" s="2">
        <v>20890</v>
      </c>
      <c r="B20895" s="3" t="str">
        <f>"01011835"</f>
        <v>01011835</v>
      </c>
    </row>
    <row r="20896" spans="1:2" x14ac:dyDescent="0.25">
      <c r="A20896" s="2">
        <v>20891</v>
      </c>
      <c r="B20896" s="3" t="str">
        <f>"01011845"</f>
        <v>01011845</v>
      </c>
    </row>
    <row r="20897" spans="1:2" x14ac:dyDescent="0.25">
      <c r="A20897" s="2">
        <v>20892</v>
      </c>
      <c r="B20897" s="3" t="str">
        <f>"01011940"</f>
        <v>01011940</v>
      </c>
    </row>
    <row r="20898" spans="1:2" x14ac:dyDescent="0.25">
      <c r="A20898" s="2">
        <v>20893</v>
      </c>
      <c r="B20898" s="3" t="str">
        <f>"01012003"</f>
        <v>01012003</v>
      </c>
    </row>
    <row r="20899" spans="1:2" x14ac:dyDescent="0.25">
      <c r="A20899" s="2">
        <v>20894</v>
      </c>
      <c r="B20899" s="3" t="str">
        <f>"01012063"</f>
        <v>01012063</v>
      </c>
    </row>
    <row r="20900" spans="1:2" x14ac:dyDescent="0.25">
      <c r="A20900" s="2">
        <v>20895</v>
      </c>
      <c r="B20900" s="3" t="str">
        <f>"01012073"</f>
        <v>01012073</v>
      </c>
    </row>
    <row r="20901" spans="1:2" x14ac:dyDescent="0.25">
      <c r="A20901" s="2">
        <v>20896</v>
      </c>
      <c r="B20901" s="3" t="str">
        <f>"01012127"</f>
        <v>01012127</v>
      </c>
    </row>
    <row r="20902" spans="1:2" x14ac:dyDescent="0.25">
      <c r="A20902" s="2">
        <v>20897</v>
      </c>
      <c r="B20902" s="3" t="str">
        <f>"01012160"</f>
        <v>01012160</v>
      </c>
    </row>
    <row r="20903" spans="1:2" x14ac:dyDescent="0.25">
      <c r="A20903" s="2">
        <v>20898</v>
      </c>
      <c r="B20903" s="3" t="str">
        <f>"01012169"</f>
        <v>01012169</v>
      </c>
    </row>
    <row r="20904" spans="1:2" x14ac:dyDescent="0.25">
      <c r="A20904" s="2">
        <v>20899</v>
      </c>
      <c r="B20904" s="3" t="str">
        <f>"01012183"</f>
        <v>01012183</v>
      </c>
    </row>
    <row r="20905" spans="1:2" x14ac:dyDescent="0.25">
      <c r="A20905" s="2">
        <v>20900</v>
      </c>
      <c r="B20905" s="3" t="str">
        <f>"01012227"</f>
        <v>01012227</v>
      </c>
    </row>
    <row r="20906" spans="1:2" x14ac:dyDescent="0.25">
      <c r="A20906" s="2">
        <v>20901</v>
      </c>
      <c r="B20906" s="3" t="str">
        <f>"01012299"</f>
        <v>01012299</v>
      </c>
    </row>
    <row r="20907" spans="1:2" x14ac:dyDescent="0.25">
      <c r="A20907" s="2">
        <v>20902</v>
      </c>
      <c r="B20907" s="3" t="str">
        <f>"01012328"</f>
        <v>01012328</v>
      </c>
    </row>
    <row r="20908" spans="1:2" x14ac:dyDescent="0.25">
      <c r="A20908" s="2">
        <v>20903</v>
      </c>
      <c r="B20908" s="3" t="str">
        <f>"01012329"</f>
        <v>01012329</v>
      </c>
    </row>
    <row r="20909" spans="1:2" x14ac:dyDescent="0.25">
      <c r="A20909" s="2">
        <v>20904</v>
      </c>
      <c r="B20909" s="3" t="str">
        <f>"01012352"</f>
        <v>01012352</v>
      </c>
    </row>
    <row r="20910" spans="1:2" x14ac:dyDescent="0.25">
      <c r="A20910" s="2">
        <v>20905</v>
      </c>
      <c r="B20910" s="3" t="str">
        <f>"01012374"</f>
        <v>01012374</v>
      </c>
    </row>
    <row r="20911" spans="1:2" x14ac:dyDescent="0.25">
      <c r="A20911" s="2">
        <v>20906</v>
      </c>
      <c r="B20911" s="3" t="str">
        <f>"01012380"</f>
        <v>01012380</v>
      </c>
    </row>
    <row r="20912" spans="1:2" x14ac:dyDescent="0.25">
      <c r="A20912" s="2">
        <v>20907</v>
      </c>
      <c r="B20912" s="3" t="str">
        <f>"01012421"</f>
        <v>01012421</v>
      </c>
    </row>
    <row r="20913" spans="1:2" x14ac:dyDescent="0.25">
      <c r="A20913" s="2">
        <v>20908</v>
      </c>
      <c r="B20913" s="3" t="str">
        <f>"01012462"</f>
        <v>01012462</v>
      </c>
    </row>
    <row r="20914" spans="1:2" x14ac:dyDescent="0.25">
      <c r="A20914" s="2">
        <v>20909</v>
      </c>
      <c r="B20914" s="3" t="str">
        <f>"01012474"</f>
        <v>01012474</v>
      </c>
    </row>
    <row r="20915" spans="1:2" x14ac:dyDescent="0.25">
      <c r="A20915" s="2">
        <v>20910</v>
      </c>
      <c r="B20915" s="3" t="str">
        <f>"01012492"</f>
        <v>01012492</v>
      </c>
    </row>
    <row r="20916" spans="1:2" x14ac:dyDescent="0.25">
      <c r="A20916" s="2">
        <v>20911</v>
      </c>
      <c r="B20916" s="3" t="str">
        <f>"01012550"</f>
        <v>01012550</v>
      </c>
    </row>
    <row r="20917" spans="1:2" x14ac:dyDescent="0.25">
      <c r="A20917" s="2">
        <v>20912</v>
      </c>
      <c r="B20917" s="3" t="str">
        <f>"01012662"</f>
        <v>01012662</v>
      </c>
    </row>
    <row r="20918" spans="1:2" x14ac:dyDescent="0.25">
      <c r="A20918" s="2">
        <v>20913</v>
      </c>
      <c r="B20918" s="3" t="str">
        <f>"01012683"</f>
        <v>01012683</v>
      </c>
    </row>
    <row r="20919" spans="1:2" x14ac:dyDescent="0.25">
      <c r="A20919" s="2">
        <v>20914</v>
      </c>
      <c r="B20919" s="3" t="str">
        <f>"01012701"</f>
        <v>01012701</v>
      </c>
    </row>
    <row r="20920" spans="1:2" x14ac:dyDescent="0.25">
      <c r="A20920" s="2">
        <v>20915</v>
      </c>
      <c r="B20920" s="3" t="str">
        <f>"01012865"</f>
        <v>01012865</v>
      </c>
    </row>
    <row r="20921" spans="1:2" x14ac:dyDescent="0.25">
      <c r="A20921" s="2">
        <v>20916</v>
      </c>
      <c r="B20921" s="3" t="str">
        <f>"01012898"</f>
        <v>01012898</v>
      </c>
    </row>
    <row r="20922" spans="1:2" x14ac:dyDescent="0.25">
      <c r="A20922" s="2">
        <v>20917</v>
      </c>
      <c r="B20922" s="3" t="str">
        <f>"01012970"</f>
        <v>01012970</v>
      </c>
    </row>
    <row r="20923" spans="1:2" x14ac:dyDescent="0.25">
      <c r="A20923" s="2">
        <v>20918</v>
      </c>
      <c r="B20923" s="3" t="str">
        <f>"01012980"</f>
        <v>01012980</v>
      </c>
    </row>
    <row r="20924" spans="1:2" x14ac:dyDescent="0.25">
      <c r="A20924" s="2">
        <v>20919</v>
      </c>
      <c r="B20924" s="3" t="str">
        <f>"01012984"</f>
        <v>01012984</v>
      </c>
    </row>
    <row r="20925" spans="1:2" x14ac:dyDescent="0.25">
      <c r="A20925" s="2">
        <v>20920</v>
      </c>
      <c r="B20925" s="3" t="str">
        <f>"01013001"</f>
        <v>01013001</v>
      </c>
    </row>
    <row r="20926" spans="1:2" x14ac:dyDescent="0.25">
      <c r="A20926" s="2">
        <v>20921</v>
      </c>
      <c r="B20926" s="3" t="str">
        <f>"01013050"</f>
        <v>01013050</v>
      </c>
    </row>
    <row r="20927" spans="1:2" x14ac:dyDescent="0.25">
      <c r="A20927" s="2">
        <v>20922</v>
      </c>
      <c r="B20927" s="3" t="str">
        <f>"01013084"</f>
        <v>01013084</v>
      </c>
    </row>
    <row r="20928" spans="1:2" x14ac:dyDescent="0.25">
      <c r="A20928" s="2">
        <v>20923</v>
      </c>
      <c r="B20928" s="3" t="str">
        <f>"01013086"</f>
        <v>01013086</v>
      </c>
    </row>
    <row r="20929" spans="1:2" x14ac:dyDescent="0.25">
      <c r="A20929" s="2">
        <v>20924</v>
      </c>
      <c r="B20929" s="3" t="str">
        <f>"01013108"</f>
        <v>01013108</v>
      </c>
    </row>
    <row r="20930" spans="1:2" x14ac:dyDescent="0.25">
      <c r="A20930" s="2">
        <v>20925</v>
      </c>
      <c r="B20930" s="3" t="str">
        <f>"01013290"</f>
        <v>01013290</v>
      </c>
    </row>
    <row r="20931" spans="1:2" x14ac:dyDescent="0.25">
      <c r="A20931" s="2">
        <v>20926</v>
      </c>
      <c r="B20931" s="3" t="str">
        <f>"01013293"</f>
        <v>01013293</v>
      </c>
    </row>
    <row r="20932" spans="1:2" x14ac:dyDescent="0.25">
      <c r="A20932" s="2">
        <v>20927</v>
      </c>
      <c r="B20932" s="3" t="str">
        <f>"01013315"</f>
        <v>01013315</v>
      </c>
    </row>
    <row r="20933" spans="1:2" x14ac:dyDescent="0.25">
      <c r="A20933" s="2">
        <v>20928</v>
      </c>
      <c r="B20933" s="3" t="str">
        <f>"01013340"</f>
        <v>01013340</v>
      </c>
    </row>
    <row r="20934" spans="1:2" x14ac:dyDescent="0.25">
      <c r="A20934" s="2">
        <v>20929</v>
      </c>
      <c r="B20934" s="3" t="str">
        <f>"01013365"</f>
        <v>01013365</v>
      </c>
    </row>
    <row r="20935" spans="1:2" x14ac:dyDescent="0.25">
      <c r="A20935" s="2">
        <v>20930</v>
      </c>
      <c r="B20935" s="3" t="str">
        <f>"01013432"</f>
        <v>01013432</v>
      </c>
    </row>
    <row r="20936" spans="1:2" x14ac:dyDescent="0.25">
      <c r="A20936" s="2">
        <v>20931</v>
      </c>
      <c r="B20936" s="3" t="str">
        <f>"01013507"</f>
        <v>01013507</v>
      </c>
    </row>
    <row r="20937" spans="1:2" x14ac:dyDescent="0.25">
      <c r="A20937" s="2">
        <v>20932</v>
      </c>
      <c r="B20937" s="3" t="str">
        <f>"01013540"</f>
        <v>01013540</v>
      </c>
    </row>
    <row r="20938" spans="1:2" x14ac:dyDescent="0.25">
      <c r="A20938" s="2">
        <v>20933</v>
      </c>
      <c r="B20938" s="3" t="str">
        <f>"01013582"</f>
        <v>01013582</v>
      </c>
    </row>
    <row r="20939" spans="1:2" x14ac:dyDescent="0.25">
      <c r="A20939" s="2">
        <v>20934</v>
      </c>
      <c r="B20939" s="3" t="str">
        <f>"01013586"</f>
        <v>01013586</v>
      </c>
    </row>
    <row r="20940" spans="1:2" x14ac:dyDescent="0.25">
      <c r="A20940" s="2">
        <v>20935</v>
      </c>
      <c r="B20940" s="3" t="str">
        <f>"01013590"</f>
        <v>01013590</v>
      </c>
    </row>
    <row r="20941" spans="1:2" x14ac:dyDescent="0.25">
      <c r="A20941" s="2">
        <v>20936</v>
      </c>
      <c r="B20941" s="3" t="str">
        <f>"01013753"</f>
        <v>01013753</v>
      </c>
    </row>
    <row r="20942" spans="1:2" x14ac:dyDescent="0.25">
      <c r="A20942" s="2">
        <v>20937</v>
      </c>
      <c r="B20942" s="3" t="str">
        <f>"01013757"</f>
        <v>01013757</v>
      </c>
    </row>
    <row r="20943" spans="1:2" x14ac:dyDescent="0.25">
      <c r="A20943" s="2">
        <v>20938</v>
      </c>
      <c r="B20943" s="3" t="str">
        <f>"01013785"</f>
        <v>01013785</v>
      </c>
    </row>
    <row r="20944" spans="1:2" x14ac:dyDescent="0.25">
      <c r="A20944" s="2">
        <v>20939</v>
      </c>
      <c r="B20944" s="3" t="str">
        <f>"01013809"</f>
        <v>01013809</v>
      </c>
    </row>
    <row r="20945" spans="1:2" x14ac:dyDescent="0.25">
      <c r="A20945" s="2">
        <v>20940</v>
      </c>
      <c r="B20945" s="3" t="str">
        <f>"01013813"</f>
        <v>01013813</v>
      </c>
    </row>
    <row r="20946" spans="1:2" x14ac:dyDescent="0.25">
      <c r="A20946" s="2">
        <v>20941</v>
      </c>
      <c r="B20946" s="3" t="str">
        <f>"01013853"</f>
        <v>01013853</v>
      </c>
    </row>
    <row r="20947" spans="1:2" x14ac:dyDescent="0.25">
      <c r="A20947" s="2">
        <v>20942</v>
      </c>
      <c r="B20947" s="3" t="str">
        <f>"01013890"</f>
        <v>01013890</v>
      </c>
    </row>
    <row r="20948" spans="1:2" x14ac:dyDescent="0.25">
      <c r="A20948" s="2">
        <v>20943</v>
      </c>
      <c r="B20948" s="3" t="str">
        <f>"01013933"</f>
        <v>01013933</v>
      </c>
    </row>
    <row r="20949" spans="1:2" x14ac:dyDescent="0.25">
      <c r="A20949" s="2">
        <v>20944</v>
      </c>
      <c r="B20949" s="3" t="str">
        <f>"01013939"</f>
        <v>01013939</v>
      </c>
    </row>
    <row r="20950" spans="1:2" x14ac:dyDescent="0.25">
      <c r="A20950" s="2">
        <v>20945</v>
      </c>
      <c r="B20950" s="3" t="str">
        <f>"01014010"</f>
        <v>01014010</v>
      </c>
    </row>
    <row r="20951" spans="1:2" x14ac:dyDescent="0.25">
      <c r="A20951" s="2">
        <v>20946</v>
      </c>
      <c r="B20951" s="3" t="str">
        <f>"01014127"</f>
        <v>01014127</v>
      </c>
    </row>
    <row r="20952" spans="1:2" x14ac:dyDescent="0.25">
      <c r="A20952" s="2">
        <v>20947</v>
      </c>
      <c r="B20952" s="3" t="str">
        <f>"01014178"</f>
        <v>01014178</v>
      </c>
    </row>
    <row r="20953" spans="1:2" x14ac:dyDescent="0.25">
      <c r="A20953" s="2">
        <v>20948</v>
      </c>
      <c r="B20953" s="3" t="str">
        <f>"01014223"</f>
        <v>01014223</v>
      </c>
    </row>
    <row r="20954" spans="1:2" x14ac:dyDescent="0.25">
      <c r="A20954" s="2">
        <v>20949</v>
      </c>
      <c r="B20954" s="3" t="str">
        <f>"01014331"</f>
        <v>01014331</v>
      </c>
    </row>
    <row r="20955" spans="1:2" x14ac:dyDescent="0.25">
      <c r="A20955" s="2">
        <v>20950</v>
      </c>
      <c r="B20955" s="3" t="str">
        <f>"01014377"</f>
        <v>01014377</v>
      </c>
    </row>
    <row r="20956" spans="1:2" x14ac:dyDescent="0.25">
      <c r="A20956" s="2">
        <v>20951</v>
      </c>
      <c r="B20956" s="3" t="str">
        <f>"01014417"</f>
        <v>01014417</v>
      </c>
    </row>
    <row r="20957" spans="1:2" x14ac:dyDescent="0.25">
      <c r="A20957" s="2">
        <v>20952</v>
      </c>
      <c r="B20957" s="3" t="str">
        <f>"01014476"</f>
        <v>01014476</v>
      </c>
    </row>
    <row r="20958" spans="1:2" x14ac:dyDescent="0.25">
      <c r="A20958" s="2">
        <v>20953</v>
      </c>
      <c r="B20958" s="3" t="str">
        <f>"01014483"</f>
        <v>01014483</v>
      </c>
    </row>
    <row r="20959" spans="1:2" x14ac:dyDescent="0.25">
      <c r="A20959" s="2">
        <v>20954</v>
      </c>
      <c r="B20959" s="3" t="str">
        <f>"01014624"</f>
        <v>01014624</v>
      </c>
    </row>
    <row r="20960" spans="1:2" x14ac:dyDescent="0.25">
      <c r="A20960" s="2">
        <v>20955</v>
      </c>
      <c r="B20960" s="3" t="str">
        <f>"01014678"</f>
        <v>01014678</v>
      </c>
    </row>
    <row r="20961" spans="1:2" x14ac:dyDescent="0.25">
      <c r="A20961" s="2">
        <v>20956</v>
      </c>
      <c r="B20961" s="3" t="str">
        <f>"01014752"</f>
        <v>01014752</v>
      </c>
    </row>
    <row r="20962" spans="1:2" x14ac:dyDescent="0.25">
      <c r="A20962" s="2">
        <v>20957</v>
      </c>
      <c r="B20962" s="3" t="str">
        <f>"01014766"</f>
        <v>01014766</v>
      </c>
    </row>
    <row r="20963" spans="1:2" x14ac:dyDescent="0.25">
      <c r="A20963" s="2">
        <v>20958</v>
      </c>
      <c r="B20963" s="3" t="str">
        <f>"01014783"</f>
        <v>01014783</v>
      </c>
    </row>
    <row r="20964" spans="1:2" x14ac:dyDescent="0.25">
      <c r="A20964" s="2">
        <v>20959</v>
      </c>
      <c r="B20964" s="3" t="str">
        <f>"01014807"</f>
        <v>01014807</v>
      </c>
    </row>
    <row r="20965" spans="1:2" x14ac:dyDescent="0.25">
      <c r="A20965" s="2">
        <v>20960</v>
      </c>
      <c r="B20965" s="3" t="str">
        <f>"01014811"</f>
        <v>01014811</v>
      </c>
    </row>
    <row r="20966" spans="1:2" x14ac:dyDescent="0.25">
      <c r="A20966" s="2">
        <v>20961</v>
      </c>
      <c r="B20966" s="3" t="str">
        <f>"01014814"</f>
        <v>01014814</v>
      </c>
    </row>
    <row r="20967" spans="1:2" x14ac:dyDescent="0.25">
      <c r="A20967" s="2">
        <v>20962</v>
      </c>
      <c r="B20967" s="3" t="str">
        <f>"01014819"</f>
        <v>01014819</v>
      </c>
    </row>
    <row r="20968" spans="1:2" x14ac:dyDescent="0.25">
      <c r="A20968" s="2">
        <v>20963</v>
      </c>
      <c r="B20968" s="3" t="str">
        <f>"01014828"</f>
        <v>01014828</v>
      </c>
    </row>
    <row r="20969" spans="1:2" x14ac:dyDescent="0.25">
      <c r="A20969" s="2">
        <v>20964</v>
      </c>
      <c r="B20969" s="3" t="str">
        <f>"01014903"</f>
        <v>01014903</v>
      </c>
    </row>
    <row r="20970" spans="1:2" x14ac:dyDescent="0.25">
      <c r="A20970" s="2">
        <v>20965</v>
      </c>
      <c r="B20970" s="3" t="str">
        <f>"01014960"</f>
        <v>01014960</v>
      </c>
    </row>
    <row r="20971" spans="1:2" x14ac:dyDescent="0.25">
      <c r="A20971" s="2">
        <v>20966</v>
      </c>
      <c r="B20971" s="3" t="str">
        <f>"01015043"</f>
        <v>01015043</v>
      </c>
    </row>
    <row r="20972" spans="1:2" x14ac:dyDescent="0.25">
      <c r="A20972" s="2">
        <v>20967</v>
      </c>
      <c r="B20972" s="3" t="str">
        <f>"01015109"</f>
        <v>01015109</v>
      </c>
    </row>
    <row r="20973" spans="1:2" x14ac:dyDescent="0.25">
      <c r="A20973" s="2">
        <v>20968</v>
      </c>
      <c r="B20973" s="3" t="str">
        <f>"01015116"</f>
        <v>01015116</v>
      </c>
    </row>
    <row r="20974" spans="1:2" x14ac:dyDescent="0.25">
      <c r="A20974" s="2">
        <v>20969</v>
      </c>
      <c r="B20974" s="3" t="str">
        <f>"01015134"</f>
        <v>01015134</v>
      </c>
    </row>
    <row r="20975" spans="1:2" x14ac:dyDescent="0.25">
      <c r="A20975" s="2">
        <v>20970</v>
      </c>
      <c r="B20975" s="3" t="str">
        <f>"01015189"</f>
        <v>01015189</v>
      </c>
    </row>
    <row r="20976" spans="1:2" x14ac:dyDescent="0.25">
      <c r="A20976" s="2">
        <v>20971</v>
      </c>
      <c r="B20976" s="3" t="str">
        <f>"01015270"</f>
        <v>01015270</v>
      </c>
    </row>
    <row r="20977" spans="1:2" x14ac:dyDescent="0.25">
      <c r="A20977" s="2">
        <v>20972</v>
      </c>
      <c r="B20977" s="3" t="str">
        <f>"01015282"</f>
        <v>01015282</v>
      </c>
    </row>
    <row r="20978" spans="1:2" x14ac:dyDescent="0.25">
      <c r="A20978" s="2">
        <v>20973</v>
      </c>
      <c r="B20978" s="3" t="str">
        <f>"01015361"</f>
        <v>01015361</v>
      </c>
    </row>
    <row r="20979" spans="1:2" x14ac:dyDescent="0.25">
      <c r="A20979" s="2">
        <v>20974</v>
      </c>
      <c r="B20979" s="3" t="str">
        <f>"01015364"</f>
        <v>01015364</v>
      </c>
    </row>
    <row r="20980" spans="1:2" x14ac:dyDescent="0.25">
      <c r="A20980" s="2">
        <v>20975</v>
      </c>
      <c r="B20980" s="3" t="str">
        <f>"01015385"</f>
        <v>01015385</v>
      </c>
    </row>
    <row r="20981" spans="1:2" x14ac:dyDescent="0.25">
      <c r="A20981" s="2">
        <v>20976</v>
      </c>
      <c r="B20981" s="3" t="str">
        <f>"01015418"</f>
        <v>01015418</v>
      </c>
    </row>
    <row r="20982" spans="1:2" x14ac:dyDescent="0.25">
      <c r="A20982" s="2">
        <v>20977</v>
      </c>
      <c r="B20982" s="3" t="str">
        <f>"01015483"</f>
        <v>01015483</v>
      </c>
    </row>
    <row r="20983" spans="1:2" x14ac:dyDescent="0.25">
      <c r="A20983" s="2">
        <v>20978</v>
      </c>
      <c r="B20983" s="3" t="str">
        <f>"01015507"</f>
        <v>01015507</v>
      </c>
    </row>
    <row r="20984" spans="1:2" x14ac:dyDescent="0.25">
      <c r="A20984" s="2">
        <v>20979</v>
      </c>
      <c r="B20984" s="3" t="str">
        <f>"01015597"</f>
        <v>01015597</v>
      </c>
    </row>
    <row r="20985" spans="1:2" x14ac:dyDescent="0.25">
      <c r="A20985" s="2">
        <v>20980</v>
      </c>
      <c r="B20985" s="3" t="str">
        <f>"01015614"</f>
        <v>01015614</v>
      </c>
    </row>
    <row r="20986" spans="1:2" x14ac:dyDescent="0.25">
      <c r="A20986" s="2">
        <v>20981</v>
      </c>
      <c r="B20986" s="3" t="str">
        <f>"01015666"</f>
        <v>01015666</v>
      </c>
    </row>
    <row r="20987" spans="1:2" x14ac:dyDescent="0.25">
      <c r="A20987" s="2">
        <v>20982</v>
      </c>
      <c r="B20987" s="3" t="str">
        <f>"01015721"</f>
        <v>01015721</v>
      </c>
    </row>
    <row r="20988" spans="1:2" x14ac:dyDescent="0.25">
      <c r="A20988" s="2">
        <v>20983</v>
      </c>
      <c r="B20988" s="3" t="str">
        <f>"01015741"</f>
        <v>01015741</v>
      </c>
    </row>
    <row r="20989" spans="1:2" x14ac:dyDescent="0.25">
      <c r="A20989" s="2">
        <v>20984</v>
      </c>
      <c r="B20989" s="3" t="str">
        <f>"01015765"</f>
        <v>01015765</v>
      </c>
    </row>
    <row r="20990" spans="1:2" x14ac:dyDescent="0.25">
      <c r="A20990" s="2">
        <v>20985</v>
      </c>
      <c r="B20990" s="3" t="str">
        <f>"01015772"</f>
        <v>01015772</v>
      </c>
    </row>
    <row r="20991" spans="1:2" x14ac:dyDescent="0.25">
      <c r="A20991" s="2">
        <v>20986</v>
      </c>
      <c r="B20991" s="3" t="str">
        <f>"01015846"</f>
        <v>01015846</v>
      </c>
    </row>
    <row r="20992" spans="1:2" x14ac:dyDescent="0.25">
      <c r="A20992" s="2">
        <v>20987</v>
      </c>
      <c r="B20992" s="3" t="str">
        <f>"01015861"</f>
        <v>01015861</v>
      </c>
    </row>
    <row r="20993" spans="1:2" x14ac:dyDescent="0.25">
      <c r="A20993" s="2">
        <v>20988</v>
      </c>
      <c r="B20993" s="3" t="str">
        <f>"01015900"</f>
        <v>01015900</v>
      </c>
    </row>
    <row r="20994" spans="1:2" x14ac:dyDescent="0.25">
      <c r="A20994" s="2">
        <v>20989</v>
      </c>
      <c r="B20994" s="3" t="str">
        <f>"01015917"</f>
        <v>01015917</v>
      </c>
    </row>
    <row r="20995" spans="1:2" x14ac:dyDescent="0.25">
      <c r="A20995" s="2">
        <v>20990</v>
      </c>
      <c r="B20995" s="3" t="str">
        <f>"01015948"</f>
        <v>01015948</v>
      </c>
    </row>
    <row r="20996" spans="1:2" x14ac:dyDescent="0.25">
      <c r="A20996" s="2">
        <v>20991</v>
      </c>
      <c r="B20996" s="3" t="str">
        <f>"01015964"</f>
        <v>01015964</v>
      </c>
    </row>
    <row r="20997" spans="1:2" x14ac:dyDescent="0.25">
      <c r="A20997" s="2">
        <v>20992</v>
      </c>
      <c r="B20997" s="3" t="str">
        <f>"01015987"</f>
        <v>01015987</v>
      </c>
    </row>
    <row r="20998" spans="1:2" x14ac:dyDescent="0.25">
      <c r="A20998" s="2">
        <v>20993</v>
      </c>
      <c r="B20998" s="3" t="str">
        <f>"01016009"</f>
        <v>01016009</v>
      </c>
    </row>
    <row r="20999" spans="1:2" x14ac:dyDescent="0.25">
      <c r="A20999" s="2">
        <v>20994</v>
      </c>
      <c r="B20999" s="3" t="str">
        <f>"01016023"</f>
        <v>01016023</v>
      </c>
    </row>
    <row r="21000" spans="1:2" x14ac:dyDescent="0.25">
      <c r="A21000" s="2">
        <v>20995</v>
      </c>
      <c r="B21000" s="3" t="str">
        <f>"01016080"</f>
        <v>01016080</v>
      </c>
    </row>
    <row r="21001" spans="1:2" x14ac:dyDescent="0.25">
      <c r="A21001" s="2">
        <v>20996</v>
      </c>
      <c r="B21001" s="3" t="str">
        <f>"01016086"</f>
        <v>01016086</v>
      </c>
    </row>
    <row r="21002" spans="1:2" x14ac:dyDescent="0.25">
      <c r="A21002" s="2">
        <v>20997</v>
      </c>
      <c r="B21002" s="3" t="str">
        <f>"01016090"</f>
        <v>01016090</v>
      </c>
    </row>
    <row r="21003" spans="1:2" x14ac:dyDescent="0.25">
      <c r="A21003" s="2">
        <v>20998</v>
      </c>
      <c r="B21003" s="3" t="str">
        <f>"01016099"</f>
        <v>01016099</v>
      </c>
    </row>
    <row r="21004" spans="1:2" x14ac:dyDescent="0.25">
      <c r="A21004" s="2">
        <v>20999</v>
      </c>
      <c r="B21004" s="3" t="str">
        <f>"01016126"</f>
        <v>01016126</v>
      </c>
    </row>
    <row r="21005" spans="1:2" x14ac:dyDescent="0.25">
      <c r="A21005" s="2">
        <v>21000</v>
      </c>
      <c r="B21005" s="3" t="str">
        <f>"01016161"</f>
        <v>01016161</v>
      </c>
    </row>
    <row r="21006" spans="1:2" x14ac:dyDescent="0.25">
      <c r="A21006" s="2">
        <v>21001</v>
      </c>
      <c r="B21006" s="3" t="str">
        <f>"01016168"</f>
        <v>01016168</v>
      </c>
    </row>
    <row r="21007" spans="1:2" x14ac:dyDescent="0.25">
      <c r="A21007" s="2">
        <v>21002</v>
      </c>
      <c r="B21007" s="3" t="str">
        <f>"01016227"</f>
        <v>01016227</v>
      </c>
    </row>
    <row r="21008" spans="1:2" x14ac:dyDescent="0.25">
      <c r="A21008" s="2">
        <v>21003</v>
      </c>
      <c r="B21008" s="3" t="str">
        <f>"01016257"</f>
        <v>01016257</v>
      </c>
    </row>
    <row r="21009" spans="1:2" x14ac:dyDescent="0.25">
      <c r="A21009" s="2">
        <v>21004</v>
      </c>
      <c r="B21009" s="3" t="str">
        <f>"01016322"</f>
        <v>01016322</v>
      </c>
    </row>
    <row r="21010" spans="1:2" x14ac:dyDescent="0.25">
      <c r="A21010" s="2">
        <v>21005</v>
      </c>
      <c r="B21010" s="3" t="str">
        <f>"01016349"</f>
        <v>01016349</v>
      </c>
    </row>
    <row r="21011" spans="1:2" x14ac:dyDescent="0.25">
      <c r="A21011" s="2">
        <v>21006</v>
      </c>
      <c r="B21011" s="3" t="str">
        <f>"01016367"</f>
        <v>01016367</v>
      </c>
    </row>
    <row r="21012" spans="1:2" x14ac:dyDescent="0.25">
      <c r="A21012" s="2">
        <v>21007</v>
      </c>
      <c r="B21012" s="3" t="str">
        <f>"01016419"</f>
        <v>01016419</v>
      </c>
    </row>
    <row r="21013" spans="1:2" x14ac:dyDescent="0.25">
      <c r="A21013" s="2">
        <v>21008</v>
      </c>
      <c r="B21013" s="3" t="str">
        <f>"01016502"</f>
        <v>01016502</v>
      </c>
    </row>
    <row r="21014" spans="1:2" x14ac:dyDescent="0.25">
      <c r="A21014" s="2">
        <v>21009</v>
      </c>
      <c r="B21014" s="3" t="str">
        <f>"01016589"</f>
        <v>01016589</v>
      </c>
    </row>
    <row r="21015" spans="1:2" x14ac:dyDescent="0.25">
      <c r="A21015" s="2">
        <v>21010</v>
      </c>
      <c r="B21015" s="3" t="str">
        <f>"01016635"</f>
        <v>01016635</v>
      </c>
    </row>
    <row r="21016" spans="1:2" x14ac:dyDescent="0.25">
      <c r="A21016" s="2">
        <v>21011</v>
      </c>
      <c r="B21016" s="3" t="str">
        <f>"01016673"</f>
        <v>01016673</v>
      </c>
    </row>
    <row r="21017" spans="1:2" x14ac:dyDescent="0.25">
      <c r="A21017" s="2">
        <v>21012</v>
      </c>
      <c r="B21017" s="3" t="str">
        <f>"01016687"</f>
        <v>01016687</v>
      </c>
    </row>
    <row r="21018" spans="1:2" x14ac:dyDescent="0.25">
      <c r="A21018" s="2">
        <v>21013</v>
      </c>
      <c r="B21018" s="3" t="str">
        <f>"01016689"</f>
        <v>01016689</v>
      </c>
    </row>
    <row r="21019" spans="1:2" x14ac:dyDescent="0.25">
      <c r="A21019" s="2">
        <v>21014</v>
      </c>
      <c r="B21019" s="3" t="str">
        <f>"01016783"</f>
        <v>01016783</v>
      </c>
    </row>
    <row r="21020" spans="1:2" x14ac:dyDescent="0.25">
      <c r="A21020" s="2">
        <v>21015</v>
      </c>
      <c r="B21020" s="3" t="str">
        <f>"01016812"</f>
        <v>01016812</v>
      </c>
    </row>
    <row r="21021" spans="1:2" x14ac:dyDescent="0.25">
      <c r="A21021" s="2">
        <v>21016</v>
      </c>
      <c r="B21021" s="3" t="str">
        <f>"01016893"</f>
        <v>01016893</v>
      </c>
    </row>
    <row r="21022" spans="1:2" x14ac:dyDescent="0.25">
      <c r="A21022" s="2">
        <v>21017</v>
      </c>
      <c r="B21022" s="3" t="str">
        <f>"01016940"</f>
        <v>01016940</v>
      </c>
    </row>
    <row r="21023" spans="1:2" x14ac:dyDescent="0.25">
      <c r="A21023" s="2">
        <v>21018</v>
      </c>
      <c r="B21023" s="3" t="str">
        <f>"01016952"</f>
        <v>01016952</v>
      </c>
    </row>
    <row r="21024" spans="1:2" x14ac:dyDescent="0.25">
      <c r="A21024" s="2">
        <v>21019</v>
      </c>
      <c r="B21024" s="3" t="str">
        <f>"01016961"</f>
        <v>01016961</v>
      </c>
    </row>
    <row r="21025" spans="1:2" x14ac:dyDescent="0.25">
      <c r="A21025" s="2">
        <v>21020</v>
      </c>
      <c r="B21025" s="3" t="str">
        <f>"01016987"</f>
        <v>01016987</v>
      </c>
    </row>
    <row r="21026" spans="1:2" x14ac:dyDescent="0.25">
      <c r="A21026" s="2">
        <v>21021</v>
      </c>
      <c r="B21026" s="3" t="str">
        <f>"01017032"</f>
        <v>01017032</v>
      </c>
    </row>
    <row r="21027" spans="1:2" x14ac:dyDescent="0.25">
      <c r="A21027" s="2">
        <v>21022</v>
      </c>
      <c r="B21027" s="3" t="str">
        <f>"01017073"</f>
        <v>01017073</v>
      </c>
    </row>
    <row r="21028" spans="1:2" x14ac:dyDescent="0.25">
      <c r="A21028" s="2">
        <v>21023</v>
      </c>
      <c r="B21028" s="3" t="str">
        <f>"01017157"</f>
        <v>01017157</v>
      </c>
    </row>
    <row r="21029" spans="1:2" x14ac:dyDescent="0.25">
      <c r="A21029" s="2">
        <v>21024</v>
      </c>
      <c r="B21029" s="3" t="str">
        <f>"01017159"</f>
        <v>01017159</v>
      </c>
    </row>
    <row r="21030" spans="1:2" x14ac:dyDescent="0.25">
      <c r="A21030" s="2">
        <v>21025</v>
      </c>
      <c r="B21030" s="3" t="str">
        <f>"01017177"</f>
        <v>01017177</v>
      </c>
    </row>
    <row r="21031" spans="1:2" x14ac:dyDescent="0.25">
      <c r="A21031" s="2">
        <v>21026</v>
      </c>
      <c r="B21031" s="3" t="str">
        <f>"01017185"</f>
        <v>01017185</v>
      </c>
    </row>
    <row r="21032" spans="1:2" x14ac:dyDescent="0.25">
      <c r="A21032" s="2">
        <v>21027</v>
      </c>
      <c r="B21032" s="3" t="str">
        <f>"01017208"</f>
        <v>01017208</v>
      </c>
    </row>
    <row r="21033" spans="1:2" x14ac:dyDescent="0.25">
      <c r="A21033" s="2">
        <v>21028</v>
      </c>
      <c r="B21033" s="3" t="str">
        <f>"01017226"</f>
        <v>01017226</v>
      </c>
    </row>
    <row r="21034" spans="1:2" x14ac:dyDescent="0.25">
      <c r="A21034" s="2">
        <v>21029</v>
      </c>
      <c r="B21034" s="3" t="str">
        <f>"01017244"</f>
        <v>01017244</v>
      </c>
    </row>
    <row r="21035" spans="1:2" x14ac:dyDescent="0.25">
      <c r="A21035" s="2">
        <v>21030</v>
      </c>
      <c r="B21035" s="3" t="str">
        <f>"01017302"</f>
        <v>01017302</v>
      </c>
    </row>
    <row r="21036" spans="1:2" x14ac:dyDescent="0.25">
      <c r="A21036" s="2">
        <v>21031</v>
      </c>
      <c r="B21036" s="3" t="str">
        <f>"01017443"</f>
        <v>01017443</v>
      </c>
    </row>
    <row r="21037" spans="1:2" x14ac:dyDescent="0.25">
      <c r="A21037" s="2">
        <v>21032</v>
      </c>
      <c r="B21037" s="3" t="str">
        <f>"01017459"</f>
        <v>01017459</v>
      </c>
    </row>
    <row r="21038" spans="1:2" x14ac:dyDescent="0.25">
      <c r="A21038" s="2">
        <v>21033</v>
      </c>
      <c r="B21038" s="3" t="str">
        <f>"01017467"</f>
        <v>01017467</v>
      </c>
    </row>
    <row r="21039" spans="1:2" x14ac:dyDescent="0.25">
      <c r="A21039" s="2">
        <v>21034</v>
      </c>
      <c r="B21039" s="3" t="str">
        <f>"01017494"</f>
        <v>01017494</v>
      </c>
    </row>
    <row r="21040" spans="1:2" x14ac:dyDescent="0.25">
      <c r="A21040" s="2">
        <v>21035</v>
      </c>
      <c r="B21040" s="3" t="str">
        <f>"01017506"</f>
        <v>01017506</v>
      </c>
    </row>
    <row r="21041" spans="1:2" x14ac:dyDescent="0.25">
      <c r="A21041" s="2">
        <v>21036</v>
      </c>
      <c r="B21041" s="3" t="str">
        <f>"01017548"</f>
        <v>01017548</v>
      </c>
    </row>
    <row r="21042" spans="1:2" x14ac:dyDescent="0.25">
      <c r="A21042" s="2">
        <v>21037</v>
      </c>
      <c r="B21042" s="3" t="str">
        <f>"01017565"</f>
        <v>01017565</v>
      </c>
    </row>
    <row r="21043" spans="1:2" x14ac:dyDescent="0.25">
      <c r="A21043" s="2">
        <v>21038</v>
      </c>
      <c r="B21043" s="3" t="str">
        <f>"01017610"</f>
        <v>01017610</v>
      </c>
    </row>
    <row r="21044" spans="1:2" x14ac:dyDescent="0.25">
      <c r="A21044" s="2">
        <v>21039</v>
      </c>
      <c r="B21044" s="3" t="str">
        <f>"01017625"</f>
        <v>01017625</v>
      </c>
    </row>
    <row r="21045" spans="1:2" x14ac:dyDescent="0.25">
      <c r="A21045" s="2">
        <v>21040</v>
      </c>
      <c r="B21045" s="3" t="str">
        <f>"01017648"</f>
        <v>01017648</v>
      </c>
    </row>
    <row r="21046" spans="1:2" x14ac:dyDescent="0.25">
      <c r="A21046" s="2">
        <v>21041</v>
      </c>
      <c r="B21046" s="3" t="str">
        <f>"01017748"</f>
        <v>01017748</v>
      </c>
    </row>
    <row r="21047" spans="1:2" x14ac:dyDescent="0.25">
      <c r="A21047" s="2">
        <v>21042</v>
      </c>
      <c r="B21047" s="3" t="str">
        <f>"01017760"</f>
        <v>01017760</v>
      </c>
    </row>
    <row r="21048" spans="1:2" x14ac:dyDescent="0.25">
      <c r="A21048" s="2">
        <v>21043</v>
      </c>
      <c r="B21048" s="3" t="str">
        <f>"01017861"</f>
        <v>01017861</v>
      </c>
    </row>
    <row r="21049" spans="1:2" x14ac:dyDescent="0.25">
      <c r="A21049" s="2">
        <v>21044</v>
      </c>
      <c r="B21049" s="3" t="str">
        <f>"01017962"</f>
        <v>01017962</v>
      </c>
    </row>
    <row r="21050" spans="1:2" x14ac:dyDescent="0.25">
      <c r="A21050" s="2">
        <v>21045</v>
      </c>
      <c r="B21050" s="3" t="str">
        <f>"01018088"</f>
        <v>01018088</v>
      </c>
    </row>
    <row r="21051" spans="1:2" x14ac:dyDescent="0.25">
      <c r="A21051" s="2">
        <v>21046</v>
      </c>
      <c r="B21051" s="3" t="str">
        <f>"01018143"</f>
        <v>01018143</v>
      </c>
    </row>
    <row r="21052" spans="1:2" x14ac:dyDescent="0.25">
      <c r="A21052" s="2">
        <v>21047</v>
      </c>
      <c r="B21052" s="3" t="str">
        <f>"01018169"</f>
        <v>01018169</v>
      </c>
    </row>
    <row r="21053" spans="1:2" x14ac:dyDescent="0.25">
      <c r="A21053" s="2">
        <v>21048</v>
      </c>
      <c r="B21053" s="3" t="str">
        <f>"01018188"</f>
        <v>01018188</v>
      </c>
    </row>
    <row r="21054" spans="1:2" x14ac:dyDescent="0.25">
      <c r="A21054" s="2">
        <v>21049</v>
      </c>
      <c r="B21054" s="3" t="str">
        <f>"01018225"</f>
        <v>01018225</v>
      </c>
    </row>
    <row r="21055" spans="1:2" x14ac:dyDescent="0.25">
      <c r="A21055" s="2">
        <v>21050</v>
      </c>
      <c r="B21055" s="3" t="str">
        <f>"01018236"</f>
        <v>01018236</v>
      </c>
    </row>
    <row r="21056" spans="1:2" x14ac:dyDescent="0.25">
      <c r="A21056" s="2">
        <v>21051</v>
      </c>
      <c r="B21056" s="3" t="str">
        <f>"01018249"</f>
        <v>01018249</v>
      </c>
    </row>
    <row r="21057" spans="1:2" x14ac:dyDescent="0.25">
      <c r="A21057" s="2">
        <v>21052</v>
      </c>
      <c r="B21057" s="3" t="str">
        <f>"01018270"</f>
        <v>01018270</v>
      </c>
    </row>
    <row r="21058" spans="1:2" x14ac:dyDescent="0.25">
      <c r="A21058" s="2">
        <v>21053</v>
      </c>
      <c r="B21058" s="3" t="str">
        <f>"01018324"</f>
        <v>01018324</v>
      </c>
    </row>
    <row r="21059" spans="1:2" x14ac:dyDescent="0.25">
      <c r="A21059" s="2">
        <v>21054</v>
      </c>
      <c r="B21059" s="3" t="str">
        <f>"01018331"</f>
        <v>01018331</v>
      </c>
    </row>
    <row r="21060" spans="1:2" x14ac:dyDescent="0.25">
      <c r="A21060" s="2">
        <v>21055</v>
      </c>
      <c r="B21060" s="3" t="str">
        <f>"01018359"</f>
        <v>01018359</v>
      </c>
    </row>
    <row r="21061" spans="1:2" x14ac:dyDescent="0.25">
      <c r="A21061" s="2">
        <v>21056</v>
      </c>
      <c r="B21061" s="3" t="str">
        <f>"01018487"</f>
        <v>01018487</v>
      </c>
    </row>
    <row r="21062" spans="1:2" x14ac:dyDescent="0.25">
      <c r="A21062" s="2">
        <v>21057</v>
      </c>
      <c r="B21062" s="3" t="str">
        <f>"01018505"</f>
        <v>01018505</v>
      </c>
    </row>
    <row r="21063" spans="1:2" x14ac:dyDescent="0.25">
      <c r="A21063" s="2">
        <v>21058</v>
      </c>
      <c r="B21063" s="3" t="str">
        <f>"01018506"</f>
        <v>01018506</v>
      </c>
    </row>
    <row r="21064" spans="1:2" x14ac:dyDescent="0.25">
      <c r="A21064" s="2">
        <v>21059</v>
      </c>
      <c r="B21064" s="3" t="str">
        <f>"01018561"</f>
        <v>01018561</v>
      </c>
    </row>
    <row r="21065" spans="1:2" x14ac:dyDescent="0.25">
      <c r="A21065" s="2">
        <v>21060</v>
      </c>
      <c r="B21065" s="3" t="str">
        <f>"01018575"</f>
        <v>01018575</v>
      </c>
    </row>
    <row r="21066" spans="1:2" x14ac:dyDescent="0.25">
      <c r="A21066" s="2">
        <v>21061</v>
      </c>
      <c r="B21066" s="3" t="str">
        <f>"01018652"</f>
        <v>01018652</v>
      </c>
    </row>
    <row r="21067" spans="1:2" x14ac:dyDescent="0.25">
      <c r="A21067" s="2">
        <v>21062</v>
      </c>
      <c r="B21067" s="3" t="str">
        <f>"01018690"</f>
        <v>01018690</v>
      </c>
    </row>
    <row r="21068" spans="1:2" x14ac:dyDescent="0.25">
      <c r="A21068" s="2">
        <v>21063</v>
      </c>
      <c r="B21068" s="3" t="str">
        <f>"01018708"</f>
        <v>01018708</v>
      </c>
    </row>
    <row r="21069" spans="1:2" x14ac:dyDescent="0.25">
      <c r="A21069" s="2">
        <v>21064</v>
      </c>
      <c r="B21069" s="3" t="str">
        <f>"01018727"</f>
        <v>01018727</v>
      </c>
    </row>
    <row r="21070" spans="1:2" x14ac:dyDescent="0.25">
      <c r="A21070" s="2">
        <v>21065</v>
      </c>
      <c r="B21070" s="3" t="str">
        <f>"01018733"</f>
        <v>01018733</v>
      </c>
    </row>
    <row r="21071" spans="1:2" x14ac:dyDescent="0.25">
      <c r="A21071" s="2">
        <v>21066</v>
      </c>
      <c r="B21071" s="3" t="str">
        <f>"01018746"</f>
        <v>01018746</v>
      </c>
    </row>
    <row r="21072" spans="1:2" x14ac:dyDescent="0.25">
      <c r="A21072" s="2">
        <v>21067</v>
      </c>
      <c r="B21072" s="3" t="str">
        <f>"01018756"</f>
        <v>01018756</v>
      </c>
    </row>
    <row r="21073" spans="1:2" x14ac:dyDescent="0.25">
      <c r="A21073" s="2">
        <v>21068</v>
      </c>
      <c r="B21073" s="3" t="str">
        <f>"01018760"</f>
        <v>01018760</v>
      </c>
    </row>
    <row r="21074" spans="1:2" x14ac:dyDescent="0.25">
      <c r="A21074" s="2">
        <v>21069</v>
      </c>
      <c r="B21074" s="3" t="str">
        <f>"01018766"</f>
        <v>01018766</v>
      </c>
    </row>
    <row r="21075" spans="1:2" x14ac:dyDescent="0.25">
      <c r="A21075" s="2">
        <v>21070</v>
      </c>
      <c r="B21075" s="3" t="str">
        <f>"01018826"</f>
        <v>01018826</v>
      </c>
    </row>
    <row r="21076" spans="1:2" x14ac:dyDescent="0.25">
      <c r="A21076" s="2">
        <v>21071</v>
      </c>
      <c r="B21076" s="3" t="str">
        <f>"01018841"</f>
        <v>01018841</v>
      </c>
    </row>
    <row r="21077" spans="1:2" x14ac:dyDescent="0.25">
      <c r="A21077" s="2">
        <v>21072</v>
      </c>
      <c r="B21077" s="3" t="str">
        <f>"01018947"</f>
        <v>01018947</v>
      </c>
    </row>
    <row r="21078" spans="1:2" x14ac:dyDescent="0.25">
      <c r="A21078" s="2">
        <v>21073</v>
      </c>
      <c r="B21078" s="3" t="str">
        <f>"01018966"</f>
        <v>01018966</v>
      </c>
    </row>
    <row r="21079" spans="1:2" x14ac:dyDescent="0.25">
      <c r="A21079" s="2">
        <v>21074</v>
      </c>
      <c r="B21079" s="3" t="str">
        <f>"01018988"</f>
        <v>01018988</v>
      </c>
    </row>
    <row r="21080" spans="1:2" x14ac:dyDescent="0.25">
      <c r="A21080" s="2">
        <v>21075</v>
      </c>
      <c r="B21080" s="3" t="str">
        <f>"01019047"</f>
        <v>01019047</v>
      </c>
    </row>
    <row r="21081" spans="1:2" x14ac:dyDescent="0.25">
      <c r="A21081" s="2">
        <v>21076</v>
      </c>
      <c r="B21081" s="3" t="str">
        <f>"01019068"</f>
        <v>01019068</v>
      </c>
    </row>
    <row r="21082" spans="1:2" x14ac:dyDescent="0.25">
      <c r="A21082" s="2">
        <v>21077</v>
      </c>
      <c r="B21082" s="3" t="str">
        <f>"01019094"</f>
        <v>01019094</v>
      </c>
    </row>
    <row r="21083" spans="1:2" x14ac:dyDescent="0.25">
      <c r="A21083" s="2">
        <v>21078</v>
      </c>
      <c r="B21083" s="3" t="str">
        <f>"01019118"</f>
        <v>01019118</v>
      </c>
    </row>
    <row r="21084" spans="1:2" x14ac:dyDescent="0.25">
      <c r="A21084" s="2">
        <v>21079</v>
      </c>
      <c r="B21084" s="3" t="str">
        <f>"01019130"</f>
        <v>01019130</v>
      </c>
    </row>
    <row r="21085" spans="1:2" x14ac:dyDescent="0.25">
      <c r="A21085" s="2">
        <v>21080</v>
      </c>
      <c r="B21085" s="3" t="str">
        <f>"01019177"</f>
        <v>01019177</v>
      </c>
    </row>
    <row r="21086" spans="1:2" x14ac:dyDescent="0.25">
      <c r="A21086" s="2">
        <v>21081</v>
      </c>
      <c r="B21086" s="3" t="str">
        <f>"01019190"</f>
        <v>01019190</v>
      </c>
    </row>
    <row r="21087" spans="1:2" x14ac:dyDescent="0.25">
      <c r="A21087" s="2">
        <v>21082</v>
      </c>
      <c r="B21087" s="3" t="str">
        <f>"01019196"</f>
        <v>01019196</v>
      </c>
    </row>
    <row r="21088" spans="1:2" x14ac:dyDescent="0.25">
      <c r="A21088" s="2">
        <v>21083</v>
      </c>
      <c r="B21088" s="3" t="str">
        <f>"01019211"</f>
        <v>01019211</v>
      </c>
    </row>
    <row r="21089" spans="1:2" x14ac:dyDescent="0.25">
      <c r="A21089" s="2">
        <v>21084</v>
      </c>
      <c r="B21089" s="3" t="str">
        <f>"01019236"</f>
        <v>01019236</v>
      </c>
    </row>
    <row r="21090" spans="1:2" x14ac:dyDescent="0.25">
      <c r="A21090" s="2">
        <v>21085</v>
      </c>
      <c r="B21090" s="3" t="str">
        <f>"01019282"</f>
        <v>01019282</v>
      </c>
    </row>
    <row r="21091" spans="1:2" x14ac:dyDescent="0.25">
      <c r="A21091" s="2">
        <v>21086</v>
      </c>
      <c r="B21091" s="3" t="str">
        <f>"01019327"</f>
        <v>01019327</v>
      </c>
    </row>
    <row r="21092" spans="1:2" x14ac:dyDescent="0.25">
      <c r="A21092" s="2">
        <v>21087</v>
      </c>
      <c r="B21092" s="3" t="str">
        <f>"01019407"</f>
        <v>01019407</v>
      </c>
    </row>
    <row r="21093" spans="1:2" x14ac:dyDescent="0.25">
      <c r="A21093" s="2">
        <v>21088</v>
      </c>
      <c r="B21093" s="3" t="str">
        <f>"01019411"</f>
        <v>01019411</v>
      </c>
    </row>
    <row r="21094" spans="1:2" x14ac:dyDescent="0.25">
      <c r="A21094" s="2">
        <v>21089</v>
      </c>
      <c r="B21094" s="3" t="str">
        <f>"01019445"</f>
        <v>01019445</v>
      </c>
    </row>
    <row r="21095" spans="1:2" x14ac:dyDescent="0.25">
      <c r="A21095" s="2">
        <v>21090</v>
      </c>
      <c r="B21095" s="3" t="str">
        <f>"01019561"</f>
        <v>01019561</v>
      </c>
    </row>
    <row r="21096" spans="1:2" x14ac:dyDescent="0.25">
      <c r="A21096" s="2">
        <v>21091</v>
      </c>
      <c r="B21096" s="3" t="str">
        <f>"01019577"</f>
        <v>01019577</v>
      </c>
    </row>
    <row r="21097" spans="1:2" x14ac:dyDescent="0.25">
      <c r="A21097" s="2">
        <v>21092</v>
      </c>
      <c r="B21097" s="3" t="str">
        <f>"01019659"</f>
        <v>01019659</v>
      </c>
    </row>
    <row r="21098" spans="1:2" x14ac:dyDescent="0.25">
      <c r="A21098" s="2">
        <v>21093</v>
      </c>
      <c r="B21098" s="3" t="str">
        <f>"01019675"</f>
        <v>01019675</v>
      </c>
    </row>
    <row r="21099" spans="1:2" x14ac:dyDescent="0.25">
      <c r="A21099" s="2">
        <v>21094</v>
      </c>
      <c r="B21099" s="3" t="str">
        <f>"01019677"</f>
        <v>01019677</v>
      </c>
    </row>
    <row r="21100" spans="1:2" x14ac:dyDescent="0.25">
      <c r="A21100" s="2">
        <v>21095</v>
      </c>
      <c r="B21100" s="3" t="str">
        <f>"01019710"</f>
        <v>01019710</v>
      </c>
    </row>
    <row r="21101" spans="1:2" x14ac:dyDescent="0.25">
      <c r="A21101" s="2">
        <v>21096</v>
      </c>
      <c r="B21101" s="3" t="str">
        <f>"01019750"</f>
        <v>01019750</v>
      </c>
    </row>
    <row r="21102" spans="1:2" x14ac:dyDescent="0.25">
      <c r="A21102" s="2">
        <v>21097</v>
      </c>
      <c r="B21102" s="3" t="str">
        <f>"01019767"</f>
        <v>01019767</v>
      </c>
    </row>
    <row r="21103" spans="1:2" x14ac:dyDescent="0.25">
      <c r="A21103" s="2">
        <v>21098</v>
      </c>
      <c r="B21103" s="3" t="str">
        <f>"01019907"</f>
        <v>01019907</v>
      </c>
    </row>
    <row r="21104" spans="1:2" x14ac:dyDescent="0.25">
      <c r="A21104" s="2">
        <v>21099</v>
      </c>
      <c r="B21104" s="3" t="str">
        <f>"01019931"</f>
        <v>01019931</v>
      </c>
    </row>
    <row r="21105" spans="1:2" x14ac:dyDescent="0.25">
      <c r="A21105" s="2">
        <v>21100</v>
      </c>
      <c r="B21105" s="3" t="str">
        <f>"01020138"</f>
        <v>01020138</v>
      </c>
    </row>
    <row r="21106" spans="1:2" x14ac:dyDescent="0.25">
      <c r="A21106" s="2">
        <v>21101</v>
      </c>
      <c r="B21106" s="3" t="str">
        <f>"01020205"</f>
        <v>01020205</v>
      </c>
    </row>
    <row r="21107" spans="1:2" x14ac:dyDescent="0.25">
      <c r="A21107" s="2">
        <v>21102</v>
      </c>
      <c r="B21107" s="3" t="str">
        <f>"01020287"</f>
        <v>01020287</v>
      </c>
    </row>
    <row r="21108" spans="1:2" x14ac:dyDescent="0.25">
      <c r="A21108" s="2">
        <v>21103</v>
      </c>
      <c r="B21108" s="3" t="str">
        <f>"01020299"</f>
        <v>01020299</v>
      </c>
    </row>
    <row r="21109" spans="1:2" x14ac:dyDescent="0.25">
      <c r="A21109" s="2">
        <v>21104</v>
      </c>
      <c r="B21109" s="3" t="str">
        <f>"01020329"</f>
        <v>01020329</v>
      </c>
    </row>
    <row r="21110" spans="1:2" x14ac:dyDescent="0.25">
      <c r="A21110" s="2">
        <v>21105</v>
      </c>
      <c r="B21110" s="3" t="str">
        <f>"01020457"</f>
        <v>01020457</v>
      </c>
    </row>
    <row r="21111" spans="1:2" x14ac:dyDescent="0.25">
      <c r="A21111" s="2">
        <v>21106</v>
      </c>
      <c r="B21111" s="3" t="str">
        <f>"01020495"</f>
        <v>01020495</v>
      </c>
    </row>
    <row r="21112" spans="1:2" x14ac:dyDescent="0.25">
      <c r="A21112" s="2">
        <v>21107</v>
      </c>
      <c r="B21112" s="3" t="str">
        <f>"01020532"</f>
        <v>01020532</v>
      </c>
    </row>
    <row r="21113" spans="1:2" x14ac:dyDescent="0.25">
      <c r="A21113" s="2">
        <v>21108</v>
      </c>
      <c r="B21113" s="3" t="str">
        <f>"01020608"</f>
        <v>01020608</v>
      </c>
    </row>
    <row r="21114" spans="1:2" x14ac:dyDescent="0.25">
      <c r="A21114" s="2">
        <v>21109</v>
      </c>
      <c r="B21114" s="3" t="str">
        <f>"01020724"</f>
        <v>01020724</v>
      </c>
    </row>
    <row r="21115" spans="1:2" x14ac:dyDescent="0.25">
      <c r="A21115" s="2">
        <v>21110</v>
      </c>
      <c r="B21115" s="3" t="str">
        <f>"01020845"</f>
        <v>01020845</v>
      </c>
    </row>
    <row r="21116" spans="1:2" x14ac:dyDescent="0.25">
      <c r="A21116" s="2">
        <v>21111</v>
      </c>
      <c r="B21116" s="3" t="str">
        <f>"01020855"</f>
        <v>01020855</v>
      </c>
    </row>
    <row r="21117" spans="1:2" x14ac:dyDescent="0.25">
      <c r="A21117" s="2">
        <v>21112</v>
      </c>
      <c r="B21117" s="3" t="str">
        <f>"01020879"</f>
        <v>01020879</v>
      </c>
    </row>
    <row r="21118" spans="1:2" x14ac:dyDescent="0.25">
      <c r="A21118" s="2">
        <v>21113</v>
      </c>
      <c r="B21118" s="3" t="str">
        <f>"01020986"</f>
        <v>01020986</v>
      </c>
    </row>
    <row r="21119" spans="1:2" x14ac:dyDescent="0.25">
      <c r="A21119" s="2">
        <v>21114</v>
      </c>
      <c r="B21119" s="3" t="str">
        <f>"01021046"</f>
        <v>01021046</v>
      </c>
    </row>
    <row r="21120" spans="1:2" x14ac:dyDescent="0.25">
      <c r="A21120" s="2">
        <v>21115</v>
      </c>
      <c r="B21120" s="3" t="str">
        <f>"01021049"</f>
        <v>01021049</v>
      </c>
    </row>
    <row r="21121" spans="1:2" x14ac:dyDescent="0.25">
      <c r="A21121" s="2">
        <v>21116</v>
      </c>
      <c r="B21121" s="3" t="str">
        <f>"01021059"</f>
        <v>01021059</v>
      </c>
    </row>
    <row r="21122" spans="1:2" x14ac:dyDescent="0.25">
      <c r="A21122" s="2">
        <v>21117</v>
      </c>
      <c r="B21122" s="3" t="str">
        <f>"01021084"</f>
        <v>01021084</v>
      </c>
    </row>
    <row r="21123" spans="1:2" x14ac:dyDescent="0.25">
      <c r="A21123" s="2">
        <v>21118</v>
      </c>
      <c r="B21123" s="3" t="str">
        <f>"01021095"</f>
        <v>01021095</v>
      </c>
    </row>
    <row r="21124" spans="1:2" x14ac:dyDescent="0.25">
      <c r="A21124" s="2">
        <v>21119</v>
      </c>
      <c r="B21124" s="3" t="str">
        <f>"01021129"</f>
        <v>01021129</v>
      </c>
    </row>
    <row r="21125" spans="1:2" x14ac:dyDescent="0.25">
      <c r="A21125" s="2">
        <v>21120</v>
      </c>
      <c r="B21125" s="3" t="str">
        <f>"01021180"</f>
        <v>01021180</v>
      </c>
    </row>
    <row r="21126" spans="1:2" x14ac:dyDescent="0.25">
      <c r="A21126" s="2">
        <v>21121</v>
      </c>
      <c r="B21126" s="3" t="str">
        <f>"01021243"</f>
        <v>01021243</v>
      </c>
    </row>
    <row r="21127" spans="1:2" x14ac:dyDescent="0.25">
      <c r="A21127" s="2">
        <v>21122</v>
      </c>
      <c r="B21127" s="3" t="str">
        <f>"01021268"</f>
        <v>01021268</v>
      </c>
    </row>
    <row r="21128" spans="1:2" x14ac:dyDescent="0.25">
      <c r="A21128" s="2">
        <v>21123</v>
      </c>
      <c r="B21128" s="3" t="str">
        <f>"01021288"</f>
        <v>01021288</v>
      </c>
    </row>
    <row r="21129" spans="1:2" x14ac:dyDescent="0.25">
      <c r="A21129" s="2">
        <v>21124</v>
      </c>
      <c r="B21129" s="3" t="str">
        <f>"01021301"</f>
        <v>01021301</v>
      </c>
    </row>
    <row r="21130" spans="1:2" x14ac:dyDescent="0.25">
      <c r="A21130" s="2">
        <v>21125</v>
      </c>
      <c r="B21130" s="3" t="str">
        <f>"01021303"</f>
        <v>01021303</v>
      </c>
    </row>
    <row r="21131" spans="1:2" x14ac:dyDescent="0.25">
      <c r="A21131" s="2">
        <v>21126</v>
      </c>
      <c r="B21131" s="3" t="str">
        <f>"01021427"</f>
        <v>01021427</v>
      </c>
    </row>
    <row r="21132" spans="1:2" x14ac:dyDescent="0.25">
      <c r="A21132" s="2">
        <v>21127</v>
      </c>
      <c r="B21132" s="3" t="str">
        <f>"01021517"</f>
        <v>01021517</v>
      </c>
    </row>
    <row r="21133" spans="1:2" x14ac:dyDescent="0.25">
      <c r="A21133" s="2">
        <v>21128</v>
      </c>
      <c r="B21133" s="3" t="str">
        <f>"01021541"</f>
        <v>01021541</v>
      </c>
    </row>
    <row r="21134" spans="1:2" x14ac:dyDescent="0.25">
      <c r="A21134" s="2">
        <v>21129</v>
      </c>
      <c r="B21134" s="3" t="str">
        <f>"01021584"</f>
        <v>01021584</v>
      </c>
    </row>
    <row r="21135" spans="1:2" x14ac:dyDescent="0.25">
      <c r="A21135" s="2">
        <v>21130</v>
      </c>
      <c r="B21135" s="3" t="str">
        <f>"01021643"</f>
        <v>01021643</v>
      </c>
    </row>
    <row r="21136" spans="1:2" x14ac:dyDescent="0.25">
      <c r="A21136" s="2">
        <v>21131</v>
      </c>
      <c r="B21136" s="3" t="str">
        <f>"01021686"</f>
        <v>01021686</v>
      </c>
    </row>
    <row r="21137" spans="1:2" x14ac:dyDescent="0.25">
      <c r="A21137" s="2">
        <v>21132</v>
      </c>
      <c r="B21137" s="3" t="str">
        <f>"01021774"</f>
        <v>01021774</v>
      </c>
    </row>
    <row r="21138" spans="1:2" x14ac:dyDescent="0.25">
      <c r="A21138" s="2">
        <v>21133</v>
      </c>
      <c r="B21138" s="3" t="str">
        <f>"01021907"</f>
        <v>01021907</v>
      </c>
    </row>
    <row r="21139" spans="1:2" x14ac:dyDescent="0.25">
      <c r="A21139" s="2">
        <v>21134</v>
      </c>
      <c r="B21139" s="3" t="str">
        <f>"01022050"</f>
        <v>01022050</v>
      </c>
    </row>
    <row r="21140" spans="1:2" x14ac:dyDescent="0.25">
      <c r="A21140" s="2">
        <v>21135</v>
      </c>
      <c r="B21140" s="3" t="str">
        <f>"01022097"</f>
        <v>01022097</v>
      </c>
    </row>
    <row r="21141" spans="1:2" x14ac:dyDescent="0.25">
      <c r="A21141" s="2">
        <v>21136</v>
      </c>
      <c r="B21141" s="3" t="str">
        <f>"01022104"</f>
        <v>01022104</v>
      </c>
    </row>
    <row r="21142" spans="1:2" x14ac:dyDescent="0.25">
      <c r="A21142" s="2">
        <v>21137</v>
      </c>
      <c r="B21142" s="3" t="str">
        <f>"01022158"</f>
        <v>01022158</v>
      </c>
    </row>
    <row r="21143" spans="1:2" x14ac:dyDescent="0.25">
      <c r="A21143" s="2">
        <v>21138</v>
      </c>
      <c r="B21143" s="3" t="str">
        <f>"01022197"</f>
        <v>01022197</v>
      </c>
    </row>
    <row r="21144" spans="1:2" x14ac:dyDescent="0.25">
      <c r="A21144" s="2">
        <v>21139</v>
      </c>
      <c r="B21144" s="3" t="str">
        <f>"01022239"</f>
        <v>01022239</v>
      </c>
    </row>
    <row r="21145" spans="1:2" x14ac:dyDescent="0.25">
      <c r="A21145" s="2">
        <v>21140</v>
      </c>
      <c r="B21145" s="3" t="str">
        <f>"01022258"</f>
        <v>01022258</v>
      </c>
    </row>
    <row r="21146" spans="1:2" x14ac:dyDescent="0.25">
      <c r="A21146" s="2">
        <v>21141</v>
      </c>
      <c r="B21146" s="3" t="str">
        <f>"01022279"</f>
        <v>01022279</v>
      </c>
    </row>
    <row r="21147" spans="1:2" x14ac:dyDescent="0.25">
      <c r="A21147" s="2">
        <v>21142</v>
      </c>
      <c r="B21147" s="3" t="str">
        <f>"01022284"</f>
        <v>01022284</v>
      </c>
    </row>
    <row r="21148" spans="1:2" x14ac:dyDescent="0.25">
      <c r="A21148" s="2">
        <v>21143</v>
      </c>
      <c r="B21148" s="3" t="str">
        <f>"01022300"</f>
        <v>01022300</v>
      </c>
    </row>
    <row r="21149" spans="1:2" x14ac:dyDescent="0.25">
      <c r="A21149" s="2">
        <v>21144</v>
      </c>
      <c r="B21149" s="3" t="str">
        <f>"01022327"</f>
        <v>01022327</v>
      </c>
    </row>
    <row r="21150" spans="1:2" x14ac:dyDescent="0.25">
      <c r="A21150" s="2">
        <v>21145</v>
      </c>
      <c r="B21150" s="3" t="str">
        <f>"01022336"</f>
        <v>01022336</v>
      </c>
    </row>
    <row r="21151" spans="1:2" x14ac:dyDescent="0.25">
      <c r="A21151" s="2">
        <v>21146</v>
      </c>
      <c r="B21151" s="3" t="str">
        <f>"01022369"</f>
        <v>01022369</v>
      </c>
    </row>
    <row r="21152" spans="1:2" x14ac:dyDescent="0.25">
      <c r="A21152" s="2">
        <v>21147</v>
      </c>
      <c r="B21152" s="3" t="str">
        <f>"01022375"</f>
        <v>01022375</v>
      </c>
    </row>
    <row r="21153" spans="1:2" x14ac:dyDescent="0.25">
      <c r="A21153" s="2">
        <v>21148</v>
      </c>
      <c r="B21153" s="3" t="str">
        <f>"01022386"</f>
        <v>01022386</v>
      </c>
    </row>
    <row r="21154" spans="1:2" x14ac:dyDescent="0.25">
      <c r="A21154" s="2">
        <v>21149</v>
      </c>
      <c r="B21154" s="3" t="str">
        <f>"01022414"</f>
        <v>01022414</v>
      </c>
    </row>
    <row r="21155" spans="1:2" x14ac:dyDescent="0.25">
      <c r="A21155" s="2">
        <v>21150</v>
      </c>
      <c r="B21155" s="3" t="str">
        <f>"01022448"</f>
        <v>01022448</v>
      </c>
    </row>
    <row r="21156" spans="1:2" x14ac:dyDescent="0.25">
      <c r="A21156" s="2">
        <v>21151</v>
      </c>
      <c r="B21156" s="3" t="str">
        <f>"01022499"</f>
        <v>01022499</v>
      </c>
    </row>
    <row r="21157" spans="1:2" x14ac:dyDescent="0.25">
      <c r="A21157" s="2">
        <v>21152</v>
      </c>
      <c r="B21157" s="3" t="str">
        <f>"01022536"</f>
        <v>01022536</v>
      </c>
    </row>
    <row r="21158" spans="1:2" x14ac:dyDescent="0.25">
      <c r="A21158" s="2">
        <v>21153</v>
      </c>
      <c r="B21158" s="3" t="str">
        <f>"01022581"</f>
        <v>01022581</v>
      </c>
    </row>
    <row r="21159" spans="1:2" x14ac:dyDescent="0.25">
      <c r="A21159" s="2">
        <v>21154</v>
      </c>
      <c r="B21159" s="3" t="str">
        <f>"01022590"</f>
        <v>01022590</v>
      </c>
    </row>
    <row r="21160" spans="1:2" x14ac:dyDescent="0.25">
      <c r="A21160" s="2">
        <v>21155</v>
      </c>
      <c r="B21160" s="3" t="str">
        <f>"01022737"</f>
        <v>01022737</v>
      </c>
    </row>
    <row r="21161" spans="1:2" x14ac:dyDescent="0.25">
      <c r="A21161" s="2">
        <v>21156</v>
      </c>
      <c r="B21161" s="3" t="str">
        <f>"01022770"</f>
        <v>01022770</v>
      </c>
    </row>
    <row r="21162" spans="1:2" x14ac:dyDescent="0.25">
      <c r="A21162" s="2">
        <v>21157</v>
      </c>
      <c r="B21162" s="3" t="str">
        <f>"01022795"</f>
        <v>01022795</v>
      </c>
    </row>
    <row r="21163" spans="1:2" x14ac:dyDescent="0.25">
      <c r="A21163" s="2">
        <v>21158</v>
      </c>
      <c r="B21163" s="3" t="str">
        <f>"01022800"</f>
        <v>01022800</v>
      </c>
    </row>
    <row r="21164" spans="1:2" x14ac:dyDescent="0.25">
      <c r="A21164" s="2">
        <v>21159</v>
      </c>
      <c r="B21164" s="3" t="str">
        <f>"01022827"</f>
        <v>01022827</v>
      </c>
    </row>
    <row r="21165" spans="1:2" x14ac:dyDescent="0.25">
      <c r="A21165" s="2">
        <v>21160</v>
      </c>
      <c r="B21165" s="3" t="str">
        <f>"01022841"</f>
        <v>01022841</v>
      </c>
    </row>
    <row r="21166" spans="1:2" x14ac:dyDescent="0.25">
      <c r="A21166" s="2">
        <v>21161</v>
      </c>
      <c r="B21166" s="3" t="str">
        <f>"01022867"</f>
        <v>01022867</v>
      </c>
    </row>
    <row r="21167" spans="1:2" x14ac:dyDescent="0.25">
      <c r="A21167" s="2">
        <v>21162</v>
      </c>
      <c r="B21167" s="3" t="str">
        <f>"01022885"</f>
        <v>01022885</v>
      </c>
    </row>
    <row r="21168" spans="1:2" x14ac:dyDescent="0.25">
      <c r="A21168" s="2">
        <v>21163</v>
      </c>
      <c r="B21168" s="3" t="str">
        <f>"01022895"</f>
        <v>01022895</v>
      </c>
    </row>
    <row r="21169" spans="1:2" x14ac:dyDescent="0.25">
      <c r="A21169" s="2">
        <v>21164</v>
      </c>
      <c r="B21169" s="3" t="str">
        <f>"01022937"</f>
        <v>01022937</v>
      </c>
    </row>
    <row r="21170" spans="1:2" x14ac:dyDescent="0.25">
      <c r="A21170" s="2">
        <v>21165</v>
      </c>
      <c r="B21170" s="3" t="str">
        <f>"01022956"</f>
        <v>01022956</v>
      </c>
    </row>
    <row r="21171" spans="1:2" x14ac:dyDescent="0.25">
      <c r="A21171" s="2">
        <v>21166</v>
      </c>
      <c r="B21171" s="3" t="str">
        <f>"01022961"</f>
        <v>01022961</v>
      </c>
    </row>
    <row r="21172" spans="1:2" x14ac:dyDescent="0.25">
      <c r="A21172" s="2">
        <v>21167</v>
      </c>
      <c r="B21172" s="3" t="str">
        <f>"01022977"</f>
        <v>01022977</v>
      </c>
    </row>
    <row r="21173" spans="1:2" x14ac:dyDescent="0.25">
      <c r="A21173" s="2">
        <v>21168</v>
      </c>
      <c r="B21173" s="3" t="str">
        <f>"01023305"</f>
        <v>01023305</v>
      </c>
    </row>
    <row r="21174" spans="1:2" x14ac:dyDescent="0.25">
      <c r="A21174" s="2">
        <v>21169</v>
      </c>
      <c r="B21174" s="3" t="str">
        <f>"01023383"</f>
        <v>01023383</v>
      </c>
    </row>
    <row r="21175" spans="1:2" x14ac:dyDescent="0.25">
      <c r="A21175" s="2">
        <v>21170</v>
      </c>
      <c r="B21175" s="3" t="str">
        <f>"01023384"</f>
        <v>01023384</v>
      </c>
    </row>
    <row r="21176" spans="1:2" x14ac:dyDescent="0.25">
      <c r="A21176" s="2">
        <v>21171</v>
      </c>
      <c r="B21176" s="3" t="str">
        <f>"01023474"</f>
        <v>01023474</v>
      </c>
    </row>
    <row r="21177" spans="1:2" x14ac:dyDescent="0.25">
      <c r="A21177" s="2">
        <v>21172</v>
      </c>
      <c r="B21177" s="3" t="str">
        <f>"01023505"</f>
        <v>01023505</v>
      </c>
    </row>
    <row r="21178" spans="1:2" x14ac:dyDescent="0.25">
      <c r="A21178" s="2">
        <v>21173</v>
      </c>
      <c r="B21178" s="3" t="str">
        <f>"01023546"</f>
        <v>01023546</v>
      </c>
    </row>
    <row r="21179" spans="1:2" x14ac:dyDescent="0.25">
      <c r="A21179" s="2">
        <v>21174</v>
      </c>
      <c r="B21179" s="3" t="str">
        <f>"01023567"</f>
        <v>01023567</v>
      </c>
    </row>
    <row r="21180" spans="1:2" x14ac:dyDescent="0.25">
      <c r="A21180" s="2">
        <v>21175</v>
      </c>
      <c r="B21180" s="3" t="str">
        <f>"01023584"</f>
        <v>01023584</v>
      </c>
    </row>
    <row r="21181" spans="1:2" x14ac:dyDescent="0.25">
      <c r="A21181" s="2">
        <v>21176</v>
      </c>
      <c r="B21181" s="3" t="str">
        <f>"01023604"</f>
        <v>01023604</v>
      </c>
    </row>
    <row r="21182" spans="1:2" x14ac:dyDescent="0.25">
      <c r="A21182" s="2">
        <v>21177</v>
      </c>
      <c r="B21182" s="3" t="str">
        <f>"01023613"</f>
        <v>01023613</v>
      </c>
    </row>
    <row r="21183" spans="1:2" x14ac:dyDescent="0.25">
      <c r="A21183" s="2">
        <v>21178</v>
      </c>
      <c r="B21183" s="3" t="str">
        <f>"01023635"</f>
        <v>01023635</v>
      </c>
    </row>
    <row r="21184" spans="1:2" x14ac:dyDescent="0.25">
      <c r="A21184" s="2">
        <v>21179</v>
      </c>
      <c r="B21184" s="3" t="str">
        <f>"01023642"</f>
        <v>01023642</v>
      </c>
    </row>
    <row r="21185" spans="1:2" x14ac:dyDescent="0.25">
      <c r="A21185" s="2">
        <v>21180</v>
      </c>
      <c r="B21185" s="3" t="str">
        <f>"01023678"</f>
        <v>01023678</v>
      </c>
    </row>
    <row r="21186" spans="1:2" x14ac:dyDescent="0.25">
      <c r="A21186" s="2">
        <v>21181</v>
      </c>
      <c r="B21186" s="3" t="str">
        <f>"01023748"</f>
        <v>01023748</v>
      </c>
    </row>
    <row r="21187" spans="1:2" x14ac:dyDescent="0.25">
      <c r="A21187" s="2">
        <v>21182</v>
      </c>
      <c r="B21187" s="3" t="str">
        <f>"01023770"</f>
        <v>01023770</v>
      </c>
    </row>
    <row r="21188" spans="1:2" x14ac:dyDescent="0.25">
      <c r="A21188" s="2">
        <v>21183</v>
      </c>
      <c r="B21188" s="3" t="str">
        <f>"01023847"</f>
        <v>01023847</v>
      </c>
    </row>
    <row r="21189" spans="1:2" x14ac:dyDescent="0.25">
      <c r="A21189" s="2">
        <v>21184</v>
      </c>
      <c r="B21189" s="3" t="str">
        <f>"01023855"</f>
        <v>01023855</v>
      </c>
    </row>
    <row r="21190" spans="1:2" x14ac:dyDescent="0.25">
      <c r="A21190" s="2">
        <v>21185</v>
      </c>
      <c r="B21190" s="3" t="str">
        <f>"01023859"</f>
        <v>01023859</v>
      </c>
    </row>
    <row r="21191" spans="1:2" x14ac:dyDescent="0.25">
      <c r="A21191" s="2">
        <v>21186</v>
      </c>
      <c r="B21191" s="3" t="str">
        <f>"01023883"</f>
        <v>01023883</v>
      </c>
    </row>
    <row r="21192" spans="1:2" x14ac:dyDescent="0.25">
      <c r="A21192" s="2">
        <v>21187</v>
      </c>
      <c r="B21192" s="3" t="str">
        <f>"01023966"</f>
        <v>01023966</v>
      </c>
    </row>
    <row r="21193" spans="1:2" x14ac:dyDescent="0.25">
      <c r="A21193" s="2">
        <v>21188</v>
      </c>
      <c r="B21193" s="3" t="str">
        <f>"01024026"</f>
        <v>01024026</v>
      </c>
    </row>
    <row r="21194" spans="1:2" x14ac:dyDescent="0.25">
      <c r="A21194" s="2">
        <v>21189</v>
      </c>
      <c r="B21194" s="3" t="str">
        <f>"01024089"</f>
        <v>01024089</v>
      </c>
    </row>
    <row r="21195" spans="1:2" x14ac:dyDescent="0.25">
      <c r="A21195" s="2">
        <v>21190</v>
      </c>
      <c r="B21195" s="3" t="str">
        <f>"01024094"</f>
        <v>01024094</v>
      </c>
    </row>
    <row r="21196" spans="1:2" x14ac:dyDescent="0.25">
      <c r="A21196" s="2">
        <v>21191</v>
      </c>
      <c r="B21196" s="3" t="str">
        <f>"01024125"</f>
        <v>01024125</v>
      </c>
    </row>
    <row r="21197" spans="1:2" x14ac:dyDescent="0.25">
      <c r="A21197" s="2">
        <v>21192</v>
      </c>
      <c r="B21197" s="3" t="str">
        <f>"01024144"</f>
        <v>01024144</v>
      </c>
    </row>
    <row r="21198" spans="1:2" x14ac:dyDescent="0.25">
      <c r="A21198" s="2">
        <v>21193</v>
      </c>
      <c r="B21198" s="3" t="str">
        <f>"01024147"</f>
        <v>01024147</v>
      </c>
    </row>
    <row r="21199" spans="1:2" x14ac:dyDescent="0.25">
      <c r="A21199" s="2">
        <v>21194</v>
      </c>
      <c r="B21199" s="3" t="str">
        <f>"01024264"</f>
        <v>01024264</v>
      </c>
    </row>
    <row r="21200" spans="1:2" x14ac:dyDescent="0.25">
      <c r="A21200" s="2">
        <v>21195</v>
      </c>
      <c r="B21200" s="3" t="str">
        <f>"01024272"</f>
        <v>01024272</v>
      </c>
    </row>
    <row r="21201" spans="1:2" x14ac:dyDescent="0.25">
      <c r="A21201" s="2">
        <v>21196</v>
      </c>
      <c r="B21201" s="3" t="str">
        <f>"01024294"</f>
        <v>01024294</v>
      </c>
    </row>
    <row r="21202" spans="1:2" x14ac:dyDescent="0.25">
      <c r="A21202" s="2">
        <v>21197</v>
      </c>
      <c r="B21202" s="3" t="str">
        <f>"01024329"</f>
        <v>01024329</v>
      </c>
    </row>
    <row r="21203" spans="1:2" x14ac:dyDescent="0.25">
      <c r="A21203" s="2">
        <v>21198</v>
      </c>
      <c r="B21203" s="3" t="str">
        <f>"01024395"</f>
        <v>01024395</v>
      </c>
    </row>
    <row r="21204" spans="1:2" x14ac:dyDescent="0.25">
      <c r="A21204" s="2">
        <v>21199</v>
      </c>
      <c r="B21204" s="3" t="str">
        <f>"01024396"</f>
        <v>01024396</v>
      </c>
    </row>
    <row r="21205" spans="1:2" x14ac:dyDescent="0.25">
      <c r="A21205" s="2">
        <v>21200</v>
      </c>
      <c r="B21205" s="3" t="str">
        <f>"01024440"</f>
        <v>01024440</v>
      </c>
    </row>
    <row r="21206" spans="1:2" x14ac:dyDescent="0.25">
      <c r="A21206" s="2">
        <v>21201</v>
      </c>
      <c r="B21206" s="3" t="str">
        <f>"01024500"</f>
        <v>01024500</v>
      </c>
    </row>
    <row r="21207" spans="1:2" x14ac:dyDescent="0.25">
      <c r="A21207" s="2">
        <v>21202</v>
      </c>
      <c r="B21207" s="3" t="str">
        <f>"01024713"</f>
        <v>01024713</v>
      </c>
    </row>
    <row r="21208" spans="1:2" x14ac:dyDescent="0.25">
      <c r="A21208" s="2">
        <v>21203</v>
      </c>
      <c r="B21208" s="3" t="str">
        <f>"01024729"</f>
        <v>01024729</v>
      </c>
    </row>
    <row r="21209" spans="1:2" x14ac:dyDescent="0.25">
      <c r="A21209" s="2">
        <v>21204</v>
      </c>
      <c r="B21209" s="3" t="str">
        <f>"01024742"</f>
        <v>01024742</v>
      </c>
    </row>
    <row r="21210" spans="1:2" x14ac:dyDescent="0.25">
      <c r="A21210" s="2">
        <v>21205</v>
      </c>
      <c r="B21210" s="3" t="str">
        <f>"01024745"</f>
        <v>01024745</v>
      </c>
    </row>
    <row r="21211" spans="1:2" x14ac:dyDescent="0.25">
      <c r="A21211" s="2">
        <v>21206</v>
      </c>
      <c r="B21211" s="3" t="str">
        <f>"01024773"</f>
        <v>01024773</v>
      </c>
    </row>
    <row r="21212" spans="1:2" x14ac:dyDescent="0.25">
      <c r="A21212" s="2">
        <v>21207</v>
      </c>
      <c r="B21212" s="3" t="str">
        <f>"01024781"</f>
        <v>01024781</v>
      </c>
    </row>
    <row r="21213" spans="1:2" x14ac:dyDescent="0.25">
      <c r="A21213" s="2">
        <v>21208</v>
      </c>
      <c r="B21213" s="3" t="str">
        <f>"01024809"</f>
        <v>01024809</v>
      </c>
    </row>
    <row r="21214" spans="1:2" x14ac:dyDescent="0.25">
      <c r="A21214" s="2">
        <v>21209</v>
      </c>
      <c r="B21214" s="3" t="str">
        <f>"01024865"</f>
        <v>01024865</v>
      </c>
    </row>
    <row r="21215" spans="1:2" x14ac:dyDescent="0.25">
      <c r="A21215" s="2">
        <v>21210</v>
      </c>
      <c r="B21215" s="3" t="str">
        <f>"01024927"</f>
        <v>01024927</v>
      </c>
    </row>
    <row r="21216" spans="1:2" x14ac:dyDescent="0.25">
      <c r="A21216" s="2">
        <v>21211</v>
      </c>
      <c r="B21216" s="3" t="str">
        <f>"01024962"</f>
        <v>01024962</v>
      </c>
    </row>
    <row r="21217" spans="1:2" x14ac:dyDescent="0.25">
      <c r="A21217" s="2">
        <v>21212</v>
      </c>
      <c r="B21217" s="3" t="str">
        <f>"01024970"</f>
        <v>01024970</v>
      </c>
    </row>
    <row r="21218" spans="1:2" x14ac:dyDescent="0.25">
      <c r="A21218" s="2">
        <v>21213</v>
      </c>
      <c r="B21218" s="3" t="str">
        <f>"01024977"</f>
        <v>01024977</v>
      </c>
    </row>
    <row r="21219" spans="1:2" x14ac:dyDescent="0.25">
      <c r="A21219" s="2">
        <v>21214</v>
      </c>
      <c r="B21219" s="3" t="str">
        <f>"01025053"</f>
        <v>01025053</v>
      </c>
    </row>
    <row r="21220" spans="1:2" x14ac:dyDescent="0.25">
      <c r="A21220" s="2">
        <v>21215</v>
      </c>
      <c r="B21220" s="3" t="str">
        <f>"01025064"</f>
        <v>01025064</v>
      </c>
    </row>
    <row r="21221" spans="1:2" x14ac:dyDescent="0.25">
      <c r="A21221" s="2">
        <v>21216</v>
      </c>
      <c r="B21221" s="3" t="str">
        <f>"01025091"</f>
        <v>01025091</v>
      </c>
    </row>
    <row r="21222" spans="1:2" x14ac:dyDescent="0.25">
      <c r="A21222" s="2">
        <v>21217</v>
      </c>
      <c r="B21222" s="3" t="str">
        <f>"01025154"</f>
        <v>01025154</v>
      </c>
    </row>
    <row r="21223" spans="1:2" x14ac:dyDescent="0.25">
      <c r="A21223" s="2">
        <v>21218</v>
      </c>
      <c r="B21223" s="3" t="str">
        <f>"01025159"</f>
        <v>01025159</v>
      </c>
    </row>
    <row r="21224" spans="1:2" x14ac:dyDescent="0.25">
      <c r="A21224" s="2">
        <v>21219</v>
      </c>
      <c r="B21224" s="3" t="str">
        <f>"01025160"</f>
        <v>01025160</v>
      </c>
    </row>
    <row r="21225" spans="1:2" x14ac:dyDescent="0.25">
      <c r="A21225" s="2">
        <v>21220</v>
      </c>
      <c r="B21225" s="3" t="str">
        <f>"01025255"</f>
        <v>01025255</v>
      </c>
    </row>
    <row r="21226" spans="1:2" x14ac:dyDescent="0.25">
      <c r="A21226" s="2">
        <v>21221</v>
      </c>
      <c r="B21226" s="3" t="str">
        <f>"01025258"</f>
        <v>01025258</v>
      </c>
    </row>
    <row r="21227" spans="1:2" x14ac:dyDescent="0.25">
      <c r="A21227" s="2">
        <v>21222</v>
      </c>
      <c r="B21227" s="3" t="str">
        <f>"01025268"</f>
        <v>01025268</v>
      </c>
    </row>
    <row r="21228" spans="1:2" x14ac:dyDescent="0.25">
      <c r="A21228" s="2">
        <v>21223</v>
      </c>
      <c r="B21228" s="3" t="str">
        <f>"01025299"</f>
        <v>01025299</v>
      </c>
    </row>
    <row r="21229" spans="1:2" x14ac:dyDescent="0.25">
      <c r="A21229" s="2">
        <v>21224</v>
      </c>
      <c r="B21229" s="3" t="str">
        <f>"01025321"</f>
        <v>01025321</v>
      </c>
    </row>
    <row r="21230" spans="1:2" x14ac:dyDescent="0.25">
      <c r="A21230" s="2">
        <v>21225</v>
      </c>
      <c r="B21230" s="3" t="str">
        <f>"01025322"</f>
        <v>01025322</v>
      </c>
    </row>
    <row r="21231" spans="1:2" x14ac:dyDescent="0.25">
      <c r="A21231" s="2">
        <v>21226</v>
      </c>
      <c r="B21231" s="3" t="str">
        <f>"01025335"</f>
        <v>01025335</v>
      </c>
    </row>
    <row r="21232" spans="1:2" x14ac:dyDescent="0.25">
      <c r="A21232" s="2">
        <v>21227</v>
      </c>
      <c r="B21232" s="3" t="str">
        <f>"01025360"</f>
        <v>01025360</v>
      </c>
    </row>
    <row r="21233" spans="1:2" x14ac:dyDescent="0.25">
      <c r="A21233" s="2">
        <v>21228</v>
      </c>
      <c r="B21233" s="3" t="str">
        <f>"01025375"</f>
        <v>01025375</v>
      </c>
    </row>
    <row r="21234" spans="1:2" x14ac:dyDescent="0.25">
      <c r="A21234" s="2">
        <v>21229</v>
      </c>
      <c r="B21234" s="3" t="str">
        <f>"01025449"</f>
        <v>01025449</v>
      </c>
    </row>
    <row r="21235" spans="1:2" x14ac:dyDescent="0.25">
      <c r="A21235" s="2">
        <v>21230</v>
      </c>
      <c r="B21235" s="3" t="str">
        <f>"01025481"</f>
        <v>01025481</v>
      </c>
    </row>
    <row r="21236" spans="1:2" x14ac:dyDescent="0.25">
      <c r="A21236" s="2">
        <v>21231</v>
      </c>
      <c r="B21236" s="3" t="str">
        <f>"01025557"</f>
        <v>01025557</v>
      </c>
    </row>
    <row r="21237" spans="1:2" x14ac:dyDescent="0.25">
      <c r="A21237" s="2">
        <v>21232</v>
      </c>
      <c r="B21237" s="3" t="str">
        <f>"01025587"</f>
        <v>01025587</v>
      </c>
    </row>
    <row r="21238" spans="1:2" x14ac:dyDescent="0.25">
      <c r="A21238" s="2">
        <v>21233</v>
      </c>
      <c r="B21238" s="3" t="str">
        <f>"01025621"</f>
        <v>01025621</v>
      </c>
    </row>
    <row r="21239" spans="1:2" x14ac:dyDescent="0.25">
      <c r="A21239" s="2">
        <v>21234</v>
      </c>
      <c r="B21239" s="3" t="str">
        <f>"01025670"</f>
        <v>01025670</v>
      </c>
    </row>
    <row r="21240" spans="1:2" x14ac:dyDescent="0.25">
      <c r="A21240" s="2">
        <v>21235</v>
      </c>
      <c r="B21240" s="3" t="str">
        <f>"01025672"</f>
        <v>01025672</v>
      </c>
    </row>
    <row r="21241" spans="1:2" x14ac:dyDescent="0.25">
      <c r="A21241" s="2">
        <v>21236</v>
      </c>
      <c r="B21241" s="3" t="str">
        <f>"01025811"</f>
        <v>01025811</v>
      </c>
    </row>
    <row r="21242" spans="1:2" x14ac:dyDescent="0.25">
      <c r="A21242" s="2">
        <v>21237</v>
      </c>
      <c r="B21242" s="3" t="str">
        <f>"01025829"</f>
        <v>01025829</v>
      </c>
    </row>
    <row r="21243" spans="1:2" x14ac:dyDescent="0.25">
      <c r="A21243" s="2">
        <v>21238</v>
      </c>
      <c r="B21243" s="3" t="str">
        <f>"01025830"</f>
        <v>01025830</v>
      </c>
    </row>
    <row r="21244" spans="1:2" x14ac:dyDescent="0.25">
      <c r="A21244" s="2">
        <v>21239</v>
      </c>
      <c r="B21244" s="3" t="str">
        <f>"01025837"</f>
        <v>01025837</v>
      </c>
    </row>
    <row r="21245" spans="1:2" x14ac:dyDescent="0.25">
      <c r="A21245" s="2">
        <v>21240</v>
      </c>
      <c r="B21245" s="3" t="str">
        <f>"01025838"</f>
        <v>01025838</v>
      </c>
    </row>
    <row r="21246" spans="1:2" x14ac:dyDescent="0.25">
      <c r="A21246" s="2">
        <v>21241</v>
      </c>
      <c r="B21246" s="3" t="str">
        <f>"01025883"</f>
        <v>01025883</v>
      </c>
    </row>
    <row r="21247" spans="1:2" x14ac:dyDescent="0.25">
      <c r="A21247" s="2">
        <v>21242</v>
      </c>
      <c r="B21247" s="3" t="str">
        <f>"01025930"</f>
        <v>01025930</v>
      </c>
    </row>
    <row r="21248" spans="1:2" x14ac:dyDescent="0.25">
      <c r="A21248" s="2">
        <v>21243</v>
      </c>
      <c r="B21248" s="3" t="str">
        <f>"01025945"</f>
        <v>01025945</v>
      </c>
    </row>
    <row r="21249" spans="1:2" x14ac:dyDescent="0.25">
      <c r="A21249" s="2">
        <v>21244</v>
      </c>
      <c r="B21249" s="3" t="str">
        <f>"01025967"</f>
        <v>01025967</v>
      </c>
    </row>
    <row r="21250" spans="1:2" x14ac:dyDescent="0.25">
      <c r="A21250" s="2">
        <v>21245</v>
      </c>
      <c r="B21250" s="3" t="str">
        <f>"01025992"</f>
        <v>01025992</v>
      </c>
    </row>
    <row r="21251" spans="1:2" x14ac:dyDescent="0.25">
      <c r="A21251" s="2">
        <v>21246</v>
      </c>
      <c r="B21251" s="3" t="str">
        <f>"01026015"</f>
        <v>01026015</v>
      </c>
    </row>
    <row r="21252" spans="1:2" x14ac:dyDescent="0.25">
      <c r="A21252" s="2">
        <v>21247</v>
      </c>
      <c r="B21252" s="3" t="str">
        <f>"01026052"</f>
        <v>01026052</v>
      </c>
    </row>
    <row r="21253" spans="1:2" x14ac:dyDescent="0.25">
      <c r="A21253" s="2">
        <v>21248</v>
      </c>
      <c r="B21253" s="3" t="str">
        <f>"01026070"</f>
        <v>01026070</v>
      </c>
    </row>
    <row r="21254" spans="1:2" x14ac:dyDescent="0.25">
      <c r="A21254" s="2">
        <v>21249</v>
      </c>
      <c r="B21254" s="3" t="str">
        <f>"01026122"</f>
        <v>01026122</v>
      </c>
    </row>
    <row r="21255" spans="1:2" x14ac:dyDescent="0.25">
      <c r="A21255" s="2">
        <v>21250</v>
      </c>
      <c r="B21255" s="3" t="str">
        <f>"01026144"</f>
        <v>01026144</v>
      </c>
    </row>
    <row r="21256" spans="1:2" x14ac:dyDescent="0.25">
      <c r="A21256" s="2">
        <v>21251</v>
      </c>
      <c r="B21256" s="3" t="str">
        <f>"01026184"</f>
        <v>01026184</v>
      </c>
    </row>
    <row r="21257" spans="1:2" x14ac:dyDescent="0.25">
      <c r="A21257" s="2">
        <v>21252</v>
      </c>
      <c r="B21257" s="3" t="str">
        <f>"01026217"</f>
        <v>01026217</v>
      </c>
    </row>
    <row r="21258" spans="1:2" x14ac:dyDescent="0.25">
      <c r="A21258" s="2">
        <v>21253</v>
      </c>
      <c r="B21258" s="3" t="str">
        <f>"01026224"</f>
        <v>01026224</v>
      </c>
    </row>
    <row r="21259" spans="1:2" x14ac:dyDescent="0.25">
      <c r="A21259" s="2">
        <v>21254</v>
      </c>
      <c r="B21259" s="3" t="str">
        <f>"01026233"</f>
        <v>01026233</v>
      </c>
    </row>
    <row r="21260" spans="1:2" x14ac:dyDescent="0.25">
      <c r="A21260" s="2">
        <v>21255</v>
      </c>
      <c r="B21260" s="3" t="str">
        <f>"01026239"</f>
        <v>01026239</v>
      </c>
    </row>
    <row r="21261" spans="1:2" x14ac:dyDescent="0.25">
      <c r="A21261" s="2">
        <v>21256</v>
      </c>
      <c r="B21261" s="3" t="str">
        <f>"01026272"</f>
        <v>01026272</v>
      </c>
    </row>
    <row r="21262" spans="1:2" x14ac:dyDescent="0.25">
      <c r="A21262" s="2">
        <v>21257</v>
      </c>
      <c r="B21262" s="3" t="str">
        <f>"01026305"</f>
        <v>01026305</v>
      </c>
    </row>
    <row r="21263" spans="1:2" x14ac:dyDescent="0.25">
      <c r="A21263" s="2">
        <v>21258</v>
      </c>
      <c r="B21263" s="3" t="str">
        <f>"01026347"</f>
        <v>01026347</v>
      </c>
    </row>
    <row r="21264" spans="1:2" x14ac:dyDescent="0.25">
      <c r="A21264" s="2">
        <v>21259</v>
      </c>
      <c r="B21264" s="3" t="str">
        <f>"01026427"</f>
        <v>01026427</v>
      </c>
    </row>
    <row r="21265" spans="1:2" x14ac:dyDescent="0.25">
      <c r="A21265" s="2">
        <v>21260</v>
      </c>
      <c r="B21265" s="3" t="str">
        <f>"01026529"</f>
        <v>01026529</v>
      </c>
    </row>
    <row r="21266" spans="1:2" x14ac:dyDescent="0.25">
      <c r="A21266" s="2">
        <v>21261</v>
      </c>
      <c r="B21266" s="3" t="str">
        <f>"01026594"</f>
        <v>01026594</v>
      </c>
    </row>
    <row r="21267" spans="1:2" x14ac:dyDescent="0.25">
      <c r="A21267" s="2">
        <v>21262</v>
      </c>
      <c r="B21267" s="3" t="str">
        <f>"01026624"</f>
        <v>01026624</v>
      </c>
    </row>
    <row r="21268" spans="1:2" x14ac:dyDescent="0.25">
      <c r="A21268" s="2">
        <v>21263</v>
      </c>
      <c r="B21268" s="3" t="str">
        <f>"01026665"</f>
        <v>01026665</v>
      </c>
    </row>
    <row r="21269" spans="1:2" x14ac:dyDescent="0.25">
      <c r="A21269" s="2">
        <v>21264</v>
      </c>
      <c r="B21269" s="3" t="str">
        <f>"01026669"</f>
        <v>01026669</v>
      </c>
    </row>
    <row r="21270" spans="1:2" x14ac:dyDescent="0.25">
      <c r="A21270" s="2">
        <v>21265</v>
      </c>
      <c r="B21270" s="3" t="str">
        <f>"01026679"</f>
        <v>01026679</v>
      </c>
    </row>
    <row r="21271" spans="1:2" x14ac:dyDescent="0.25">
      <c r="A21271" s="2">
        <v>21266</v>
      </c>
      <c r="B21271" s="3" t="str">
        <f>"01026689"</f>
        <v>01026689</v>
      </c>
    </row>
    <row r="21272" spans="1:2" x14ac:dyDescent="0.25">
      <c r="A21272" s="2">
        <v>21267</v>
      </c>
      <c r="B21272" s="3" t="str">
        <f>"01026697"</f>
        <v>01026697</v>
      </c>
    </row>
    <row r="21273" spans="1:2" x14ac:dyDescent="0.25">
      <c r="A21273" s="2">
        <v>21268</v>
      </c>
      <c r="B21273" s="3" t="str">
        <f>"01026707"</f>
        <v>01026707</v>
      </c>
    </row>
    <row r="21274" spans="1:2" x14ac:dyDescent="0.25">
      <c r="A21274" s="2">
        <v>21269</v>
      </c>
      <c r="B21274" s="3" t="str">
        <f>"01026738"</f>
        <v>01026738</v>
      </c>
    </row>
    <row r="21275" spans="1:2" x14ac:dyDescent="0.25">
      <c r="A21275" s="2">
        <v>21270</v>
      </c>
      <c r="B21275" s="3" t="str">
        <f>"01026751"</f>
        <v>01026751</v>
      </c>
    </row>
    <row r="21276" spans="1:2" x14ac:dyDescent="0.25">
      <c r="A21276" s="2">
        <v>21271</v>
      </c>
      <c r="B21276" s="3" t="str">
        <f>"01026784"</f>
        <v>01026784</v>
      </c>
    </row>
    <row r="21277" spans="1:2" x14ac:dyDescent="0.25">
      <c r="A21277" s="2">
        <v>21272</v>
      </c>
      <c r="B21277" s="3" t="str">
        <f>"01026802"</f>
        <v>01026802</v>
      </c>
    </row>
    <row r="21278" spans="1:2" x14ac:dyDescent="0.25">
      <c r="A21278" s="2">
        <v>21273</v>
      </c>
      <c r="B21278" s="3" t="str">
        <f>"01026832"</f>
        <v>01026832</v>
      </c>
    </row>
    <row r="21279" spans="1:2" x14ac:dyDescent="0.25">
      <c r="A21279" s="2">
        <v>21274</v>
      </c>
      <c r="B21279" s="3" t="str">
        <f>"01026844"</f>
        <v>01026844</v>
      </c>
    </row>
    <row r="21280" spans="1:2" x14ac:dyDescent="0.25">
      <c r="A21280" s="2">
        <v>21275</v>
      </c>
      <c r="B21280" s="3" t="str">
        <f>"01026869"</f>
        <v>01026869</v>
      </c>
    </row>
    <row r="21281" spans="1:2" x14ac:dyDescent="0.25">
      <c r="A21281" s="2">
        <v>21276</v>
      </c>
      <c r="B21281" s="3" t="str">
        <f>"01026874"</f>
        <v>01026874</v>
      </c>
    </row>
    <row r="21282" spans="1:2" x14ac:dyDescent="0.25">
      <c r="A21282" s="2">
        <v>21277</v>
      </c>
      <c r="B21282" s="3" t="str">
        <f>"01026876"</f>
        <v>01026876</v>
      </c>
    </row>
    <row r="21283" spans="1:2" x14ac:dyDescent="0.25">
      <c r="A21283" s="2">
        <v>21278</v>
      </c>
      <c r="B21283" s="3" t="str">
        <f>"01026884"</f>
        <v>01026884</v>
      </c>
    </row>
    <row r="21284" spans="1:2" x14ac:dyDescent="0.25">
      <c r="A21284" s="2">
        <v>21279</v>
      </c>
      <c r="B21284" s="3" t="str">
        <f>"01026885"</f>
        <v>01026885</v>
      </c>
    </row>
    <row r="21285" spans="1:2" x14ac:dyDescent="0.25">
      <c r="A21285" s="2">
        <v>21280</v>
      </c>
      <c r="B21285" s="3" t="str">
        <f>"01026910"</f>
        <v>01026910</v>
      </c>
    </row>
    <row r="21286" spans="1:2" x14ac:dyDescent="0.25">
      <c r="A21286" s="2">
        <v>21281</v>
      </c>
      <c r="B21286" s="3" t="str">
        <f>"01026959"</f>
        <v>01026959</v>
      </c>
    </row>
    <row r="21287" spans="1:2" x14ac:dyDescent="0.25">
      <c r="A21287" s="2">
        <v>21282</v>
      </c>
      <c r="B21287" s="3" t="str">
        <f>"01026969"</f>
        <v>01026969</v>
      </c>
    </row>
    <row r="21288" spans="1:2" x14ac:dyDescent="0.25">
      <c r="A21288" s="2">
        <v>21283</v>
      </c>
      <c r="B21288" s="3" t="str">
        <f>"01026988"</f>
        <v>01026988</v>
      </c>
    </row>
    <row r="21289" spans="1:2" x14ac:dyDescent="0.25">
      <c r="A21289" s="2">
        <v>21284</v>
      </c>
      <c r="B21289" s="3" t="str">
        <f>"01027003"</f>
        <v>01027003</v>
      </c>
    </row>
    <row r="21290" spans="1:2" x14ac:dyDescent="0.25">
      <c r="A21290" s="2">
        <v>21285</v>
      </c>
      <c r="B21290" s="3" t="str">
        <f>"01027030"</f>
        <v>01027030</v>
      </c>
    </row>
    <row r="21291" spans="1:2" x14ac:dyDescent="0.25">
      <c r="A21291" s="2">
        <v>21286</v>
      </c>
      <c r="B21291" s="3" t="str">
        <f>"01027103"</f>
        <v>01027103</v>
      </c>
    </row>
    <row r="21292" spans="1:2" x14ac:dyDescent="0.25">
      <c r="A21292" s="2">
        <v>21287</v>
      </c>
      <c r="B21292" s="3" t="str">
        <f>"01027115"</f>
        <v>01027115</v>
      </c>
    </row>
    <row r="21293" spans="1:2" x14ac:dyDescent="0.25">
      <c r="A21293" s="2">
        <v>21288</v>
      </c>
      <c r="B21293" s="3" t="str">
        <f>"01027165"</f>
        <v>01027165</v>
      </c>
    </row>
    <row r="21294" spans="1:2" x14ac:dyDescent="0.25">
      <c r="A21294" s="2">
        <v>21289</v>
      </c>
      <c r="B21294" s="3" t="str">
        <f>"01027195"</f>
        <v>01027195</v>
      </c>
    </row>
    <row r="21295" spans="1:2" x14ac:dyDescent="0.25">
      <c r="A21295" s="2">
        <v>21290</v>
      </c>
      <c r="B21295" s="3" t="str">
        <f>"01027208"</f>
        <v>01027208</v>
      </c>
    </row>
    <row r="21296" spans="1:2" x14ac:dyDescent="0.25">
      <c r="A21296" s="2">
        <v>21291</v>
      </c>
      <c r="B21296" s="3" t="str">
        <f>"01027229"</f>
        <v>01027229</v>
      </c>
    </row>
    <row r="21297" spans="1:2" x14ac:dyDescent="0.25">
      <c r="A21297" s="2">
        <v>21292</v>
      </c>
      <c r="B21297" s="3" t="str">
        <f>"01027348"</f>
        <v>01027348</v>
      </c>
    </row>
    <row r="21298" spans="1:2" x14ac:dyDescent="0.25">
      <c r="A21298" s="2">
        <v>21293</v>
      </c>
      <c r="B21298" s="3" t="str">
        <f>"01027359"</f>
        <v>01027359</v>
      </c>
    </row>
    <row r="21299" spans="1:2" x14ac:dyDescent="0.25">
      <c r="A21299" s="2">
        <v>21294</v>
      </c>
      <c r="B21299" s="3" t="str">
        <f>"01027364"</f>
        <v>01027364</v>
      </c>
    </row>
    <row r="21300" spans="1:2" x14ac:dyDescent="0.25">
      <c r="A21300" s="2">
        <v>21295</v>
      </c>
      <c r="B21300" s="3" t="str">
        <f>"01027376"</f>
        <v>01027376</v>
      </c>
    </row>
    <row r="21301" spans="1:2" x14ac:dyDescent="0.25">
      <c r="A21301" s="2">
        <v>21296</v>
      </c>
      <c r="B21301" s="3" t="str">
        <f>"01027394"</f>
        <v>01027394</v>
      </c>
    </row>
    <row r="21302" spans="1:2" x14ac:dyDescent="0.25">
      <c r="A21302" s="2">
        <v>21297</v>
      </c>
      <c r="B21302" s="3" t="str">
        <f>"01027430"</f>
        <v>01027430</v>
      </c>
    </row>
    <row r="21303" spans="1:2" x14ac:dyDescent="0.25">
      <c r="A21303" s="2">
        <v>21298</v>
      </c>
      <c r="B21303" s="3" t="str">
        <f>"01027445"</f>
        <v>01027445</v>
      </c>
    </row>
    <row r="21304" spans="1:2" x14ac:dyDescent="0.25">
      <c r="A21304" s="2">
        <v>21299</v>
      </c>
      <c r="B21304" s="3" t="str">
        <f>"01027495"</f>
        <v>01027495</v>
      </c>
    </row>
    <row r="21305" spans="1:2" x14ac:dyDescent="0.25">
      <c r="A21305" s="2">
        <v>21300</v>
      </c>
      <c r="B21305" s="3" t="str">
        <f>"01027532"</f>
        <v>01027532</v>
      </c>
    </row>
    <row r="21306" spans="1:2" x14ac:dyDescent="0.25">
      <c r="A21306" s="2">
        <v>21301</v>
      </c>
      <c r="B21306" s="3" t="str">
        <f>"01027576"</f>
        <v>01027576</v>
      </c>
    </row>
    <row r="21307" spans="1:2" x14ac:dyDescent="0.25">
      <c r="A21307" s="2">
        <v>21302</v>
      </c>
      <c r="B21307" s="3" t="str">
        <f>"01027592"</f>
        <v>01027592</v>
      </c>
    </row>
    <row r="21308" spans="1:2" x14ac:dyDescent="0.25">
      <c r="A21308" s="2">
        <v>21303</v>
      </c>
      <c r="B21308" s="3" t="str">
        <f>"01027608"</f>
        <v>01027608</v>
      </c>
    </row>
    <row r="21309" spans="1:2" x14ac:dyDescent="0.25">
      <c r="A21309" s="2">
        <v>21304</v>
      </c>
      <c r="B21309" s="3" t="str">
        <f>"01027654"</f>
        <v>01027654</v>
      </c>
    </row>
    <row r="21310" spans="1:2" x14ac:dyDescent="0.25">
      <c r="A21310" s="2">
        <v>21305</v>
      </c>
      <c r="B21310" s="3" t="str">
        <f>"01027735"</f>
        <v>01027735</v>
      </c>
    </row>
    <row r="21311" spans="1:2" x14ac:dyDescent="0.25">
      <c r="A21311" s="2">
        <v>21306</v>
      </c>
      <c r="B21311" s="3" t="str">
        <f>"01027770"</f>
        <v>01027770</v>
      </c>
    </row>
    <row r="21312" spans="1:2" x14ac:dyDescent="0.25">
      <c r="A21312" s="2">
        <v>21307</v>
      </c>
      <c r="B21312" s="3" t="str">
        <f>"01027779"</f>
        <v>01027779</v>
      </c>
    </row>
    <row r="21313" spans="1:2" x14ac:dyDescent="0.25">
      <c r="A21313" s="2">
        <v>21308</v>
      </c>
      <c r="B21313" s="3" t="str">
        <f>"01027881"</f>
        <v>01027881</v>
      </c>
    </row>
    <row r="21314" spans="1:2" x14ac:dyDescent="0.25">
      <c r="A21314" s="2">
        <v>21309</v>
      </c>
      <c r="B21314" s="3" t="str">
        <f>"01027942"</f>
        <v>01027942</v>
      </c>
    </row>
    <row r="21315" spans="1:2" x14ac:dyDescent="0.25">
      <c r="A21315" s="2">
        <v>21310</v>
      </c>
      <c r="B21315" s="3" t="str">
        <f>"01028024"</f>
        <v>01028024</v>
      </c>
    </row>
    <row r="21316" spans="1:2" x14ac:dyDescent="0.25">
      <c r="A21316" s="2">
        <v>21311</v>
      </c>
      <c r="B21316" s="3" t="str">
        <f>"01028057"</f>
        <v>01028057</v>
      </c>
    </row>
    <row r="21317" spans="1:2" x14ac:dyDescent="0.25">
      <c r="A21317" s="2">
        <v>21312</v>
      </c>
      <c r="B21317" s="3" t="str">
        <f>"01028072"</f>
        <v>01028072</v>
      </c>
    </row>
    <row r="21318" spans="1:2" x14ac:dyDescent="0.25">
      <c r="A21318" s="2">
        <v>21313</v>
      </c>
      <c r="B21318" s="3" t="str">
        <f>"01028144"</f>
        <v>01028144</v>
      </c>
    </row>
    <row r="21319" spans="1:2" x14ac:dyDescent="0.25">
      <c r="A21319" s="2">
        <v>21314</v>
      </c>
      <c r="B21319" s="3" t="str">
        <f>"01028232"</f>
        <v>01028232</v>
      </c>
    </row>
    <row r="21320" spans="1:2" x14ac:dyDescent="0.25">
      <c r="A21320" s="2">
        <v>21315</v>
      </c>
      <c r="B21320" s="3" t="str">
        <f>"01028247"</f>
        <v>01028247</v>
      </c>
    </row>
    <row r="21321" spans="1:2" x14ac:dyDescent="0.25">
      <c r="A21321" s="2">
        <v>21316</v>
      </c>
      <c r="B21321" s="3" t="str">
        <f>"01028332"</f>
        <v>01028332</v>
      </c>
    </row>
    <row r="21322" spans="1:2" x14ac:dyDescent="0.25">
      <c r="A21322" s="2">
        <v>21317</v>
      </c>
      <c r="B21322" s="3" t="str">
        <f>"01028415"</f>
        <v>01028415</v>
      </c>
    </row>
    <row r="21323" spans="1:2" x14ac:dyDescent="0.25">
      <c r="A21323" s="2">
        <v>21318</v>
      </c>
      <c r="B21323" s="3" t="str">
        <f>"01028433"</f>
        <v>01028433</v>
      </c>
    </row>
    <row r="21324" spans="1:2" x14ac:dyDescent="0.25">
      <c r="A21324" s="2">
        <v>21319</v>
      </c>
      <c r="B21324" s="3" t="str">
        <f>"01028468"</f>
        <v>01028468</v>
      </c>
    </row>
    <row r="21325" spans="1:2" x14ac:dyDescent="0.25">
      <c r="A21325" s="2">
        <v>21320</v>
      </c>
      <c r="B21325" s="3" t="str">
        <f>"01028507"</f>
        <v>01028507</v>
      </c>
    </row>
    <row r="21326" spans="1:2" x14ac:dyDescent="0.25">
      <c r="A21326" s="2">
        <v>21321</v>
      </c>
      <c r="B21326" s="3" t="str">
        <f>"01028514"</f>
        <v>01028514</v>
      </c>
    </row>
    <row r="21327" spans="1:2" x14ac:dyDescent="0.25">
      <c r="A21327" s="2">
        <v>21322</v>
      </c>
      <c r="B21327" s="3" t="str">
        <f>"01028542"</f>
        <v>01028542</v>
      </c>
    </row>
    <row r="21328" spans="1:2" x14ac:dyDescent="0.25">
      <c r="A21328" s="2">
        <v>21323</v>
      </c>
      <c r="B21328" s="3" t="str">
        <f>"01028544"</f>
        <v>01028544</v>
      </c>
    </row>
    <row r="21329" spans="1:2" x14ac:dyDescent="0.25">
      <c r="A21329" s="2">
        <v>21324</v>
      </c>
      <c r="B21329" s="3" t="str">
        <f>"01028545"</f>
        <v>01028545</v>
      </c>
    </row>
    <row r="21330" spans="1:2" x14ac:dyDescent="0.25">
      <c r="A21330" s="2">
        <v>21325</v>
      </c>
      <c r="B21330" s="3" t="str">
        <f>"01028615"</f>
        <v>01028615</v>
      </c>
    </row>
    <row r="21331" spans="1:2" x14ac:dyDescent="0.25">
      <c r="A21331" s="2">
        <v>21326</v>
      </c>
      <c r="B21331" s="3" t="str">
        <f>"01028662"</f>
        <v>01028662</v>
      </c>
    </row>
    <row r="21332" spans="1:2" x14ac:dyDescent="0.25">
      <c r="A21332" s="2">
        <v>21327</v>
      </c>
      <c r="B21332" s="3" t="str">
        <f>"01028695"</f>
        <v>01028695</v>
      </c>
    </row>
    <row r="21333" spans="1:2" x14ac:dyDescent="0.25">
      <c r="A21333" s="2">
        <v>21328</v>
      </c>
      <c r="B21333" s="3" t="str">
        <f>"01028696"</f>
        <v>01028696</v>
      </c>
    </row>
    <row r="21334" spans="1:2" x14ac:dyDescent="0.25">
      <c r="A21334" s="2">
        <v>21329</v>
      </c>
      <c r="B21334" s="3" t="str">
        <f>"01028708"</f>
        <v>01028708</v>
      </c>
    </row>
    <row r="21335" spans="1:2" x14ac:dyDescent="0.25">
      <c r="A21335" s="2">
        <v>21330</v>
      </c>
      <c r="B21335" s="3" t="str">
        <f>"01028712"</f>
        <v>01028712</v>
      </c>
    </row>
    <row r="21336" spans="1:2" x14ac:dyDescent="0.25">
      <c r="A21336" s="2">
        <v>21331</v>
      </c>
      <c r="B21336" s="3" t="str">
        <f>"01028785"</f>
        <v>01028785</v>
      </c>
    </row>
    <row r="21337" spans="1:2" x14ac:dyDescent="0.25">
      <c r="A21337" s="2">
        <v>21332</v>
      </c>
      <c r="B21337" s="3" t="str">
        <f>"01028828"</f>
        <v>01028828</v>
      </c>
    </row>
    <row r="21338" spans="1:2" x14ac:dyDescent="0.25">
      <c r="A21338" s="2">
        <v>21333</v>
      </c>
      <c r="B21338" s="3" t="str">
        <f>"01028860"</f>
        <v>01028860</v>
      </c>
    </row>
    <row r="21339" spans="1:2" x14ac:dyDescent="0.25">
      <c r="A21339" s="2">
        <v>21334</v>
      </c>
      <c r="B21339" s="3" t="str">
        <f>"01028923"</f>
        <v>01028923</v>
      </c>
    </row>
    <row r="21340" spans="1:2" x14ac:dyDescent="0.25">
      <c r="A21340" s="2">
        <v>21335</v>
      </c>
      <c r="B21340" s="3" t="str">
        <f>"01028934"</f>
        <v>01028934</v>
      </c>
    </row>
    <row r="21341" spans="1:2" x14ac:dyDescent="0.25">
      <c r="A21341" s="2">
        <v>21336</v>
      </c>
      <c r="B21341" s="3" t="str">
        <f>"01028948"</f>
        <v>01028948</v>
      </c>
    </row>
    <row r="21342" spans="1:2" x14ac:dyDescent="0.25">
      <c r="A21342" s="2">
        <v>21337</v>
      </c>
      <c r="B21342" s="3" t="str">
        <f>"01028993"</f>
        <v>01028993</v>
      </c>
    </row>
    <row r="21343" spans="1:2" x14ac:dyDescent="0.25">
      <c r="A21343" s="2">
        <v>21338</v>
      </c>
      <c r="B21343" s="3" t="str">
        <f>"01028999"</f>
        <v>01028999</v>
      </c>
    </row>
    <row r="21344" spans="1:2" x14ac:dyDescent="0.25">
      <c r="A21344" s="2">
        <v>21339</v>
      </c>
      <c r="B21344" s="3" t="str">
        <f>"01029020"</f>
        <v>01029020</v>
      </c>
    </row>
    <row r="21345" spans="1:2" x14ac:dyDescent="0.25">
      <c r="A21345" s="2">
        <v>21340</v>
      </c>
      <c r="B21345" s="3" t="str">
        <f>"01029058"</f>
        <v>01029058</v>
      </c>
    </row>
    <row r="21346" spans="1:2" x14ac:dyDescent="0.25">
      <c r="A21346" s="2">
        <v>21341</v>
      </c>
      <c r="B21346" s="3" t="str">
        <f>"01029080"</f>
        <v>01029080</v>
      </c>
    </row>
    <row r="21347" spans="1:2" x14ac:dyDescent="0.25">
      <c r="A21347" s="2">
        <v>21342</v>
      </c>
      <c r="B21347" s="3" t="str">
        <f>"01029097"</f>
        <v>01029097</v>
      </c>
    </row>
    <row r="21348" spans="1:2" x14ac:dyDescent="0.25">
      <c r="A21348" s="2">
        <v>21343</v>
      </c>
      <c r="B21348" s="3" t="str">
        <f>"01029170"</f>
        <v>01029170</v>
      </c>
    </row>
    <row r="21349" spans="1:2" x14ac:dyDescent="0.25">
      <c r="A21349" s="2">
        <v>21344</v>
      </c>
      <c r="B21349" s="3" t="str">
        <f>"01029247"</f>
        <v>01029247</v>
      </c>
    </row>
    <row r="21350" spans="1:2" x14ac:dyDescent="0.25">
      <c r="A21350" s="2">
        <v>21345</v>
      </c>
      <c r="B21350" s="3" t="str">
        <f>"01029288"</f>
        <v>01029288</v>
      </c>
    </row>
    <row r="21351" spans="1:2" x14ac:dyDescent="0.25">
      <c r="A21351" s="2">
        <v>21346</v>
      </c>
      <c r="B21351" s="3" t="str">
        <f>"01029297"</f>
        <v>01029297</v>
      </c>
    </row>
    <row r="21352" spans="1:2" x14ac:dyDescent="0.25">
      <c r="A21352" s="2">
        <v>21347</v>
      </c>
      <c r="B21352" s="3" t="str">
        <f>"01029303"</f>
        <v>01029303</v>
      </c>
    </row>
    <row r="21353" spans="1:2" x14ac:dyDescent="0.25">
      <c r="A21353" s="2">
        <v>21348</v>
      </c>
      <c r="B21353" s="3" t="str">
        <f>"01029312"</f>
        <v>01029312</v>
      </c>
    </row>
    <row r="21354" spans="1:2" x14ac:dyDescent="0.25">
      <c r="A21354" s="2">
        <v>21349</v>
      </c>
      <c r="B21354" s="3" t="str">
        <f>"01029316"</f>
        <v>01029316</v>
      </c>
    </row>
    <row r="21355" spans="1:2" x14ac:dyDescent="0.25">
      <c r="A21355" s="2">
        <v>21350</v>
      </c>
      <c r="B21355" s="3" t="str">
        <f>"01029373"</f>
        <v>01029373</v>
      </c>
    </row>
    <row r="21356" spans="1:2" x14ac:dyDescent="0.25">
      <c r="A21356" s="2">
        <v>21351</v>
      </c>
      <c r="B21356" s="3" t="str">
        <f>"01029425"</f>
        <v>01029425</v>
      </c>
    </row>
    <row r="21357" spans="1:2" x14ac:dyDescent="0.25">
      <c r="A21357" s="2">
        <v>21352</v>
      </c>
      <c r="B21357" s="3" t="str">
        <f>"01029479"</f>
        <v>01029479</v>
      </c>
    </row>
    <row r="21358" spans="1:2" x14ac:dyDescent="0.25">
      <c r="A21358" s="2">
        <v>21353</v>
      </c>
      <c r="B21358" s="3" t="str">
        <f>"01029503"</f>
        <v>01029503</v>
      </c>
    </row>
    <row r="21359" spans="1:2" x14ac:dyDescent="0.25">
      <c r="A21359" s="2">
        <v>21354</v>
      </c>
      <c r="B21359" s="3" t="str">
        <f>"01029524"</f>
        <v>01029524</v>
      </c>
    </row>
    <row r="21360" spans="1:2" x14ac:dyDescent="0.25">
      <c r="A21360" s="2">
        <v>21355</v>
      </c>
      <c r="B21360" s="3" t="str">
        <f>"01029536"</f>
        <v>01029536</v>
      </c>
    </row>
    <row r="21361" spans="1:2" x14ac:dyDescent="0.25">
      <c r="A21361" s="2">
        <v>21356</v>
      </c>
      <c r="B21361" s="3" t="str">
        <f>"01029543"</f>
        <v>01029543</v>
      </c>
    </row>
    <row r="21362" spans="1:2" x14ac:dyDescent="0.25">
      <c r="A21362" s="2">
        <v>21357</v>
      </c>
      <c r="B21362" s="3" t="str">
        <f>"01029644"</f>
        <v>01029644</v>
      </c>
    </row>
    <row r="21363" spans="1:2" x14ac:dyDescent="0.25">
      <c r="A21363" s="2">
        <v>21358</v>
      </c>
      <c r="B21363" s="3" t="str">
        <f>"01029650"</f>
        <v>01029650</v>
      </c>
    </row>
    <row r="21364" spans="1:2" x14ac:dyDescent="0.25">
      <c r="A21364" s="2">
        <v>21359</v>
      </c>
      <c r="B21364" s="3" t="str">
        <f>"01029678"</f>
        <v>01029678</v>
      </c>
    </row>
    <row r="21365" spans="1:2" x14ac:dyDescent="0.25">
      <c r="A21365" s="2">
        <v>21360</v>
      </c>
      <c r="B21365" s="3" t="str">
        <f>"01029752"</f>
        <v>01029752</v>
      </c>
    </row>
    <row r="21366" spans="1:2" x14ac:dyDescent="0.25">
      <c r="A21366" s="2">
        <v>21361</v>
      </c>
      <c r="B21366" s="3" t="str">
        <f>"01029782"</f>
        <v>01029782</v>
      </c>
    </row>
    <row r="21367" spans="1:2" x14ac:dyDescent="0.25">
      <c r="A21367" s="2">
        <v>21362</v>
      </c>
      <c r="B21367" s="3" t="str">
        <f>"01029786"</f>
        <v>01029786</v>
      </c>
    </row>
    <row r="21368" spans="1:2" x14ac:dyDescent="0.25">
      <c r="A21368" s="2">
        <v>21363</v>
      </c>
      <c r="B21368" s="3" t="str">
        <f>"01029807"</f>
        <v>01029807</v>
      </c>
    </row>
    <row r="21369" spans="1:2" x14ac:dyDescent="0.25">
      <c r="A21369" s="2">
        <v>21364</v>
      </c>
      <c r="B21369" s="3" t="str">
        <f>"01029825"</f>
        <v>01029825</v>
      </c>
    </row>
    <row r="21370" spans="1:2" x14ac:dyDescent="0.25">
      <c r="A21370" s="2">
        <v>21365</v>
      </c>
      <c r="B21370" s="3" t="str">
        <f>"01029859"</f>
        <v>01029859</v>
      </c>
    </row>
    <row r="21371" spans="1:2" x14ac:dyDescent="0.25">
      <c r="A21371" s="2">
        <v>21366</v>
      </c>
      <c r="B21371" s="3" t="str">
        <f>"01029887"</f>
        <v>01029887</v>
      </c>
    </row>
    <row r="21372" spans="1:2" x14ac:dyDescent="0.25">
      <c r="A21372" s="2">
        <v>21367</v>
      </c>
      <c r="B21372" s="3" t="str">
        <f>"01029929"</f>
        <v>01029929</v>
      </c>
    </row>
    <row r="21373" spans="1:2" x14ac:dyDescent="0.25">
      <c r="A21373" s="2">
        <v>21368</v>
      </c>
      <c r="B21373" s="3" t="str">
        <f>"01029943"</f>
        <v>01029943</v>
      </c>
    </row>
    <row r="21374" spans="1:2" x14ac:dyDescent="0.25">
      <c r="A21374" s="2">
        <v>21369</v>
      </c>
      <c r="B21374" s="3" t="str">
        <f>"01029986"</f>
        <v>01029986</v>
      </c>
    </row>
    <row r="21375" spans="1:2" x14ac:dyDescent="0.25">
      <c r="A21375" s="2">
        <v>21370</v>
      </c>
      <c r="B21375" s="3" t="str">
        <f>"01029998"</f>
        <v>01029998</v>
      </c>
    </row>
    <row r="21376" spans="1:2" x14ac:dyDescent="0.25">
      <c r="A21376" s="2">
        <v>21371</v>
      </c>
      <c r="B21376" s="3" t="str">
        <f>"01030002"</f>
        <v>01030002</v>
      </c>
    </row>
    <row r="21377" spans="1:2" x14ac:dyDescent="0.25">
      <c r="A21377" s="2">
        <v>21372</v>
      </c>
      <c r="B21377" s="3" t="str">
        <f>"01030011"</f>
        <v>01030011</v>
      </c>
    </row>
    <row r="21378" spans="1:2" x14ac:dyDescent="0.25">
      <c r="A21378" s="2">
        <v>21373</v>
      </c>
      <c r="B21378" s="3" t="str">
        <f>"01030049"</f>
        <v>01030049</v>
      </c>
    </row>
    <row r="21379" spans="1:2" x14ac:dyDescent="0.25">
      <c r="A21379" s="2">
        <v>21374</v>
      </c>
      <c r="B21379" s="3" t="str">
        <f>"01030058"</f>
        <v>01030058</v>
      </c>
    </row>
    <row r="21380" spans="1:2" x14ac:dyDescent="0.25">
      <c r="A21380" s="2">
        <v>21375</v>
      </c>
      <c r="B21380" s="3" t="str">
        <f>"01030107"</f>
        <v>01030107</v>
      </c>
    </row>
    <row r="21381" spans="1:2" x14ac:dyDescent="0.25">
      <c r="A21381" s="2">
        <v>21376</v>
      </c>
      <c r="B21381" s="3" t="str">
        <f>"01030109"</f>
        <v>01030109</v>
      </c>
    </row>
    <row r="21382" spans="1:2" x14ac:dyDescent="0.25">
      <c r="A21382" s="2">
        <v>21377</v>
      </c>
      <c r="B21382" s="3" t="str">
        <f>"01030112"</f>
        <v>01030112</v>
      </c>
    </row>
    <row r="21383" spans="1:2" x14ac:dyDescent="0.25">
      <c r="A21383" s="2">
        <v>21378</v>
      </c>
      <c r="B21383" s="3" t="str">
        <f>"01030117"</f>
        <v>01030117</v>
      </c>
    </row>
    <row r="21384" spans="1:2" x14ac:dyDescent="0.25">
      <c r="A21384" s="2">
        <v>21379</v>
      </c>
      <c r="B21384" s="3" t="str">
        <f>"01030137"</f>
        <v>01030137</v>
      </c>
    </row>
    <row r="21385" spans="1:2" x14ac:dyDescent="0.25">
      <c r="A21385" s="2">
        <v>21380</v>
      </c>
      <c r="B21385" s="3" t="str">
        <f>"01030161"</f>
        <v>01030161</v>
      </c>
    </row>
    <row r="21386" spans="1:2" x14ac:dyDescent="0.25">
      <c r="A21386" s="2">
        <v>21381</v>
      </c>
      <c r="B21386" s="3" t="str">
        <f>"01030184"</f>
        <v>01030184</v>
      </c>
    </row>
    <row r="21387" spans="1:2" x14ac:dyDescent="0.25">
      <c r="A21387" s="2">
        <v>21382</v>
      </c>
      <c r="B21387" s="3" t="str">
        <f>"01030218"</f>
        <v>01030218</v>
      </c>
    </row>
    <row r="21388" spans="1:2" x14ac:dyDescent="0.25">
      <c r="A21388" s="2">
        <v>21383</v>
      </c>
      <c r="B21388" s="3" t="str">
        <f>"01030234"</f>
        <v>01030234</v>
      </c>
    </row>
    <row r="21389" spans="1:2" x14ac:dyDescent="0.25">
      <c r="A21389" s="2">
        <v>21384</v>
      </c>
      <c r="B21389" s="3" t="str">
        <f>"01030246"</f>
        <v>01030246</v>
      </c>
    </row>
    <row r="21390" spans="1:2" x14ac:dyDescent="0.25">
      <c r="A21390" s="2">
        <v>21385</v>
      </c>
      <c r="B21390" s="3" t="str">
        <f>"01030253"</f>
        <v>01030253</v>
      </c>
    </row>
    <row r="21391" spans="1:2" x14ac:dyDescent="0.25">
      <c r="A21391" s="2">
        <v>21386</v>
      </c>
      <c r="B21391" s="3" t="str">
        <f>"01030272"</f>
        <v>01030272</v>
      </c>
    </row>
    <row r="21392" spans="1:2" x14ac:dyDescent="0.25">
      <c r="A21392" s="2">
        <v>21387</v>
      </c>
      <c r="B21392" s="3" t="str">
        <f>"01030350"</f>
        <v>01030350</v>
      </c>
    </row>
    <row r="21393" spans="1:2" x14ac:dyDescent="0.25">
      <c r="A21393" s="2">
        <v>21388</v>
      </c>
      <c r="B21393" s="3" t="str">
        <f>"01030379"</f>
        <v>01030379</v>
      </c>
    </row>
    <row r="21394" spans="1:2" x14ac:dyDescent="0.25">
      <c r="A21394" s="2">
        <v>21389</v>
      </c>
      <c r="B21394" s="3" t="str">
        <f>"01030380"</f>
        <v>01030380</v>
      </c>
    </row>
    <row r="21395" spans="1:2" x14ac:dyDescent="0.25">
      <c r="A21395" s="2">
        <v>21390</v>
      </c>
      <c r="B21395" s="3" t="str">
        <f>"01030423"</f>
        <v>01030423</v>
      </c>
    </row>
    <row r="21396" spans="1:2" x14ac:dyDescent="0.25">
      <c r="A21396" s="2">
        <v>21391</v>
      </c>
      <c r="B21396" s="3" t="str">
        <f>"01030452"</f>
        <v>01030452</v>
      </c>
    </row>
    <row r="21397" spans="1:2" x14ac:dyDescent="0.25">
      <c r="A21397" s="2">
        <v>21392</v>
      </c>
      <c r="B21397" s="3" t="str">
        <f>"01030472"</f>
        <v>01030472</v>
      </c>
    </row>
    <row r="21398" spans="1:2" x14ac:dyDescent="0.25">
      <c r="A21398" s="2">
        <v>21393</v>
      </c>
      <c r="B21398" s="3" t="str">
        <f>"01030481"</f>
        <v>01030481</v>
      </c>
    </row>
    <row r="21399" spans="1:2" x14ac:dyDescent="0.25">
      <c r="A21399" s="2">
        <v>21394</v>
      </c>
      <c r="B21399" s="3" t="str">
        <f>"01030498"</f>
        <v>01030498</v>
      </c>
    </row>
    <row r="21400" spans="1:2" x14ac:dyDescent="0.25">
      <c r="A21400" s="2">
        <v>21395</v>
      </c>
      <c r="B21400" s="3" t="str">
        <f>"01030561"</f>
        <v>01030561</v>
      </c>
    </row>
    <row r="21401" spans="1:2" x14ac:dyDescent="0.25">
      <c r="A21401" s="2">
        <v>21396</v>
      </c>
      <c r="B21401" s="3" t="str">
        <f>"01030582"</f>
        <v>01030582</v>
      </c>
    </row>
    <row r="21402" spans="1:2" x14ac:dyDescent="0.25">
      <c r="A21402" s="2">
        <v>21397</v>
      </c>
      <c r="B21402" s="3" t="str">
        <f>"01030616"</f>
        <v>01030616</v>
      </c>
    </row>
    <row r="21403" spans="1:2" x14ac:dyDescent="0.25">
      <c r="A21403" s="2">
        <v>21398</v>
      </c>
      <c r="B21403" s="3" t="str">
        <f>"01030620"</f>
        <v>01030620</v>
      </c>
    </row>
    <row r="21404" spans="1:2" x14ac:dyDescent="0.25">
      <c r="A21404" s="2">
        <v>21399</v>
      </c>
      <c r="B21404" s="3" t="str">
        <f>"01030621"</f>
        <v>01030621</v>
      </c>
    </row>
    <row r="21405" spans="1:2" x14ac:dyDescent="0.25">
      <c r="A21405" s="2">
        <v>21400</v>
      </c>
      <c r="B21405" s="3" t="str">
        <f>"01030634"</f>
        <v>01030634</v>
      </c>
    </row>
    <row r="21406" spans="1:2" x14ac:dyDescent="0.25">
      <c r="A21406" s="2">
        <v>21401</v>
      </c>
      <c r="B21406" s="3" t="str">
        <f>"01030649"</f>
        <v>01030649</v>
      </c>
    </row>
    <row r="21407" spans="1:2" x14ac:dyDescent="0.25">
      <c r="A21407" s="2">
        <v>21402</v>
      </c>
      <c r="B21407" s="3" t="str">
        <f>"01030651"</f>
        <v>01030651</v>
      </c>
    </row>
    <row r="21408" spans="1:2" x14ac:dyDescent="0.25">
      <c r="A21408" s="2">
        <v>21403</v>
      </c>
      <c r="B21408" s="3" t="str">
        <f>"01030662"</f>
        <v>01030662</v>
      </c>
    </row>
    <row r="21409" spans="1:2" x14ac:dyDescent="0.25">
      <c r="A21409" s="2">
        <v>21404</v>
      </c>
      <c r="B21409" s="3" t="str">
        <f>"01030666"</f>
        <v>01030666</v>
      </c>
    </row>
    <row r="21410" spans="1:2" x14ac:dyDescent="0.25">
      <c r="A21410" s="2">
        <v>21405</v>
      </c>
      <c r="B21410" s="3" t="str">
        <f>"01030702"</f>
        <v>01030702</v>
      </c>
    </row>
    <row r="21411" spans="1:2" x14ac:dyDescent="0.25">
      <c r="A21411" s="2">
        <v>21406</v>
      </c>
      <c r="B21411" s="3" t="str">
        <f>"01030705"</f>
        <v>01030705</v>
      </c>
    </row>
    <row r="21412" spans="1:2" x14ac:dyDescent="0.25">
      <c r="A21412" s="2">
        <v>21407</v>
      </c>
      <c r="B21412" s="3" t="str">
        <f>"01030744"</f>
        <v>01030744</v>
      </c>
    </row>
    <row r="21413" spans="1:2" x14ac:dyDescent="0.25">
      <c r="A21413" s="2">
        <v>21408</v>
      </c>
      <c r="B21413" s="3" t="str">
        <f>"01030745"</f>
        <v>01030745</v>
      </c>
    </row>
    <row r="21414" spans="1:2" x14ac:dyDescent="0.25">
      <c r="A21414" s="2">
        <v>21409</v>
      </c>
      <c r="B21414" s="3" t="str">
        <f>"01030833"</f>
        <v>01030833</v>
      </c>
    </row>
    <row r="21415" spans="1:2" x14ac:dyDescent="0.25">
      <c r="A21415" s="2">
        <v>21410</v>
      </c>
      <c r="B21415" s="3" t="str">
        <f>"01030841"</f>
        <v>01030841</v>
      </c>
    </row>
    <row r="21416" spans="1:2" x14ac:dyDescent="0.25">
      <c r="A21416" s="2">
        <v>21411</v>
      </c>
      <c r="B21416" s="3" t="str">
        <f>"01030846"</f>
        <v>01030846</v>
      </c>
    </row>
    <row r="21417" spans="1:2" x14ac:dyDescent="0.25">
      <c r="A21417" s="2">
        <v>21412</v>
      </c>
      <c r="B21417" s="3" t="str">
        <f>"01030894"</f>
        <v>01030894</v>
      </c>
    </row>
    <row r="21418" spans="1:2" x14ac:dyDescent="0.25">
      <c r="A21418" s="2">
        <v>21413</v>
      </c>
      <c r="B21418" s="3" t="str">
        <f>"01030901"</f>
        <v>01030901</v>
      </c>
    </row>
    <row r="21419" spans="1:2" x14ac:dyDescent="0.25">
      <c r="A21419" s="2">
        <v>21414</v>
      </c>
      <c r="B21419" s="3" t="str">
        <f>"01030913"</f>
        <v>01030913</v>
      </c>
    </row>
    <row r="21420" spans="1:2" x14ac:dyDescent="0.25">
      <c r="A21420" s="2">
        <v>21415</v>
      </c>
      <c r="B21420" s="3" t="str">
        <f>"01030917"</f>
        <v>01030917</v>
      </c>
    </row>
    <row r="21421" spans="1:2" x14ac:dyDescent="0.25">
      <c r="A21421" s="2">
        <v>21416</v>
      </c>
      <c r="B21421" s="3" t="str">
        <f>"01030930"</f>
        <v>01030930</v>
      </c>
    </row>
    <row r="21422" spans="1:2" x14ac:dyDescent="0.25">
      <c r="A21422" s="2">
        <v>21417</v>
      </c>
      <c r="B21422" s="3" t="str">
        <f>"01030985"</f>
        <v>01030985</v>
      </c>
    </row>
    <row r="21423" spans="1:2" x14ac:dyDescent="0.25">
      <c r="A21423" s="2">
        <v>21418</v>
      </c>
      <c r="B21423" s="3" t="str">
        <f>"01030998"</f>
        <v>01030998</v>
      </c>
    </row>
    <row r="21424" spans="1:2" x14ac:dyDescent="0.25">
      <c r="A21424" s="2">
        <v>21419</v>
      </c>
      <c r="B21424" s="3" t="str">
        <f>"01031033"</f>
        <v>01031033</v>
      </c>
    </row>
    <row r="21425" spans="1:2" x14ac:dyDescent="0.25">
      <c r="A21425" s="2">
        <v>21420</v>
      </c>
      <c r="B21425" s="3" t="str">
        <f>"01031058"</f>
        <v>01031058</v>
      </c>
    </row>
    <row r="21426" spans="1:2" x14ac:dyDescent="0.25">
      <c r="A21426" s="2">
        <v>21421</v>
      </c>
      <c r="B21426" s="3" t="str">
        <f>"01031067"</f>
        <v>01031067</v>
      </c>
    </row>
    <row r="21427" spans="1:2" x14ac:dyDescent="0.25">
      <c r="A21427" s="2">
        <v>21422</v>
      </c>
      <c r="B21427" s="3" t="str">
        <f>"01031073"</f>
        <v>01031073</v>
      </c>
    </row>
    <row r="21428" spans="1:2" x14ac:dyDescent="0.25">
      <c r="A21428" s="2">
        <v>21423</v>
      </c>
      <c r="B21428" s="3" t="str">
        <f>"01031083"</f>
        <v>01031083</v>
      </c>
    </row>
    <row r="21429" spans="1:2" x14ac:dyDescent="0.25">
      <c r="A21429" s="2">
        <v>21424</v>
      </c>
      <c r="B21429" s="3" t="str">
        <f>"01031146"</f>
        <v>01031146</v>
      </c>
    </row>
    <row r="21430" spans="1:2" x14ac:dyDescent="0.25">
      <c r="A21430" s="2">
        <v>21425</v>
      </c>
      <c r="B21430" s="3" t="str">
        <f>"01031157"</f>
        <v>01031157</v>
      </c>
    </row>
    <row r="21431" spans="1:2" x14ac:dyDescent="0.25">
      <c r="A21431" s="2">
        <v>21426</v>
      </c>
      <c r="B21431" s="3" t="str">
        <f>"01031181"</f>
        <v>01031181</v>
      </c>
    </row>
    <row r="21432" spans="1:2" x14ac:dyDescent="0.25">
      <c r="A21432" s="2">
        <v>21427</v>
      </c>
      <c r="B21432" s="3" t="str">
        <f>"01031217"</f>
        <v>01031217</v>
      </c>
    </row>
    <row r="21433" spans="1:2" x14ac:dyDescent="0.25">
      <c r="A21433" s="2">
        <v>21428</v>
      </c>
      <c r="B21433" s="3" t="str">
        <f>"01031231"</f>
        <v>01031231</v>
      </c>
    </row>
    <row r="21434" spans="1:2" x14ac:dyDescent="0.25">
      <c r="A21434" s="2">
        <v>21429</v>
      </c>
      <c r="B21434" s="3" t="str">
        <f>"01031245"</f>
        <v>01031245</v>
      </c>
    </row>
    <row r="21435" spans="1:2" x14ac:dyDescent="0.25">
      <c r="A21435" s="2">
        <v>21430</v>
      </c>
      <c r="B21435" s="3" t="str">
        <f>"01031257"</f>
        <v>01031257</v>
      </c>
    </row>
    <row r="21436" spans="1:2" x14ac:dyDescent="0.25">
      <c r="A21436" s="2">
        <v>21431</v>
      </c>
      <c r="B21436" s="3" t="str">
        <f>"01031300"</f>
        <v>01031300</v>
      </c>
    </row>
    <row r="21437" spans="1:2" x14ac:dyDescent="0.25">
      <c r="A21437" s="2">
        <v>21432</v>
      </c>
      <c r="B21437" s="3" t="str">
        <f>"01031310"</f>
        <v>01031310</v>
      </c>
    </row>
    <row r="21438" spans="1:2" x14ac:dyDescent="0.25">
      <c r="A21438" s="2">
        <v>21433</v>
      </c>
      <c r="B21438" s="3" t="str">
        <f>"01031316"</f>
        <v>01031316</v>
      </c>
    </row>
    <row r="21439" spans="1:2" x14ac:dyDescent="0.25">
      <c r="A21439" s="2">
        <v>21434</v>
      </c>
      <c r="B21439" s="3" t="str">
        <f>"01031348"</f>
        <v>01031348</v>
      </c>
    </row>
    <row r="21440" spans="1:2" x14ac:dyDescent="0.25">
      <c r="A21440" s="2">
        <v>21435</v>
      </c>
      <c r="B21440" s="3" t="str">
        <f>"01031387"</f>
        <v>01031387</v>
      </c>
    </row>
    <row r="21441" spans="1:2" x14ac:dyDescent="0.25">
      <c r="A21441" s="2">
        <v>21436</v>
      </c>
      <c r="B21441" s="3" t="str">
        <f>"01031413"</f>
        <v>01031413</v>
      </c>
    </row>
    <row r="21442" spans="1:2" x14ac:dyDescent="0.25">
      <c r="A21442" s="2">
        <v>21437</v>
      </c>
      <c r="B21442" s="3" t="str">
        <f>"01031467"</f>
        <v>01031467</v>
      </c>
    </row>
    <row r="21443" spans="1:2" x14ac:dyDescent="0.25">
      <c r="A21443" s="2">
        <v>21438</v>
      </c>
      <c r="B21443" s="3" t="str">
        <f>"01031482"</f>
        <v>01031482</v>
      </c>
    </row>
    <row r="21444" spans="1:2" x14ac:dyDescent="0.25">
      <c r="A21444" s="2">
        <v>21439</v>
      </c>
      <c r="B21444" s="3" t="str">
        <f>"01031517"</f>
        <v>01031517</v>
      </c>
    </row>
    <row r="21445" spans="1:2" x14ac:dyDescent="0.25">
      <c r="A21445" s="2">
        <v>21440</v>
      </c>
      <c r="B21445" s="3" t="str">
        <f>"01031563"</f>
        <v>01031563</v>
      </c>
    </row>
    <row r="21446" spans="1:2" x14ac:dyDescent="0.25">
      <c r="A21446" s="2">
        <v>21441</v>
      </c>
      <c r="B21446" s="3" t="str">
        <f>"01031565"</f>
        <v>01031565</v>
      </c>
    </row>
    <row r="21447" spans="1:2" x14ac:dyDescent="0.25">
      <c r="A21447" s="2">
        <v>21442</v>
      </c>
      <c r="B21447" s="3" t="str">
        <f>"01031575"</f>
        <v>01031575</v>
      </c>
    </row>
    <row r="21448" spans="1:2" x14ac:dyDescent="0.25">
      <c r="A21448" s="2">
        <v>21443</v>
      </c>
      <c r="B21448" s="3" t="str">
        <f>"01031601"</f>
        <v>01031601</v>
      </c>
    </row>
    <row r="21449" spans="1:2" x14ac:dyDescent="0.25">
      <c r="A21449" s="2">
        <v>21444</v>
      </c>
      <c r="B21449" s="3" t="str">
        <f>"01031653"</f>
        <v>01031653</v>
      </c>
    </row>
    <row r="21450" spans="1:2" x14ac:dyDescent="0.25">
      <c r="A21450" s="2">
        <v>21445</v>
      </c>
      <c r="B21450" s="3" t="str">
        <f>"01031654"</f>
        <v>01031654</v>
      </c>
    </row>
    <row r="21451" spans="1:2" x14ac:dyDescent="0.25">
      <c r="A21451" s="2">
        <v>21446</v>
      </c>
      <c r="B21451" s="3" t="str">
        <f>"01031685"</f>
        <v>01031685</v>
      </c>
    </row>
    <row r="21452" spans="1:2" x14ac:dyDescent="0.25">
      <c r="A21452" s="2">
        <v>21447</v>
      </c>
      <c r="B21452" s="3" t="str">
        <f>"01031718"</f>
        <v>01031718</v>
      </c>
    </row>
    <row r="21453" spans="1:2" x14ac:dyDescent="0.25">
      <c r="A21453" s="2">
        <v>21448</v>
      </c>
      <c r="B21453" s="3" t="str">
        <f>"01031728"</f>
        <v>01031728</v>
      </c>
    </row>
    <row r="21454" spans="1:2" x14ac:dyDescent="0.25">
      <c r="A21454" s="2">
        <v>21449</v>
      </c>
      <c r="B21454" s="3" t="str">
        <f>"01031732"</f>
        <v>01031732</v>
      </c>
    </row>
    <row r="21455" spans="1:2" x14ac:dyDescent="0.25">
      <c r="A21455" s="2">
        <v>21450</v>
      </c>
      <c r="B21455" s="3" t="str">
        <f>"01031758"</f>
        <v>01031758</v>
      </c>
    </row>
    <row r="21456" spans="1:2" x14ac:dyDescent="0.25">
      <c r="A21456" s="2">
        <v>21451</v>
      </c>
      <c r="B21456" s="3" t="str">
        <f>"01031781"</f>
        <v>01031781</v>
      </c>
    </row>
    <row r="21457" spans="1:2" x14ac:dyDescent="0.25">
      <c r="A21457" s="2">
        <v>21452</v>
      </c>
      <c r="B21457" s="3" t="str">
        <f>"01031836"</f>
        <v>01031836</v>
      </c>
    </row>
    <row r="21458" spans="1:2" x14ac:dyDescent="0.25">
      <c r="A21458" s="2">
        <v>21453</v>
      </c>
      <c r="B21458" s="3" t="str">
        <f>"01031867"</f>
        <v>01031867</v>
      </c>
    </row>
    <row r="21459" spans="1:2" x14ac:dyDescent="0.25">
      <c r="A21459" s="2">
        <v>21454</v>
      </c>
      <c r="B21459" s="3" t="str">
        <f>"01031885"</f>
        <v>01031885</v>
      </c>
    </row>
    <row r="21460" spans="1:2" x14ac:dyDescent="0.25">
      <c r="A21460" s="2">
        <v>21455</v>
      </c>
      <c r="B21460" s="3" t="str">
        <f>"01031926"</f>
        <v>01031926</v>
      </c>
    </row>
    <row r="21461" spans="1:2" x14ac:dyDescent="0.25">
      <c r="A21461" s="2">
        <v>21456</v>
      </c>
      <c r="B21461" s="3" t="str">
        <f>"01031950"</f>
        <v>01031950</v>
      </c>
    </row>
    <row r="21462" spans="1:2" x14ac:dyDescent="0.25">
      <c r="A21462" s="2">
        <v>21457</v>
      </c>
      <c r="B21462" s="3" t="str">
        <f>"01031951"</f>
        <v>01031951</v>
      </c>
    </row>
    <row r="21463" spans="1:2" x14ac:dyDescent="0.25">
      <c r="A21463" s="2">
        <v>21458</v>
      </c>
      <c r="B21463" s="3" t="str">
        <f>"01031976"</f>
        <v>01031976</v>
      </c>
    </row>
    <row r="21464" spans="1:2" x14ac:dyDescent="0.25">
      <c r="A21464" s="2">
        <v>21459</v>
      </c>
      <c r="B21464" s="3" t="str">
        <f>"01031978"</f>
        <v>01031978</v>
      </c>
    </row>
    <row r="21465" spans="1:2" x14ac:dyDescent="0.25">
      <c r="A21465" s="2">
        <v>21460</v>
      </c>
      <c r="B21465" s="3" t="str">
        <f>"01032000"</f>
        <v>01032000</v>
      </c>
    </row>
    <row r="21466" spans="1:2" x14ac:dyDescent="0.25">
      <c r="A21466" s="2">
        <v>21461</v>
      </c>
      <c r="B21466" s="3" t="str">
        <f>"01032008"</f>
        <v>01032008</v>
      </c>
    </row>
    <row r="21467" spans="1:2" x14ac:dyDescent="0.25">
      <c r="A21467" s="2">
        <v>21462</v>
      </c>
      <c r="B21467" s="3" t="str">
        <f>"01032015"</f>
        <v>01032015</v>
      </c>
    </row>
    <row r="21468" spans="1:2" x14ac:dyDescent="0.25">
      <c r="A21468" s="2">
        <v>21463</v>
      </c>
      <c r="B21468" s="3" t="str">
        <f>"01032038"</f>
        <v>01032038</v>
      </c>
    </row>
    <row r="21469" spans="1:2" x14ac:dyDescent="0.25">
      <c r="A21469" s="2">
        <v>21464</v>
      </c>
      <c r="B21469" s="3" t="str">
        <f>"01032052"</f>
        <v>01032052</v>
      </c>
    </row>
    <row r="21470" spans="1:2" x14ac:dyDescent="0.25">
      <c r="A21470" s="2">
        <v>21465</v>
      </c>
      <c r="B21470" s="3" t="str">
        <f>"01032078"</f>
        <v>01032078</v>
      </c>
    </row>
    <row r="21471" spans="1:2" x14ac:dyDescent="0.25">
      <c r="A21471" s="2">
        <v>21466</v>
      </c>
      <c r="B21471" s="3" t="str">
        <f>"01032088"</f>
        <v>01032088</v>
      </c>
    </row>
    <row r="21472" spans="1:2" x14ac:dyDescent="0.25">
      <c r="A21472" s="2">
        <v>21467</v>
      </c>
      <c r="B21472" s="3" t="str">
        <f>"01032090"</f>
        <v>01032090</v>
      </c>
    </row>
    <row r="21473" spans="1:2" x14ac:dyDescent="0.25">
      <c r="A21473" s="2">
        <v>21468</v>
      </c>
      <c r="B21473" s="3" t="str">
        <f>"01032103"</f>
        <v>01032103</v>
      </c>
    </row>
    <row r="21474" spans="1:2" x14ac:dyDescent="0.25">
      <c r="A21474" s="2">
        <v>21469</v>
      </c>
      <c r="B21474" s="3" t="str">
        <f>"01032117"</f>
        <v>01032117</v>
      </c>
    </row>
    <row r="21475" spans="1:2" x14ac:dyDescent="0.25">
      <c r="A21475" s="2">
        <v>21470</v>
      </c>
      <c r="B21475" s="3" t="str">
        <f>"01032123"</f>
        <v>01032123</v>
      </c>
    </row>
    <row r="21476" spans="1:2" x14ac:dyDescent="0.25">
      <c r="A21476" s="2">
        <v>21471</v>
      </c>
      <c r="B21476" s="3" t="str">
        <f>"01032174"</f>
        <v>01032174</v>
      </c>
    </row>
    <row r="21477" spans="1:2" x14ac:dyDescent="0.25">
      <c r="A21477" s="2">
        <v>21472</v>
      </c>
      <c r="B21477" s="3" t="str">
        <f>"01032205"</f>
        <v>01032205</v>
      </c>
    </row>
    <row r="21478" spans="1:2" x14ac:dyDescent="0.25">
      <c r="A21478" s="2">
        <v>21473</v>
      </c>
      <c r="B21478" s="3" t="str">
        <f>"01032212"</f>
        <v>01032212</v>
      </c>
    </row>
    <row r="21479" spans="1:2" x14ac:dyDescent="0.25">
      <c r="A21479" s="2">
        <v>21474</v>
      </c>
      <c r="B21479" s="3" t="str">
        <f>"01032247"</f>
        <v>01032247</v>
      </c>
    </row>
    <row r="21480" spans="1:2" x14ac:dyDescent="0.25">
      <c r="A21480" s="2">
        <v>21475</v>
      </c>
      <c r="B21480" s="3" t="str">
        <f>"01032269"</f>
        <v>01032269</v>
      </c>
    </row>
    <row r="21481" spans="1:2" x14ac:dyDescent="0.25">
      <c r="A21481" s="2">
        <v>21476</v>
      </c>
      <c r="B21481" s="3" t="str">
        <f>"01032278"</f>
        <v>01032278</v>
      </c>
    </row>
    <row r="21482" spans="1:2" x14ac:dyDescent="0.25">
      <c r="A21482" s="2">
        <v>21477</v>
      </c>
      <c r="B21482" s="3" t="str">
        <f>"01032325"</f>
        <v>01032325</v>
      </c>
    </row>
    <row r="21483" spans="1:2" x14ac:dyDescent="0.25">
      <c r="A21483" s="2">
        <v>21478</v>
      </c>
      <c r="B21483" s="3" t="str">
        <f>"01032359"</f>
        <v>01032359</v>
      </c>
    </row>
    <row r="21484" spans="1:2" x14ac:dyDescent="0.25">
      <c r="A21484" s="2">
        <v>21479</v>
      </c>
      <c r="B21484" s="3" t="str">
        <f>"01032394"</f>
        <v>01032394</v>
      </c>
    </row>
    <row r="21485" spans="1:2" x14ac:dyDescent="0.25">
      <c r="A21485" s="2">
        <v>21480</v>
      </c>
      <c r="B21485" s="3" t="str">
        <f>"01032400"</f>
        <v>01032400</v>
      </c>
    </row>
    <row r="21486" spans="1:2" x14ac:dyDescent="0.25">
      <c r="A21486" s="2">
        <v>21481</v>
      </c>
      <c r="B21486" s="3" t="str">
        <f>"01032422"</f>
        <v>01032422</v>
      </c>
    </row>
    <row r="21487" spans="1:2" x14ac:dyDescent="0.25">
      <c r="A21487" s="2">
        <v>21482</v>
      </c>
      <c r="B21487" s="3" t="str">
        <f>"01032434"</f>
        <v>01032434</v>
      </c>
    </row>
    <row r="21488" spans="1:2" x14ac:dyDescent="0.25">
      <c r="A21488" s="2">
        <v>21483</v>
      </c>
      <c r="B21488" s="3" t="str">
        <f>"01032574"</f>
        <v>01032574</v>
      </c>
    </row>
    <row r="21489" spans="1:2" x14ac:dyDescent="0.25">
      <c r="A21489" s="2">
        <v>21484</v>
      </c>
      <c r="B21489" s="3" t="str">
        <f>"01032602"</f>
        <v>01032602</v>
      </c>
    </row>
    <row r="21490" spans="1:2" x14ac:dyDescent="0.25">
      <c r="A21490" s="2">
        <v>21485</v>
      </c>
      <c r="B21490" s="3" t="str">
        <f>"01032706"</f>
        <v>01032706</v>
      </c>
    </row>
    <row r="21491" spans="1:2" x14ac:dyDescent="0.25">
      <c r="A21491" s="2">
        <v>21486</v>
      </c>
      <c r="B21491" s="3" t="str">
        <f>"01032760"</f>
        <v>01032760</v>
      </c>
    </row>
    <row r="21492" spans="1:2" x14ac:dyDescent="0.25">
      <c r="A21492" s="2">
        <v>21487</v>
      </c>
      <c r="B21492" s="3" t="str">
        <f>"01032768"</f>
        <v>01032768</v>
      </c>
    </row>
    <row r="21493" spans="1:2" x14ac:dyDescent="0.25">
      <c r="A21493" s="2">
        <v>21488</v>
      </c>
      <c r="B21493" s="3" t="str">
        <f>"01032790"</f>
        <v>01032790</v>
      </c>
    </row>
    <row r="21494" spans="1:2" x14ac:dyDescent="0.25">
      <c r="A21494" s="2">
        <v>21489</v>
      </c>
      <c r="B21494" s="3" t="str">
        <f>"01032821"</f>
        <v>01032821</v>
      </c>
    </row>
    <row r="21495" spans="1:2" x14ac:dyDescent="0.25">
      <c r="A21495" s="2">
        <v>21490</v>
      </c>
      <c r="B21495" s="3" t="str">
        <f>"01032830"</f>
        <v>01032830</v>
      </c>
    </row>
    <row r="21496" spans="1:2" x14ac:dyDescent="0.25">
      <c r="A21496" s="2">
        <v>21491</v>
      </c>
      <c r="B21496" s="3" t="str">
        <f>"01032835"</f>
        <v>01032835</v>
      </c>
    </row>
    <row r="21497" spans="1:2" x14ac:dyDescent="0.25">
      <c r="A21497" s="2">
        <v>21492</v>
      </c>
      <c r="B21497" s="3" t="str">
        <f>"01032845"</f>
        <v>01032845</v>
      </c>
    </row>
    <row r="21498" spans="1:2" x14ac:dyDescent="0.25">
      <c r="A21498" s="2">
        <v>21493</v>
      </c>
      <c r="B21498" s="3" t="str">
        <f>"01032853"</f>
        <v>01032853</v>
      </c>
    </row>
    <row r="21499" spans="1:2" x14ac:dyDescent="0.25">
      <c r="A21499" s="2">
        <v>21494</v>
      </c>
      <c r="B21499" s="3" t="str">
        <f>"01032860"</f>
        <v>01032860</v>
      </c>
    </row>
    <row r="21500" spans="1:2" x14ac:dyDescent="0.25">
      <c r="A21500" s="2">
        <v>21495</v>
      </c>
      <c r="B21500" s="3" t="str">
        <f>"01032873"</f>
        <v>01032873</v>
      </c>
    </row>
    <row r="21501" spans="1:2" x14ac:dyDescent="0.25">
      <c r="A21501" s="2">
        <v>21496</v>
      </c>
      <c r="B21501" s="3" t="str">
        <f>"01032881"</f>
        <v>01032881</v>
      </c>
    </row>
    <row r="21502" spans="1:2" x14ac:dyDescent="0.25">
      <c r="A21502" s="2">
        <v>21497</v>
      </c>
      <c r="B21502" s="3" t="str">
        <f>"01032887"</f>
        <v>01032887</v>
      </c>
    </row>
    <row r="21503" spans="1:2" x14ac:dyDescent="0.25">
      <c r="A21503" s="2">
        <v>21498</v>
      </c>
      <c r="B21503" s="3" t="str">
        <f>"01032896"</f>
        <v>01032896</v>
      </c>
    </row>
    <row r="21504" spans="1:2" x14ac:dyDescent="0.25">
      <c r="A21504" s="2">
        <v>21499</v>
      </c>
      <c r="B21504" s="3" t="str">
        <f>"01032897"</f>
        <v>01032897</v>
      </c>
    </row>
    <row r="21505" spans="1:2" x14ac:dyDescent="0.25">
      <c r="A21505" s="2">
        <v>21500</v>
      </c>
      <c r="B21505" s="3" t="str">
        <f>"01032917"</f>
        <v>01032917</v>
      </c>
    </row>
    <row r="21506" spans="1:2" x14ac:dyDescent="0.25">
      <c r="A21506" s="2">
        <v>21501</v>
      </c>
      <c r="B21506" s="3" t="str">
        <f>"01032940"</f>
        <v>01032940</v>
      </c>
    </row>
    <row r="21507" spans="1:2" x14ac:dyDescent="0.25">
      <c r="A21507" s="2">
        <v>21502</v>
      </c>
      <c r="B21507" s="3" t="str">
        <f>"01032980"</f>
        <v>01032980</v>
      </c>
    </row>
    <row r="21508" spans="1:2" x14ac:dyDescent="0.25">
      <c r="A21508" s="2">
        <v>21503</v>
      </c>
      <c r="B21508" s="3" t="str">
        <f>"01033019"</f>
        <v>01033019</v>
      </c>
    </row>
    <row r="21509" spans="1:2" x14ac:dyDescent="0.25">
      <c r="A21509" s="2">
        <v>21504</v>
      </c>
      <c r="B21509" s="3" t="str">
        <f>"01033029"</f>
        <v>01033029</v>
      </c>
    </row>
    <row r="21510" spans="1:2" x14ac:dyDescent="0.25">
      <c r="A21510" s="2">
        <v>21505</v>
      </c>
      <c r="B21510" s="3" t="str">
        <f>"01033051"</f>
        <v>01033051</v>
      </c>
    </row>
    <row r="21511" spans="1:2" x14ac:dyDescent="0.25">
      <c r="A21511" s="2">
        <v>21506</v>
      </c>
      <c r="B21511" s="3" t="str">
        <f>"01033062"</f>
        <v>01033062</v>
      </c>
    </row>
    <row r="21512" spans="1:2" x14ac:dyDescent="0.25">
      <c r="A21512" s="2">
        <v>21507</v>
      </c>
      <c r="B21512" s="3" t="str">
        <f>"01033083"</f>
        <v>01033083</v>
      </c>
    </row>
    <row r="21513" spans="1:2" x14ac:dyDescent="0.25">
      <c r="A21513" s="2">
        <v>21508</v>
      </c>
      <c r="B21513" s="3" t="str">
        <f>"01033093"</f>
        <v>01033093</v>
      </c>
    </row>
    <row r="21514" spans="1:2" x14ac:dyDescent="0.25">
      <c r="A21514" s="2">
        <v>21509</v>
      </c>
      <c r="B21514" s="3" t="str">
        <f>"01033096"</f>
        <v>01033096</v>
      </c>
    </row>
    <row r="21515" spans="1:2" x14ac:dyDescent="0.25">
      <c r="A21515" s="2">
        <v>21510</v>
      </c>
      <c r="B21515" s="3" t="str">
        <f>"01033119"</f>
        <v>01033119</v>
      </c>
    </row>
    <row r="21516" spans="1:2" x14ac:dyDescent="0.25">
      <c r="A21516" s="2">
        <v>21511</v>
      </c>
      <c r="B21516" s="3" t="str">
        <f>"01033129"</f>
        <v>01033129</v>
      </c>
    </row>
    <row r="21517" spans="1:2" x14ac:dyDescent="0.25">
      <c r="A21517" s="2">
        <v>21512</v>
      </c>
      <c r="B21517" s="3" t="str">
        <f>"01033155"</f>
        <v>01033155</v>
      </c>
    </row>
    <row r="21518" spans="1:2" x14ac:dyDescent="0.25">
      <c r="A21518" s="2">
        <v>21513</v>
      </c>
      <c r="B21518" s="3" t="str">
        <f>"01033174"</f>
        <v>01033174</v>
      </c>
    </row>
    <row r="21519" spans="1:2" x14ac:dyDescent="0.25">
      <c r="A21519" s="2">
        <v>21514</v>
      </c>
      <c r="B21519" s="3" t="str">
        <f>"01033176"</f>
        <v>01033176</v>
      </c>
    </row>
    <row r="21520" spans="1:2" x14ac:dyDescent="0.25">
      <c r="A21520" s="2">
        <v>21515</v>
      </c>
      <c r="B21520" s="3" t="str">
        <f>"01033189"</f>
        <v>01033189</v>
      </c>
    </row>
    <row r="21521" spans="1:2" x14ac:dyDescent="0.25">
      <c r="A21521" s="2">
        <v>21516</v>
      </c>
      <c r="B21521" s="3" t="str">
        <f>"01033222"</f>
        <v>01033222</v>
      </c>
    </row>
    <row r="21522" spans="1:2" x14ac:dyDescent="0.25">
      <c r="A21522" s="2">
        <v>21517</v>
      </c>
      <c r="B21522" s="3" t="str">
        <f>"01033231"</f>
        <v>01033231</v>
      </c>
    </row>
    <row r="21523" spans="1:2" x14ac:dyDescent="0.25">
      <c r="A21523" s="2">
        <v>21518</v>
      </c>
      <c r="B21523" s="3" t="str">
        <f>"01033277"</f>
        <v>01033277</v>
      </c>
    </row>
    <row r="21524" spans="1:2" x14ac:dyDescent="0.25">
      <c r="A21524" s="2">
        <v>21519</v>
      </c>
      <c r="B21524" s="3" t="str">
        <f>"01033365"</f>
        <v>01033365</v>
      </c>
    </row>
    <row r="21525" spans="1:2" x14ac:dyDescent="0.25">
      <c r="A21525" s="2">
        <v>21520</v>
      </c>
      <c r="B21525" s="3" t="str">
        <f>"01033442"</f>
        <v>01033442</v>
      </c>
    </row>
    <row r="21526" spans="1:2" x14ac:dyDescent="0.25">
      <c r="A21526" s="2">
        <v>21521</v>
      </c>
      <c r="B21526" s="3" t="str">
        <f>"01033476"</f>
        <v>01033476</v>
      </c>
    </row>
    <row r="21527" spans="1:2" x14ac:dyDescent="0.25">
      <c r="A21527" s="2">
        <v>21522</v>
      </c>
      <c r="B21527" s="3" t="str">
        <f>"01033511"</f>
        <v>01033511</v>
      </c>
    </row>
    <row r="21528" spans="1:2" x14ac:dyDescent="0.25">
      <c r="A21528" s="2">
        <v>21523</v>
      </c>
      <c r="B21528" s="3" t="str">
        <f>"01033532"</f>
        <v>01033532</v>
      </c>
    </row>
    <row r="21529" spans="1:2" x14ac:dyDescent="0.25">
      <c r="A21529" s="2">
        <v>21524</v>
      </c>
      <c r="B21529" s="3" t="str">
        <f>"01033535"</f>
        <v>01033535</v>
      </c>
    </row>
    <row r="21530" spans="1:2" x14ac:dyDescent="0.25">
      <c r="A21530" s="2">
        <v>21525</v>
      </c>
      <c r="B21530" s="3" t="str">
        <f>"01033594"</f>
        <v>01033594</v>
      </c>
    </row>
    <row r="21531" spans="1:2" x14ac:dyDescent="0.25">
      <c r="A21531" s="2">
        <v>21526</v>
      </c>
      <c r="B21531" s="3" t="str">
        <f>"01033604"</f>
        <v>01033604</v>
      </c>
    </row>
    <row r="21532" spans="1:2" x14ac:dyDescent="0.25">
      <c r="A21532" s="2">
        <v>21527</v>
      </c>
      <c r="B21532" s="3" t="str">
        <f>"01033615"</f>
        <v>01033615</v>
      </c>
    </row>
    <row r="21533" spans="1:2" x14ac:dyDescent="0.25">
      <c r="A21533" s="2">
        <v>21528</v>
      </c>
      <c r="B21533" s="3" t="str">
        <f>"01033653"</f>
        <v>01033653</v>
      </c>
    </row>
    <row r="21534" spans="1:2" x14ac:dyDescent="0.25">
      <c r="A21534" s="2">
        <v>21529</v>
      </c>
      <c r="B21534" s="3" t="str">
        <f>"01033681"</f>
        <v>01033681</v>
      </c>
    </row>
    <row r="21535" spans="1:2" x14ac:dyDescent="0.25">
      <c r="A21535" s="2">
        <v>21530</v>
      </c>
      <c r="B21535" s="3" t="str">
        <f>"01033701"</f>
        <v>01033701</v>
      </c>
    </row>
    <row r="21536" spans="1:2" x14ac:dyDescent="0.25">
      <c r="A21536" s="2">
        <v>21531</v>
      </c>
      <c r="B21536" s="3" t="str">
        <f>"01033719"</f>
        <v>01033719</v>
      </c>
    </row>
    <row r="21537" spans="1:2" x14ac:dyDescent="0.25">
      <c r="A21537" s="2">
        <v>21532</v>
      </c>
      <c r="B21537" s="3" t="str">
        <f>"01033749"</f>
        <v>01033749</v>
      </c>
    </row>
    <row r="21538" spans="1:2" x14ac:dyDescent="0.25">
      <c r="A21538" s="2">
        <v>21533</v>
      </c>
      <c r="B21538" s="3" t="str">
        <f>"01033761"</f>
        <v>01033761</v>
      </c>
    </row>
    <row r="21539" spans="1:2" x14ac:dyDescent="0.25">
      <c r="A21539" s="2">
        <v>21534</v>
      </c>
      <c r="B21539" s="3" t="str">
        <f>"01033780"</f>
        <v>01033780</v>
      </c>
    </row>
    <row r="21540" spans="1:2" x14ac:dyDescent="0.25">
      <c r="A21540" s="2">
        <v>21535</v>
      </c>
      <c r="B21540" s="3" t="str">
        <f>"01033804"</f>
        <v>01033804</v>
      </c>
    </row>
    <row r="21541" spans="1:2" x14ac:dyDescent="0.25">
      <c r="A21541" s="2">
        <v>21536</v>
      </c>
      <c r="B21541" s="3" t="str">
        <f>"01033813"</f>
        <v>01033813</v>
      </c>
    </row>
    <row r="21542" spans="1:2" x14ac:dyDescent="0.25">
      <c r="A21542" s="2">
        <v>21537</v>
      </c>
      <c r="B21542" s="3" t="str">
        <f>"01033840"</f>
        <v>01033840</v>
      </c>
    </row>
    <row r="21543" spans="1:2" x14ac:dyDescent="0.25">
      <c r="A21543" s="2">
        <v>21538</v>
      </c>
      <c r="B21543" s="3" t="str">
        <f>"01033851"</f>
        <v>01033851</v>
      </c>
    </row>
    <row r="21544" spans="1:2" x14ac:dyDescent="0.25">
      <c r="A21544" s="2">
        <v>21539</v>
      </c>
      <c r="B21544" s="3" t="str">
        <f>"01033853"</f>
        <v>01033853</v>
      </c>
    </row>
    <row r="21545" spans="1:2" x14ac:dyDescent="0.25">
      <c r="A21545" s="2">
        <v>21540</v>
      </c>
      <c r="B21545" s="3" t="str">
        <f>"01033892"</f>
        <v>01033892</v>
      </c>
    </row>
    <row r="21546" spans="1:2" x14ac:dyDescent="0.25">
      <c r="A21546" s="2">
        <v>21541</v>
      </c>
      <c r="B21546" s="3" t="str">
        <f>"01033923"</f>
        <v>01033923</v>
      </c>
    </row>
    <row r="21547" spans="1:2" x14ac:dyDescent="0.25">
      <c r="A21547" s="2">
        <v>21542</v>
      </c>
      <c r="B21547" s="3" t="str">
        <f>"01033926"</f>
        <v>01033926</v>
      </c>
    </row>
    <row r="21548" spans="1:2" x14ac:dyDescent="0.25">
      <c r="A21548" s="2">
        <v>21543</v>
      </c>
      <c r="B21548" s="3" t="str">
        <f>"01033995"</f>
        <v>01033995</v>
      </c>
    </row>
    <row r="21549" spans="1:2" x14ac:dyDescent="0.25">
      <c r="A21549" s="2">
        <v>21544</v>
      </c>
      <c r="B21549" s="3" t="str">
        <f>"01034007"</f>
        <v>01034007</v>
      </c>
    </row>
    <row r="21550" spans="1:2" x14ac:dyDescent="0.25">
      <c r="A21550" s="2">
        <v>21545</v>
      </c>
      <c r="B21550" s="3" t="str">
        <f>"01034030"</f>
        <v>01034030</v>
      </c>
    </row>
    <row r="21551" spans="1:2" x14ac:dyDescent="0.25">
      <c r="A21551" s="2">
        <v>21546</v>
      </c>
      <c r="B21551" s="3" t="str">
        <f>"01034062"</f>
        <v>01034062</v>
      </c>
    </row>
    <row r="21552" spans="1:2" x14ac:dyDescent="0.25">
      <c r="A21552" s="2">
        <v>21547</v>
      </c>
      <c r="B21552" s="3" t="str">
        <f>"01034080"</f>
        <v>01034080</v>
      </c>
    </row>
    <row r="21553" spans="1:2" x14ac:dyDescent="0.25">
      <c r="A21553" s="2">
        <v>21548</v>
      </c>
      <c r="B21553" s="3" t="str">
        <f>"01034133"</f>
        <v>01034133</v>
      </c>
    </row>
    <row r="21554" spans="1:2" x14ac:dyDescent="0.25">
      <c r="A21554" s="2">
        <v>21549</v>
      </c>
      <c r="B21554" s="3" t="str">
        <f>"01034139"</f>
        <v>01034139</v>
      </c>
    </row>
    <row r="21555" spans="1:2" x14ac:dyDescent="0.25">
      <c r="A21555" s="2">
        <v>21550</v>
      </c>
      <c r="B21555" s="3" t="str">
        <f>"01034156"</f>
        <v>01034156</v>
      </c>
    </row>
    <row r="21556" spans="1:2" x14ac:dyDescent="0.25">
      <c r="A21556" s="2">
        <v>21551</v>
      </c>
      <c r="B21556" s="3" t="str">
        <f>"01034164"</f>
        <v>01034164</v>
      </c>
    </row>
    <row r="21557" spans="1:2" x14ac:dyDescent="0.25">
      <c r="A21557" s="2">
        <v>21552</v>
      </c>
      <c r="B21557" s="3" t="str">
        <f>"01034166"</f>
        <v>01034166</v>
      </c>
    </row>
    <row r="21558" spans="1:2" x14ac:dyDescent="0.25">
      <c r="A21558" s="2">
        <v>21553</v>
      </c>
      <c r="B21558" s="3" t="str">
        <f>"01034186"</f>
        <v>01034186</v>
      </c>
    </row>
    <row r="21559" spans="1:2" x14ac:dyDescent="0.25">
      <c r="A21559" s="2">
        <v>21554</v>
      </c>
      <c r="B21559" s="3" t="str">
        <f>"01034197"</f>
        <v>01034197</v>
      </c>
    </row>
    <row r="21560" spans="1:2" x14ac:dyDescent="0.25">
      <c r="A21560" s="2">
        <v>21555</v>
      </c>
      <c r="B21560" s="3" t="str">
        <f>"01034204"</f>
        <v>01034204</v>
      </c>
    </row>
    <row r="21561" spans="1:2" x14ac:dyDescent="0.25">
      <c r="A21561" s="2">
        <v>21556</v>
      </c>
      <c r="B21561" s="3" t="str">
        <f>"01034227"</f>
        <v>01034227</v>
      </c>
    </row>
    <row r="21562" spans="1:2" x14ac:dyDescent="0.25">
      <c r="A21562" s="2">
        <v>21557</v>
      </c>
      <c r="B21562" s="3" t="str">
        <f>"01034242"</f>
        <v>01034242</v>
      </c>
    </row>
    <row r="21563" spans="1:2" x14ac:dyDescent="0.25">
      <c r="A21563" s="2">
        <v>21558</v>
      </c>
      <c r="B21563" s="3" t="str">
        <f>"01034247"</f>
        <v>01034247</v>
      </c>
    </row>
    <row r="21564" spans="1:2" x14ac:dyDescent="0.25">
      <c r="A21564" s="2">
        <v>21559</v>
      </c>
      <c r="B21564" s="3" t="str">
        <f>"01034318"</f>
        <v>01034318</v>
      </c>
    </row>
    <row r="21565" spans="1:2" x14ac:dyDescent="0.25">
      <c r="A21565" s="2">
        <v>21560</v>
      </c>
      <c r="B21565" s="3" t="str">
        <f>"01034333"</f>
        <v>01034333</v>
      </c>
    </row>
    <row r="21566" spans="1:2" x14ac:dyDescent="0.25">
      <c r="A21566" s="2">
        <v>21561</v>
      </c>
      <c r="B21566" s="3" t="str">
        <f>"01034346"</f>
        <v>01034346</v>
      </c>
    </row>
    <row r="21567" spans="1:2" x14ac:dyDescent="0.25">
      <c r="A21567" s="2">
        <v>21562</v>
      </c>
      <c r="B21567" s="3" t="str">
        <f>"01034439"</f>
        <v>01034439</v>
      </c>
    </row>
    <row r="21568" spans="1:2" x14ac:dyDescent="0.25">
      <c r="A21568" s="2">
        <v>21563</v>
      </c>
      <c r="B21568" s="3" t="str">
        <f>"01034489"</f>
        <v>01034489</v>
      </c>
    </row>
    <row r="21569" spans="1:2" x14ac:dyDescent="0.25">
      <c r="A21569" s="2">
        <v>21564</v>
      </c>
      <c r="B21569" s="3" t="str">
        <f>"01034492"</f>
        <v>01034492</v>
      </c>
    </row>
    <row r="21570" spans="1:2" x14ac:dyDescent="0.25">
      <c r="A21570" s="2">
        <v>21565</v>
      </c>
      <c r="B21570" s="3" t="str">
        <f>"01034511"</f>
        <v>01034511</v>
      </c>
    </row>
    <row r="21571" spans="1:2" x14ac:dyDescent="0.25">
      <c r="A21571" s="2">
        <v>21566</v>
      </c>
      <c r="B21571" s="3" t="str">
        <f>"01034558"</f>
        <v>01034558</v>
      </c>
    </row>
    <row r="21572" spans="1:2" x14ac:dyDescent="0.25">
      <c r="A21572" s="2">
        <v>21567</v>
      </c>
      <c r="B21572" s="3" t="str">
        <f>"01034572"</f>
        <v>01034572</v>
      </c>
    </row>
    <row r="21573" spans="1:2" x14ac:dyDescent="0.25">
      <c r="A21573" s="2">
        <v>21568</v>
      </c>
      <c r="B21573" s="3" t="str">
        <f>"01034584"</f>
        <v>01034584</v>
      </c>
    </row>
    <row r="21574" spans="1:2" x14ac:dyDescent="0.25">
      <c r="A21574" s="2">
        <v>21569</v>
      </c>
      <c r="B21574" s="3" t="str">
        <f>"01034649"</f>
        <v>01034649</v>
      </c>
    </row>
    <row r="21575" spans="1:2" x14ac:dyDescent="0.25">
      <c r="A21575" s="2">
        <v>21570</v>
      </c>
      <c r="B21575" s="3" t="str">
        <f>"01034704"</f>
        <v>01034704</v>
      </c>
    </row>
    <row r="21576" spans="1:2" x14ac:dyDescent="0.25">
      <c r="A21576" s="2">
        <v>21571</v>
      </c>
      <c r="B21576" s="3" t="str">
        <f>"01034725"</f>
        <v>01034725</v>
      </c>
    </row>
    <row r="21577" spans="1:2" x14ac:dyDescent="0.25">
      <c r="A21577" s="2">
        <v>21572</v>
      </c>
      <c r="B21577" s="3" t="str">
        <f>"01034735"</f>
        <v>01034735</v>
      </c>
    </row>
    <row r="21578" spans="1:2" x14ac:dyDescent="0.25">
      <c r="A21578" s="2">
        <v>21573</v>
      </c>
      <c r="B21578" s="3" t="str">
        <f>"01034745"</f>
        <v>01034745</v>
      </c>
    </row>
    <row r="21579" spans="1:2" x14ac:dyDescent="0.25">
      <c r="A21579" s="2">
        <v>21574</v>
      </c>
      <c r="B21579" s="3" t="str">
        <f>"01034756"</f>
        <v>01034756</v>
      </c>
    </row>
    <row r="21580" spans="1:2" x14ac:dyDescent="0.25">
      <c r="A21580" s="2">
        <v>21575</v>
      </c>
      <c r="B21580" s="3" t="str">
        <f>"01034761"</f>
        <v>01034761</v>
      </c>
    </row>
    <row r="21581" spans="1:2" x14ac:dyDescent="0.25">
      <c r="A21581" s="2">
        <v>21576</v>
      </c>
      <c r="B21581" s="3" t="str">
        <f>"01034769"</f>
        <v>01034769</v>
      </c>
    </row>
    <row r="21582" spans="1:2" x14ac:dyDescent="0.25">
      <c r="A21582" s="2">
        <v>21577</v>
      </c>
      <c r="B21582" s="3" t="str">
        <f>"01034783"</f>
        <v>01034783</v>
      </c>
    </row>
    <row r="21583" spans="1:2" x14ac:dyDescent="0.25">
      <c r="A21583" s="2">
        <v>21578</v>
      </c>
      <c r="B21583" s="3" t="str">
        <f>"01034813"</f>
        <v>01034813</v>
      </c>
    </row>
    <row r="21584" spans="1:2" x14ac:dyDescent="0.25">
      <c r="A21584" s="2">
        <v>21579</v>
      </c>
      <c r="B21584" s="3" t="str">
        <f>"01034843"</f>
        <v>01034843</v>
      </c>
    </row>
    <row r="21585" spans="1:2" x14ac:dyDescent="0.25">
      <c r="A21585" s="2">
        <v>21580</v>
      </c>
      <c r="B21585" s="3" t="str">
        <f>"01034880"</f>
        <v>01034880</v>
      </c>
    </row>
    <row r="21586" spans="1:2" x14ac:dyDescent="0.25">
      <c r="A21586" s="2">
        <v>21581</v>
      </c>
      <c r="B21586" s="3" t="str">
        <f>"01034898"</f>
        <v>01034898</v>
      </c>
    </row>
    <row r="21587" spans="1:2" x14ac:dyDescent="0.25">
      <c r="A21587" s="2">
        <v>21582</v>
      </c>
      <c r="B21587" s="3" t="str">
        <f>"01034957"</f>
        <v>01034957</v>
      </c>
    </row>
    <row r="21588" spans="1:2" x14ac:dyDescent="0.25">
      <c r="A21588" s="2">
        <v>21583</v>
      </c>
      <c r="B21588" s="3" t="str">
        <f>"01034987"</f>
        <v>01034987</v>
      </c>
    </row>
    <row r="21589" spans="1:2" x14ac:dyDescent="0.25">
      <c r="A21589" s="2">
        <v>21584</v>
      </c>
      <c r="B21589" s="3" t="str">
        <f>"01035037"</f>
        <v>01035037</v>
      </c>
    </row>
    <row r="21590" spans="1:2" x14ac:dyDescent="0.25">
      <c r="A21590" s="2">
        <v>21585</v>
      </c>
      <c r="B21590" s="3" t="str">
        <f>"01035068"</f>
        <v>01035068</v>
      </c>
    </row>
    <row r="21591" spans="1:2" x14ac:dyDescent="0.25">
      <c r="A21591" s="2">
        <v>21586</v>
      </c>
      <c r="B21591" s="3" t="str">
        <f>"01035069"</f>
        <v>01035069</v>
      </c>
    </row>
    <row r="21592" spans="1:2" x14ac:dyDescent="0.25">
      <c r="A21592" s="2">
        <v>21587</v>
      </c>
      <c r="B21592" s="3" t="str">
        <f>"01035082"</f>
        <v>01035082</v>
      </c>
    </row>
    <row r="21593" spans="1:2" x14ac:dyDescent="0.25">
      <c r="A21593" s="2">
        <v>21588</v>
      </c>
      <c r="B21593" s="3" t="str">
        <f>"01035114"</f>
        <v>01035114</v>
      </c>
    </row>
    <row r="21594" spans="1:2" x14ac:dyDescent="0.25">
      <c r="A21594" s="2">
        <v>21589</v>
      </c>
      <c r="B21594" s="3" t="str">
        <f>"01035187"</f>
        <v>01035187</v>
      </c>
    </row>
    <row r="21595" spans="1:2" x14ac:dyDescent="0.25">
      <c r="A21595" s="2">
        <v>21590</v>
      </c>
      <c r="B21595" s="3" t="str">
        <f>"01035218"</f>
        <v>01035218</v>
      </c>
    </row>
    <row r="21596" spans="1:2" x14ac:dyDescent="0.25">
      <c r="A21596" s="2">
        <v>21591</v>
      </c>
      <c r="B21596" s="3" t="str">
        <f>"01035235"</f>
        <v>01035235</v>
      </c>
    </row>
    <row r="21597" spans="1:2" x14ac:dyDescent="0.25">
      <c r="A21597" s="2">
        <v>21592</v>
      </c>
      <c r="B21597" s="3" t="str">
        <f>"01035236"</f>
        <v>01035236</v>
      </c>
    </row>
    <row r="21598" spans="1:2" x14ac:dyDescent="0.25">
      <c r="A21598" s="2">
        <v>21593</v>
      </c>
      <c r="B21598" s="3" t="str">
        <f>"01035260"</f>
        <v>01035260</v>
      </c>
    </row>
    <row r="21599" spans="1:2" x14ac:dyDescent="0.25">
      <c r="A21599" s="2">
        <v>21594</v>
      </c>
      <c r="B21599" s="3" t="str">
        <f>"01035272"</f>
        <v>01035272</v>
      </c>
    </row>
    <row r="21600" spans="1:2" x14ac:dyDescent="0.25">
      <c r="A21600" s="2">
        <v>21595</v>
      </c>
      <c r="B21600" s="3" t="str">
        <f>"01035276"</f>
        <v>01035276</v>
      </c>
    </row>
    <row r="21601" spans="1:2" x14ac:dyDescent="0.25">
      <c r="A21601" s="2">
        <v>21596</v>
      </c>
      <c r="B21601" s="3" t="str">
        <f>"01035286"</f>
        <v>01035286</v>
      </c>
    </row>
    <row r="21602" spans="1:2" x14ac:dyDescent="0.25">
      <c r="A21602" s="2">
        <v>21597</v>
      </c>
      <c r="B21602" s="3" t="str">
        <f>"01035313"</f>
        <v>01035313</v>
      </c>
    </row>
    <row r="21603" spans="1:2" x14ac:dyDescent="0.25">
      <c r="A21603" s="2">
        <v>21598</v>
      </c>
      <c r="B21603" s="3" t="str">
        <f>"01035318"</f>
        <v>01035318</v>
      </c>
    </row>
    <row r="21604" spans="1:2" x14ac:dyDescent="0.25">
      <c r="A21604" s="2">
        <v>21599</v>
      </c>
      <c r="B21604" s="3" t="str">
        <f>"01035327"</f>
        <v>01035327</v>
      </c>
    </row>
    <row r="21605" spans="1:2" x14ac:dyDescent="0.25">
      <c r="A21605" s="2">
        <v>21600</v>
      </c>
      <c r="B21605" s="3" t="str">
        <f>"01035340"</f>
        <v>01035340</v>
      </c>
    </row>
    <row r="21606" spans="1:2" x14ac:dyDescent="0.25">
      <c r="A21606" s="2">
        <v>21601</v>
      </c>
      <c r="B21606" s="3" t="str">
        <f>"01035369"</f>
        <v>01035369</v>
      </c>
    </row>
    <row r="21607" spans="1:2" x14ac:dyDescent="0.25">
      <c r="A21607" s="2">
        <v>21602</v>
      </c>
      <c r="B21607" s="3" t="str">
        <f>"01035386"</f>
        <v>01035386</v>
      </c>
    </row>
    <row r="21608" spans="1:2" x14ac:dyDescent="0.25">
      <c r="A21608" s="2">
        <v>21603</v>
      </c>
      <c r="B21608" s="3" t="str">
        <f>"01035436"</f>
        <v>01035436</v>
      </c>
    </row>
    <row r="21609" spans="1:2" x14ac:dyDescent="0.25">
      <c r="A21609" s="2">
        <v>21604</v>
      </c>
      <c r="B21609" s="3" t="str">
        <f>"01035522"</f>
        <v>01035522</v>
      </c>
    </row>
    <row r="21610" spans="1:2" x14ac:dyDescent="0.25">
      <c r="A21610" s="2">
        <v>21605</v>
      </c>
      <c r="B21610" s="3" t="str">
        <f>"01035549"</f>
        <v>01035549</v>
      </c>
    </row>
    <row r="21611" spans="1:2" x14ac:dyDescent="0.25">
      <c r="A21611" s="2">
        <v>21606</v>
      </c>
      <c r="B21611" s="3" t="str">
        <f>"01035553"</f>
        <v>01035553</v>
      </c>
    </row>
    <row r="21612" spans="1:2" x14ac:dyDescent="0.25">
      <c r="A21612" s="2">
        <v>21607</v>
      </c>
      <c r="B21612" s="3" t="str">
        <f>"01035619"</f>
        <v>01035619</v>
      </c>
    </row>
    <row r="21613" spans="1:2" x14ac:dyDescent="0.25">
      <c r="A21613" s="2">
        <v>21608</v>
      </c>
      <c r="B21613" s="3" t="str">
        <f>"01035631"</f>
        <v>01035631</v>
      </c>
    </row>
    <row r="21614" spans="1:2" x14ac:dyDescent="0.25">
      <c r="A21614" s="2">
        <v>21609</v>
      </c>
      <c r="B21614" s="3" t="str">
        <f>"01035687"</f>
        <v>01035687</v>
      </c>
    </row>
    <row r="21615" spans="1:2" x14ac:dyDescent="0.25">
      <c r="A21615" s="2">
        <v>21610</v>
      </c>
      <c r="B21615" s="3" t="str">
        <f>"01035691"</f>
        <v>01035691</v>
      </c>
    </row>
    <row r="21616" spans="1:2" x14ac:dyDescent="0.25">
      <c r="A21616" s="2">
        <v>21611</v>
      </c>
      <c r="B21616" s="3" t="str">
        <f>"01035720"</f>
        <v>01035720</v>
      </c>
    </row>
    <row r="21617" spans="1:2" x14ac:dyDescent="0.25">
      <c r="A21617" s="2">
        <v>21612</v>
      </c>
      <c r="B21617" s="3" t="str">
        <f>"01035747"</f>
        <v>01035747</v>
      </c>
    </row>
    <row r="21618" spans="1:2" x14ac:dyDescent="0.25">
      <c r="A21618" s="2">
        <v>21613</v>
      </c>
      <c r="B21618" s="3" t="str">
        <f>"01035769"</f>
        <v>01035769</v>
      </c>
    </row>
    <row r="21619" spans="1:2" x14ac:dyDescent="0.25">
      <c r="A21619" s="2">
        <v>21614</v>
      </c>
      <c r="B21619" s="3" t="str">
        <f>"01035820"</f>
        <v>01035820</v>
      </c>
    </row>
    <row r="21620" spans="1:2" x14ac:dyDescent="0.25">
      <c r="A21620" s="2">
        <v>21615</v>
      </c>
      <c r="B21620" s="3" t="str">
        <f>"01035835"</f>
        <v>01035835</v>
      </c>
    </row>
    <row r="21621" spans="1:2" x14ac:dyDescent="0.25">
      <c r="A21621" s="2">
        <v>21616</v>
      </c>
      <c r="B21621" s="3" t="str">
        <f>"01035889"</f>
        <v>01035889</v>
      </c>
    </row>
    <row r="21622" spans="1:2" x14ac:dyDescent="0.25">
      <c r="A21622" s="2">
        <v>21617</v>
      </c>
      <c r="B21622" s="3" t="str">
        <f>"01035916"</f>
        <v>01035916</v>
      </c>
    </row>
    <row r="21623" spans="1:2" x14ac:dyDescent="0.25">
      <c r="A21623" s="2">
        <v>21618</v>
      </c>
      <c r="B21623" s="3" t="str">
        <f>"01035919"</f>
        <v>01035919</v>
      </c>
    </row>
    <row r="21624" spans="1:2" x14ac:dyDescent="0.25">
      <c r="A21624" s="2">
        <v>21619</v>
      </c>
      <c r="B21624" s="3" t="str">
        <f>"01035921"</f>
        <v>01035921</v>
      </c>
    </row>
    <row r="21625" spans="1:2" x14ac:dyDescent="0.25">
      <c r="A21625" s="2">
        <v>21620</v>
      </c>
      <c r="B21625" s="3" t="str">
        <f>"01035989"</f>
        <v>01035989</v>
      </c>
    </row>
    <row r="21626" spans="1:2" x14ac:dyDescent="0.25">
      <c r="A21626" s="2">
        <v>21621</v>
      </c>
      <c r="B21626" s="3" t="str">
        <f>"01035998"</f>
        <v>01035998</v>
      </c>
    </row>
    <row r="21627" spans="1:2" x14ac:dyDescent="0.25">
      <c r="A21627" s="2">
        <v>21622</v>
      </c>
      <c r="B21627" s="3" t="str">
        <f>"01036041"</f>
        <v>01036041</v>
      </c>
    </row>
    <row r="21628" spans="1:2" x14ac:dyDescent="0.25">
      <c r="A21628" s="2">
        <v>21623</v>
      </c>
      <c r="B21628" s="3" t="str">
        <f>"01036106"</f>
        <v>01036106</v>
      </c>
    </row>
    <row r="21629" spans="1:2" x14ac:dyDescent="0.25">
      <c r="A21629" s="2">
        <v>21624</v>
      </c>
      <c r="B21629" s="3" t="str">
        <f>"01036134"</f>
        <v>01036134</v>
      </c>
    </row>
    <row r="21630" spans="1:2" x14ac:dyDescent="0.25">
      <c r="A21630" s="2">
        <v>21625</v>
      </c>
      <c r="B21630" s="3" t="str">
        <f>"01036154"</f>
        <v>01036154</v>
      </c>
    </row>
    <row r="21631" spans="1:2" x14ac:dyDescent="0.25">
      <c r="A21631" s="2">
        <v>21626</v>
      </c>
      <c r="B21631" s="3" t="str">
        <f>"01036191"</f>
        <v>01036191</v>
      </c>
    </row>
    <row r="21632" spans="1:2" x14ac:dyDescent="0.25">
      <c r="A21632" s="2">
        <v>21627</v>
      </c>
      <c r="B21632" s="3" t="str">
        <f>"01036200"</f>
        <v>01036200</v>
      </c>
    </row>
    <row r="21633" spans="1:2" x14ac:dyDescent="0.25">
      <c r="A21633" s="2">
        <v>21628</v>
      </c>
      <c r="B21633" s="3" t="str">
        <f>"01036212"</f>
        <v>01036212</v>
      </c>
    </row>
    <row r="21634" spans="1:2" x14ac:dyDescent="0.25">
      <c r="A21634" s="2">
        <v>21629</v>
      </c>
      <c r="B21634" s="3" t="str">
        <f>"01036213"</f>
        <v>01036213</v>
      </c>
    </row>
    <row r="21635" spans="1:2" x14ac:dyDescent="0.25">
      <c r="A21635" s="2">
        <v>21630</v>
      </c>
      <c r="B21635" s="3" t="str">
        <f>"01036275"</f>
        <v>01036275</v>
      </c>
    </row>
    <row r="21636" spans="1:2" x14ac:dyDescent="0.25">
      <c r="A21636" s="2">
        <v>21631</v>
      </c>
      <c r="B21636" s="3" t="str">
        <f>"01036276"</f>
        <v>01036276</v>
      </c>
    </row>
    <row r="21637" spans="1:2" x14ac:dyDescent="0.25">
      <c r="A21637" s="2">
        <v>21632</v>
      </c>
      <c r="B21637" s="3" t="str">
        <f>"01036314"</f>
        <v>01036314</v>
      </c>
    </row>
    <row r="21638" spans="1:2" x14ac:dyDescent="0.25">
      <c r="A21638" s="2">
        <v>21633</v>
      </c>
      <c r="B21638" s="3" t="str">
        <f>"01036324"</f>
        <v>01036324</v>
      </c>
    </row>
    <row r="21639" spans="1:2" x14ac:dyDescent="0.25">
      <c r="A21639" s="2">
        <v>21634</v>
      </c>
      <c r="B21639" s="3" t="str">
        <f>"01036338"</f>
        <v>01036338</v>
      </c>
    </row>
    <row r="21640" spans="1:2" x14ac:dyDescent="0.25">
      <c r="A21640" s="2">
        <v>21635</v>
      </c>
      <c r="B21640" s="3" t="str">
        <f>"01036395"</f>
        <v>01036395</v>
      </c>
    </row>
    <row r="21641" spans="1:2" x14ac:dyDescent="0.25">
      <c r="A21641" s="2">
        <v>21636</v>
      </c>
      <c r="B21641" s="3" t="str">
        <f>"01036417"</f>
        <v>01036417</v>
      </c>
    </row>
    <row r="21642" spans="1:2" x14ac:dyDescent="0.25">
      <c r="A21642" s="2">
        <v>21637</v>
      </c>
      <c r="B21642" s="3" t="str">
        <f>"01036420"</f>
        <v>01036420</v>
      </c>
    </row>
    <row r="21643" spans="1:2" x14ac:dyDescent="0.25">
      <c r="A21643" s="2">
        <v>21638</v>
      </c>
      <c r="B21643" s="3" t="str">
        <f>"01036439"</f>
        <v>01036439</v>
      </c>
    </row>
    <row r="21644" spans="1:2" x14ac:dyDescent="0.25">
      <c r="A21644" s="2">
        <v>21639</v>
      </c>
      <c r="B21644" s="3" t="str">
        <f>"01036499"</f>
        <v>01036499</v>
      </c>
    </row>
    <row r="21645" spans="1:2" x14ac:dyDescent="0.25">
      <c r="A21645" s="2">
        <v>21640</v>
      </c>
      <c r="B21645" s="3" t="str">
        <f>"01036557"</f>
        <v>01036557</v>
      </c>
    </row>
    <row r="21646" spans="1:2" x14ac:dyDescent="0.25">
      <c r="A21646" s="2">
        <v>21641</v>
      </c>
      <c r="B21646" s="3" t="str">
        <f>"01036589"</f>
        <v>01036589</v>
      </c>
    </row>
    <row r="21647" spans="1:2" x14ac:dyDescent="0.25">
      <c r="A21647" s="2">
        <v>21642</v>
      </c>
      <c r="B21647" s="3" t="str">
        <f>"01036629"</f>
        <v>01036629</v>
      </c>
    </row>
    <row r="21648" spans="1:2" x14ac:dyDescent="0.25">
      <c r="A21648" s="2">
        <v>21643</v>
      </c>
      <c r="B21648" s="3" t="str">
        <f>"01036661"</f>
        <v>01036661</v>
      </c>
    </row>
    <row r="21649" spans="1:2" x14ac:dyDescent="0.25">
      <c r="A21649" s="2">
        <v>21644</v>
      </c>
      <c r="B21649" s="3" t="str">
        <f>"01036665"</f>
        <v>01036665</v>
      </c>
    </row>
    <row r="21650" spans="1:2" x14ac:dyDescent="0.25">
      <c r="A21650" s="2">
        <v>21645</v>
      </c>
      <c r="B21650" s="3" t="str">
        <f>"01036676"</f>
        <v>01036676</v>
      </c>
    </row>
    <row r="21651" spans="1:2" x14ac:dyDescent="0.25">
      <c r="A21651" s="2">
        <v>21646</v>
      </c>
      <c r="B21651" s="3" t="str">
        <f>"01036743"</f>
        <v>01036743</v>
      </c>
    </row>
    <row r="21652" spans="1:2" x14ac:dyDescent="0.25">
      <c r="A21652" s="2">
        <v>21647</v>
      </c>
      <c r="B21652" s="3" t="str">
        <f>"01036749"</f>
        <v>01036749</v>
      </c>
    </row>
    <row r="21653" spans="1:2" x14ac:dyDescent="0.25">
      <c r="A21653" s="2">
        <v>21648</v>
      </c>
      <c r="B21653" s="3" t="str">
        <f>"01036773"</f>
        <v>01036773</v>
      </c>
    </row>
    <row r="21654" spans="1:2" x14ac:dyDescent="0.25">
      <c r="A21654" s="2">
        <v>21649</v>
      </c>
      <c r="B21654" s="3" t="str">
        <f>"01036798"</f>
        <v>01036798</v>
      </c>
    </row>
    <row r="21655" spans="1:2" x14ac:dyDescent="0.25">
      <c r="A21655" s="2">
        <v>21650</v>
      </c>
      <c r="B21655" s="3" t="str">
        <f>"01036855"</f>
        <v>01036855</v>
      </c>
    </row>
    <row r="21656" spans="1:2" x14ac:dyDescent="0.25">
      <c r="A21656" s="2">
        <v>21651</v>
      </c>
      <c r="B21656" s="3" t="str">
        <f>"01036857"</f>
        <v>01036857</v>
      </c>
    </row>
    <row r="21657" spans="1:2" x14ac:dyDescent="0.25">
      <c r="A21657" s="2">
        <v>21652</v>
      </c>
      <c r="B21657" s="3" t="str">
        <f>"01036908"</f>
        <v>01036908</v>
      </c>
    </row>
    <row r="21658" spans="1:2" x14ac:dyDescent="0.25">
      <c r="A21658" s="2">
        <v>21653</v>
      </c>
      <c r="B21658" s="3" t="str">
        <f>"01036934"</f>
        <v>01036934</v>
      </c>
    </row>
    <row r="21659" spans="1:2" x14ac:dyDescent="0.25">
      <c r="A21659" s="2">
        <v>21654</v>
      </c>
      <c r="B21659" s="3" t="str">
        <f>"01037014"</f>
        <v>01037014</v>
      </c>
    </row>
    <row r="21660" spans="1:2" x14ac:dyDescent="0.25">
      <c r="A21660" s="2">
        <v>21655</v>
      </c>
      <c r="B21660" s="3" t="str">
        <f>"01037065"</f>
        <v>01037065</v>
      </c>
    </row>
    <row r="21661" spans="1:2" x14ac:dyDescent="0.25">
      <c r="A21661" s="2">
        <v>21656</v>
      </c>
      <c r="B21661" s="3" t="str">
        <f>"01037070"</f>
        <v>01037070</v>
      </c>
    </row>
    <row r="21662" spans="1:2" x14ac:dyDescent="0.25">
      <c r="A21662" s="2">
        <v>21657</v>
      </c>
      <c r="B21662" s="3" t="str">
        <f>"01037071"</f>
        <v>01037071</v>
      </c>
    </row>
    <row r="21663" spans="1:2" x14ac:dyDescent="0.25">
      <c r="A21663" s="2">
        <v>21658</v>
      </c>
      <c r="B21663" s="3" t="str">
        <f>"01037072"</f>
        <v>01037072</v>
      </c>
    </row>
    <row r="21664" spans="1:2" x14ac:dyDescent="0.25">
      <c r="A21664" s="2">
        <v>21659</v>
      </c>
      <c r="B21664" s="3" t="str">
        <f>"01037082"</f>
        <v>01037082</v>
      </c>
    </row>
    <row r="21665" spans="1:2" x14ac:dyDescent="0.25">
      <c r="A21665" s="2">
        <v>21660</v>
      </c>
      <c r="B21665" s="3" t="str">
        <f>"01037143"</f>
        <v>01037143</v>
      </c>
    </row>
    <row r="21666" spans="1:2" x14ac:dyDescent="0.25">
      <c r="A21666" s="2">
        <v>21661</v>
      </c>
      <c r="B21666" s="3" t="str">
        <f>"01037152"</f>
        <v>01037152</v>
      </c>
    </row>
    <row r="21667" spans="1:2" x14ac:dyDescent="0.25">
      <c r="A21667" s="2">
        <v>21662</v>
      </c>
      <c r="B21667" s="3" t="str">
        <f>"01037174"</f>
        <v>01037174</v>
      </c>
    </row>
    <row r="21668" spans="1:2" x14ac:dyDescent="0.25">
      <c r="A21668" s="2">
        <v>21663</v>
      </c>
      <c r="B21668" s="3" t="str">
        <f>"01037219"</f>
        <v>01037219</v>
      </c>
    </row>
    <row r="21669" spans="1:2" x14ac:dyDescent="0.25">
      <c r="A21669" s="2">
        <v>21664</v>
      </c>
      <c r="B21669" s="3" t="str">
        <f>"01037285"</f>
        <v>01037285</v>
      </c>
    </row>
    <row r="21670" spans="1:2" x14ac:dyDescent="0.25">
      <c r="A21670" s="2">
        <v>21665</v>
      </c>
      <c r="B21670" s="3" t="str">
        <f>"01037310"</f>
        <v>01037310</v>
      </c>
    </row>
    <row r="21671" spans="1:2" x14ac:dyDescent="0.25">
      <c r="A21671" s="2">
        <v>21666</v>
      </c>
      <c r="B21671" s="3" t="str">
        <f>"01037322"</f>
        <v>01037322</v>
      </c>
    </row>
    <row r="21672" spans="1:2" x14ac:dyDescent="0.25">
      <c r="A21672" s="2">
        <v>21667</v>
      </c>
      <c r="B21672" s="3" t="str">
        <f>"01037336"</f>
        <v>01037336</v>
      </c>
    </row>
    <row r="21673" spans="1:2" x14ac:dyDescent="0.25">
      <c r="A21673" s="2">
        <v>21668</v>
      </c>
      <c r="B21673" s="3" t="str">
        <f>"01037345"</f>
        <v>01037345</v>
      </c>
    </row>
    <row r="21674" spans="1:2" x14ac:dyDescent="0.25">
      <c r="A21674" s="2">
        <v>21669</v>
      </c>
      <c r="B21674" s="3" t="str">
        <f>"01037354"</f>
        <v>01037354</v>
      </c>
    </row>
    <row r="21675" spans="1:2" x14ac:dyDescent="0.25">
      <c r="A21675" s="2">
        <v>21670</v>
      </c>
      <c r="B21675" s="3" t="str">
        <f>"01037380"</f>
        <v>01037380</v>
      </c>
    </row>
    <row r="21676" spans="1:2" x14ac:dyDescent="0.25">
      <c r="A21676" s="2">
        <v>21671</v>
      </c>
      <c r="B21676" s="3" t="str">
        <f>"01037441"</f>
        <v>01037441</v>
      </c>
    </row>
    <row r="21677" spans="1:2" x14ac:dyDescent="0.25">
      <c r="A21677" s="2">
        <v>21672</v>
      </c>
      <c r="B21677" s="3" t="str">
        <f>"01037514"</f>
        <v>01037514</v>
      </c>
    </row>
    <row r="21678" spans="1:2" x14ac:dyDescent="0.25">
      <c r="A21678" s="2">
        <v>21673</v>
      </c>
      <c r="B21678" s="3" t="str">
        <f>"01037527"</f>
        <v>01037527</v>
      </c>
    </row>
    <row r="21679" spans="1:2" x14ac:dyDescent="0.25">
      <c r="A21679" s="2">
        <v>21674</v>
      </c>
      <c r="B21679" s="3" t="str">
        <f>"01037530"</f>
        <v>01037530</v>
      </c>
    </row>
    <row r="21680" spans="1:2" x14ac:dyDescent="0.25">
      <c r="A21680" s="2">
        <v>21675</v>
      </c>
      <c r="B21680" s="3" t="str">
        <f>"01037556"</f>
        <v>01037556</v>
      </c>
    </row>
    <row r="21681" spans="1:2" x14ac:dyDescent="0.25">
      <c r="A21681" s="2">
        <v>21676</v>
      </c>
      <c r="B21681" s="3" t="str">
        <f>"01037737"</f>
        <v>01037737</v>
      </c>
    </row>
    <row r="21682" spans="1:2" x14ac:dyDescent="0.25">
      <c r="A21682" s="2">
        <v>21677</v>
      </c>
      <c r="B21682" s="3" t="str">
        <f>"01037746"</f>
        <v>01037746</v>
      </c>
    </row>
    <row r="21683" spans="1:2" x14ac:dyDescent="0.25">
      <c r="A21683" s="2">
        <v>21678</v>
      </c>
      <c r="B21683" s="3" t="str">
        <f>"01037753"</f>
        <v>01037753</v>
      </c>
    </row>
    <row r="21684" spans="1:2" x14ac:dyDescent="0.25">
      <c r="A21684" s="2">
        <v>21679</v>
      </c>
      <c r="B21684" s="3" t="str">
        <f>"01037797"</f>
        <v>01037797</v>
      </c>
    </row>
    <row r="21685" spans="1:2" x14ac:dyDescent="0.25">
      <c r="A21685" s="2">
        <v>21680</v>
      </c>
      <c r="B21685" s="3" t="str">
        <f>"01037803"</f>
        <v>01037803</v>
      </c>
    </row>
    <row r="21686" spans="1:2" x14ac:dyDescent="0.25">
      <c r="A21686" s="2">
        <v>21681</v>
      </c>
      <c r="B21686" s="3" t="str">
        <f>"01037813"</f>
        <v>01037813</v>
      </c>
    </row>
    <row r="21687" spans="1:2" x14ac:dyDescent="0.25">
      <c r="A21687" s="2">
        <v>21682</v>
      </c>
      <c r="B21687" s="3" t="str">
        <f>"01037825"</f>
        <v>01037825</v>
      </c>
    </row>
    <row r="21688" spans="1:2" x14ac:dyDescent="0.25">
      <c r="A21688" s="2">
        <v>21683</v>
      </c>
      <c r="B21688" s="3" t="str">
        <f>"01037830"</f>
        <v>01037830</v>
      </c>
    </row>
    <row r="21689" spans="1:2" x14ac:dyDescent="0.25">
      <c r="A21689" s="2">
        <v>21684</v>
      </c>
      <c r="B21689" s="3" t="str">
        <f>"01037836"</f>
        <v>01037836</v>
      </c>
    </row>
    <row r="21690" spans="1:2" x14ac:dyDescent="0.25">
      <c r="A21690" s="2">
        <v>21685</v>
      </c>
      <c r="B21690" s="3" t="str">
        <f>"01037899"</f>
        <v>01037899</v>
      </c>
    </row>
    <row r="21691" spans="1:2" x14ac:dyDescent="0.25">
      <c r="A21691" s="2">
        <v>21686</v>
      </c>
      <c r="B21691" s="3" t="str">
        <f>"01037906"</f>
        <v>01037906</v>
      </c>
    </row>
    <row r="21692" spans="1:2" x14ac:dyDescent="0.25">
      <c r="A21692" s="2">
        <v>21687</v>
      </c>
      <c r="B21692" s="3" t="str">
        <f>"01037912"</f>
        <v>01037912</v>
      </c>
    </row>
    <row r="21693" spans="1:2" x14ac:dyDescent="0.25">
      <c r="A21693" s="2">
        <v>21688</v>
      </c>
      <c r="B21693" s="3" t="str">
        <f>"01037945"</f>
        <v>01037945</v>
      </c>
    </row>
    <row r="21694" spans="1:2" x14ac:dyDescent="0.25">
      <c r="A21694" s="2">
        <v>21689</v>
      </c>
      <c r="B21694" s="3" t="str">
        <f>"01037946"</f>
        <v>01037946</v>
      </c>
    </row>
    <row r="21695" spans="1:2" x14ac:dyDescent="0.25">
      <c r="A21695" s="2">
        <v>21690</v>
      </c>
      <c r="B21695" s="3" t="str">
        <f>"01037950"</f>
        <v>01037950</v>
      </c>
    </row>
    <row r="21696" spans="1:2" x14ac:dyDescent="0.25">
      <c r="A21696" s="2">
        <v>21691</v>
      </c>
      <c r="B21696" s="3" t="str">
        <f>"01038009"</f>
        <v>01038009</v>
      </c>
    </row>
    <row r="21697" spans="1:2" x14ac:dyDescent="0.25">
      <c r="A21697" s="2">
        <v>21692</v>
      </c>
      <c r="B21697" s="3" t="str">
        <f>"01038027"</f>
        <v>01038027</v>
      </c>
    </row>
    <row r="21698" spans="1:2" x14ac:dyDescent="0.25">
      <c r="A21698" s="2">
        <v>21693</v>
      </c>
      <c r="B21698" s="3" t="str">
        <f>"01038084"</f>
        <v>01038084</v>
      </c>
    </row>
    <row r="21699" spans="1:2" x14ac:dyDescent="0.25">
      <c r="A21699" s="2">
        <v>21694</v>
      </c>
      <c r="B21699" s="3" t="str">
        <f>"01038108"</f>
        <v>01038108</v>
      </c>
    </row>
    <row r="21700" spans="1:2" x14ac:dyDescent="0.25">
      <c r="A21700" s="2">
        <v>21695</v>
      </c>
      <c r="B21700" s="3" t="str">
        <f>"01038123"</f>
        <v>01038123</v>
      </c>
    </row>
    <row r="21701" spans="1:2" x14ac:dyDescent="0.25">
      <c r="A21701" s="2">
        <v>21696</v>
      </c>
      <c r="B21701" s="3" t="str">
        <f>"01038207"</f>
        <v>01038207</v>
      </c>
    </row>
    <row r="21702" spans="1:2" x14ac:dyDescent="0.25">
      <c r="A21702" s="2">
        <v>21697</v>
      </c>
      <c r="B21702" s="3" t="str">
        <f>"01038212"</f>
        <v>01038212</v>
      </c>
    </row>
    <row r="21703" spans="1:2" x14ac:dyDescent="0.25">
      <c r="A21703" s="2">
        <v>21698</v>
      </c>
      <c r="B21703" s="3" t="str">
        <f>"01038280"</f>
        <v>01038280</v>
      </c>
    </row>
    <row r="21704" spans="1:2" x14ac:dyDescent="0.25">
      <c r="A21704" s="2">
        <v>21699</v>
      </c>
      <c r="B21704" s="3" t="str">
        <f>"01038287"</f>
        <v>01038287</v>
      </c>
    </row>
    <row r="21705" spans="1:2" x14ac:dyDescent="0.25">
      <c r="A21705" s="2">
        <v>21700</v>
      </c>
      <c r="B21705" s="3" t="str">
        <f>"01038296"</f>
        <v>01038296</v>
      </c>
    </row>
    <row r="21706" spans="1:2" x14ac:dyDescent="0.25">
      <c r="A21706" s="2">
        <v>21701</v>
      </c>
      <c r="B21706" s="3" t="str">
        <f>"01038310"</f>
        <v>01038310</v>
      </c>
    </row>
    <row r="21707" spans="1:2" x14ac:dyDescent="0.25">
      <c r="A21707" s="2">
        <v>21702</v>
      </c>
      <c r="B21707" s="3" t="str">
        <f>"01038327"</f>
        <v>01038327</v>
      </c>
    </row>
    <row r="21708" spans="1:2" x14ac:dyDescent="0.25">
      <c r="A21708" s="2">
        <v>21703</v>
      </c>
      <c r="B21708" s="3" t="str">
        <f>"01038364"</f>
        <v>01038364</v>
      </c>
    </row>
    <row r="21709" spans="1:2" x14ac:dyDescent="0.25">
      <c r="A21709" s="2">
        <v>21704</v>
      </c>
      <c r="B21709" s="3" t="str">
        <f>"01038413"</f>
        <v>01038413</v>
      </c>
    </row>
    <row r="21710" spans="1:2" x14ac:dyDescent="0.25">
      <c r="A21710" s="2">
        <v>21705</v>
      </c>
      <c r="B21710" s="3" t="str">
        <f>"01038417"</f>
        <v>01038417</v>
      </c>
    </row>
    <row r="21711" spans="1:2" x14ac:dyDescent="0.25">
      <c r="A21711" s="2">
        <v>21706</v>
      </c>
      <c r="B21711" s="3" t="str">
        <f>"01038448"</f>
        <v>01038448</v>
      </c>
    </row>
    <row r="21712" spans="1:2" x14ac:dyDescent="0.25">
      <c r="A21712" s="2">
        <v>21707</v>
      </c>
      <c r="B21712" s="3" t="str">
        <f>"01038449"</f>
        <v>01038449</v>
      </c>
    </row>
    <row r="21713" spans="1:2" x14ac:dyDescent="0.25">
      <c r="A21713" s="2">
        <v>21708</v>
      </c>
      <c r="B21713" s="3" t="str">
        <f>"01038461"</f>
        <v>01038461</v>
      </c>
    </row>
    <row r="21714" spans="1:2" x14ac:dyDescent="0.25">
      <c r="A21714" s="2">
        <v>21709</v>
      </c>
      <c r="B21714" s="3" t="str">
        <f>"01038521"</f>
        <v>01038521</v>
      </c>
    </row>
    <row r="21715" spans="1:2" x14ac:dyDescent="0.25">
      <c r="A21715" s="2">
        <v>21710</v>
      </c>
      <c r="B21715" s="3" t="str">
        <f>"01038540"</f>
        <v>01038540</v>
      </c>
    </row>
    <row r="21716" spans="1:2" x14ac:dyDescent="0.25">
      <c r="A21716" s="2">
        <v>21711</v>
      </c>
      <c r="B21716" s="3" t="str">
        <f>"01038546"</f>
        <v>01038546</v>
      </c>
    </row>
    <row r="21717" spans="1:2" x14ac:dyDescent="0.25">
      <c r="A21717" s="2">
        <v>21712</v>
      </c>
      <c r="B21717" s="3" t="str">
        <f>"01038561"</f>
        <v>01038561</v>
      </c>
    </row>
    <row r="21718" spans="1:2" x14ac:dyDescent="0.25">
      <c r="A21718" s="2">
        <v>21713</v>
      </c>
      <c r="B21718" s="3" t="str">
        <f>"01038575"</f>
        <v>01038575</v>
      </c>
    </row>
    <row r="21719" spans="1:2" x14ac:dyDescent="0.25">
      <c r="A21719" s="2">
        <v>21714</v>
      </c>
      <c r="B21719" s="3" t="str">
        <f>"01038583"</f>
        <v>01038583</v>
      </c>
    </row>
    <row r="21720" spans="1:2" x14ac:dyDescent="0.25">
      <c r="A21720" s="2">
        <v>21715</v>
      </c>
      <c r="B21720" s="3" t="str">
        <f>"01038665"</f>
        <v>01038665</v>
      </c>
    </row>
    <row r="21721" spans="1:2" x14ac:dyDescent="0.25">
      <c r="A21721" s="2">
        <v>21716</v>
      </c>
      <c r="B21721" s="3" t="str">
        <f>"01038701"</f>
        <v>01038701</v>
      </c>
    </row>
    <row r="21722" spans="1:2" x14ac:dyDescent="0.25">
      <c r="A21722" s="2">
        <v>21717</v>
      </c>
      <c r="B21722" s="3" t="str">
        <f>"01038703"</f>
        <v>01038703</v>
      </c>
    </row>
    <row r="21723" spans="1:2" x14ac:dyDescent="0.25">
      <c r="A21723" s="2">
        <v>21718</v>
      </c>
      <c r="B21723" s="3" t="str">
        <f>"01038715"</f>
        <v>01038715</v>
      </c>
    </row>
    <row r="21724" spans="1:2" x14ac:dyDescent="0.25">
      <c r="A21724" s="2">
        <v>21719</v>
      </c>
      <c r="B21724" s="3" t="str">
        <f>"01038729"</f>
        <v>01038729</v>
      </c>
    </row>
    <row r="21725" spans="1:2" x14ac:dyDescent="0.25">
      <c r="A21725" s="2">
        <v>21720</v>
      </c>
      <c r="B21725" s="3" t="str">
        <f>"01038736"</f>
        <v>01038736</v>
      </c>
    </row>
    <row r="21726" spans="1:2" x14ac:dyDescent="0.25">
      <c r="A21726" s="2">
        <v>21721</v>
      </c>
      <c r="B21726" s="3" t="str">
        <f>"01038745"</f>
        <v>01038745</v>
      </c>
    </row>
    <row r="21727" spans="1:2" x14ac:dyDescent="0.25">
      <c r="A21727" s="2">
        <v>21722</v>
      </c>
      <c r="B21727" s="3" t="str">
        <f>"01038757"</f>
        <v>01038757</v>
      </c>
    </row>
    <row r="21728" spans="1:2" x14ac:dyDescent="0.25">
      <c r="A21728" s="2">
        <v>21723</v>
      </c>
      <c r="B21728" s="3" t="str">
        <f>"01038759"</f>
        <v>01038759</v>
      </c>
    </row>
    <row r="21729" spans="1:2" x14ac:dyDescent="0.25">
      <c r="A21729" s="2">
        <v>21724</v>
      </c>
      <c r="B21729" s="3" t="str">
        <f>"01038765"</f>
        <v>01038765</v>
      </c>
    </row>
    <row r="21730" spans="1:2" x14ac:dyDescent="0.25">
      <c r="A21730" s="2">
        <v>21725</v>
      </c>
      <c r="B21730" s="3" t="str">
        <f>"01038781"</f>
        <v>01038781</v>
      </c>
    </row>
    <row r="21731" spans="1:2" x14ac:dyDescent="0.25">
      <c r="A21731" s="2">
        <v>21726</v>
      </c>
      <c r="B21731" s="3" t="str">
        <f>"01038782"</f>
        <v>01038782</v>
      </c>
    </row>
    <row r="21732" spans="1:2" x14ac:dyDescent="0.25">
      <c r="A21732" s="2">
        <v>21727</v>
      </c>
      <c r="B21732" s="3" t="str">
        <f>"01038789"</f>
        <v>01038789</v>
      </c>
    </row>
    <row r="21733" spans="1:2" x14ac:dyDescent="0.25">
      <c r="A21733" s="2">
        <v>21728</v>
      </c>
      <c r="B21733" s="3" t="str">
        <f>"01038862"</f>
        <v>01038862</v>
      </c>
    </row>
    <row r="21734" spans="1:2" x14ac:dyDescent="0.25">
      <c r="A21734" s="2">
        <v>21729</v>
      </c>
      <c r="B21734" s="3" t="str">
        <f>"01038893"</f>
        <v>01038893</v>
      </c>
    </row>
    <row r="21735" spans="1:2" x14ac:dyDescent="0.25">
      <c r="A21735" s="2">
        <v>21730</v>
      </c>
      <c r="B21735" s="3" t="str">
        <f>"01038988"</f>
        <v>01038988</v>
      </c>
    </row>
    <row r="21736" spans="1:2" x14ac:dyDescent="0.25">
      <c r="A21736" s="2">
        <v>21731</v>
      </c>
      <c r="B21736" s="3" t="str">
        <f>"01038992"</f>
        <v>01038992</v>
      </c>
    </row>
    <row r="21737" spans="1:2" x14ac:dyDescent="0.25">
      <c r="A21737" s="2">
        <v>21732</v>
      </c>
      <c r="B21737" s="3" t="str">
        <f>"01039039"</f>
        <v>01039039</v>
      </c>
    </row>
    <row r="21738" spans="1:2" x14ac:dyDescent="0.25">
      <c r="A21738" s="2">
        <v>21733</v>
      </c>
      <c r="B21738" s="3" t="str">
        <f>"01039066"</f>
        <v>01039066</v>
      </c>
    </row>
    <row r="21739" spans="1:2" x14ac:dyDescent="0.25">
      <c r="A21739" s="2">
        <v>21734</v>
      </c>
      <c r="B21739" s="3" t="str">
        <f>"01039067"</f>
        <v>01039067</v>
      </c>
    </row>
    <row r="21740" spans="1:2" x14ac:dyDescent="0.25">
      <c r="A21740" s="2">
        <v>21735</v>
      </c>
      <c r="B21740" s="3" t="str">
        <f>"01039098"</f>
        <v>01039098</v>
      </c>
    </row>
    <row r="21741" spans="1:2" x14ac:dyDescent="0.25">
      <c r="A21741" s="2">
        <v>21736</v>
      </c>
      <c r="B21741" s="3" t="str">
        <f>"01039110"</f>
        <v>01039110</v>
      </c>
    </row>
    <row r="21742" spans="1:2" x14ac:dyDescent="0.25">
      <c r="A21742" s="2">
        <v>21737</v>
      </c>
      <c r="B21742" s="3" t="str">
        <f>"01039114"</f>
        <v>01039114</v>
      </c>
    </row>
    <row r="21743" spans="1:2" x14ac:dyDescent="0.25">
      <c r="A21743" s="2">
        <v>21738</v>
      </c>
      <c r="B21743" s="3" t="str">
        <f>"01039142"</f>
        <v>01039142</v>
      </c>
    </row>
    <row r="21744" spans="1:2" x14ac:dyDescent="0.25">
      <c r="A21744" s="2">
        <v>21739</v>
      </c>
      <c r="B21744" s="3" t="str">
        <f>"01039144"</f>
        <v>01039144</v>
      </c>
    </row>
    <row r="21745" spans="1:2" x14ac:dyDescent="0.25">
      <c r="A21745" s="2">
        <v>21740</v>
      </c>
      <c r="B21745" s="3" t="str">
        <f>"01039211"</f>
        <v>01039211</v>
      </c>
    </row>
    <row r="21746" spans="1:2" x14ac:dyDescent="0.25">
      <c r="A21746" s="2">
        <v>21741</v>
      </c>
      <c r="B21746" s="3" t="str">
        <f>"01039252"</f>
        <v>01039252</v>
      </c>
    </row>
    <row r="21747" spans="1:2" x14ac:dyDescent="0.25">
      <c r="A21747" s="2">
        <v>21742</v>
      </c>
      <c r="B21747" s="3" t="str">
        <f>"01039302"</f>
        <v>01039302</v>
      </c>
    </row>
    <row r="21748" spans="1:2" x14ac:dyDescent="0.25">
      <c r="A21748" s="2">
        <v>21743</v>
      </c>
      <c r="B21748" s="3" t="str">
        <f>"01039303"</f>
        <v>01039303</v>
      </c>
    </row>
    <row r="21749" spans="1:2" x14ac:dyDescent="0.25">
      <c r="A21749" s="2">
        <v>21744</v>
      </c>
      <c r="B21749" s="3" t="str">
        <f>"01039333"</f>
        <v>01039333</v>
      </c>
    </row>
    <row r="21750" spans="1:2" x14ac:dyDescent="0.25">
      <c r="A21750" s="2">
        <v>21745</v>
      </c>
      <c r="B21750" s="3" t="str">
        <f>"01039335"</f>
        <v>01039335</v>
      </c>
    </row>
    <row r="21751" spans="1:2" x14ac:dyDescent="0.25">
      <c r="A21751" s="2">
        <v>21746</v>
      </c>
      <c r="B21751" s="3" t="str">
        <f>"01039406"</f>
        <v>01039406</v>
      </c>
    </row>
    <row r="21752" spans="1:2" x14ac:dyDescent="0.25">
      <c r="A21752" s="2">
        <v>21747</v>
      </c>
      <c r="B21752" s="3" t="str">
        <f>"01039408"</f>
        <v>01039408</v>
      </c>
    </row>
    <row r="21753" spans="1:2" x14ac:dyDescent="0.25">
      <c r="A21753" s="2">
        <v>21748</v>
      </c>
      <c r="B21753" s="3" t="str">
        <f>"01039470"</f>
        <v>01039470</v>
      </c>
    </row>
    <row r="21754" spans="1:2" x14ac:dyDescent="0.25">
      <c r="A21754" s="2">
        <v>21749</v>
      </c>
      <c r="B21754" s="3" t="str">
        <f>"01039490"</f>
        <v>01039490</v>
      </c>
    </row>
    <row r="21755" spans="1:2" x14ac:dyDescent="0.25">
      <c r="A21755" s="2">
        <v>21750</v>
      </c>
      <c r="B21755" s="3" t="str">
        <f>"01039527"</f>
        <v>01039527</v>
      </c>
    </row>
    <row r="21756" spans="1:2" x14ac:dyDescent="0.25">
      <c r="A21756" s="2">
        <v>21751</v>
      </c>
      <c r="B21756" s="3" t="str">
        <f>"01039611"</f>
        <v>01039611</v>
      </c>
    </row>
    <row r="21757" spans="1:2" x14ac:dyDescent="0.25">
      <c r="A21757" s="2">
        <v>21752</v>
      </c>
      <c r="B21757" s="3" t="str">
        <f>"01039645"</f>
        <v>01039645</v>
      </c>
    </row>
    <row r="21758" spans="1:2" x14ac:dyDescent="0.25">
      <c r="A21758" s="2">
        <v>21753</v>
      </c>
      <c r="B21758" s="3" t="str">
        <f>"01039659"</f>
        <v>01039659</v>
      </c>
    </row>
    <row r="21759" spans="1:2" x14ac:dyDescent="0.25">
      <c r="A21759" s="2">
        <v>21754</v>
      </c>
      <c r="B21759" s="3" t="str">
        <f>"01039679"</f>
        <v>01039679</v>
      </c>
    </row>
    <row r="21760" spans="1:2" x14ac:dyDescent="0.25">
      <c r="A21760" s="2">
        <v>21755</v>
      </c>
      <c r="B21760" s="3" t="str">
        <f>"01039703"</f>
        <v>01039703</v>
      </c>
    </row>
    <row r="21761" spans="1:2" x14ac:dyDescent="0.25">
      <c r="A21761" s="2">
        <v>21756</v>
      </c>
      <c r="B21761" s="3" t="str">
        <f>"01039738"</f>
        <v>01039738</v>
      </c>
    </row>
    <row r="21762" spans="1:2" x14ac:dyDescent="0.25">
      <c r="A21762" s="2">
        <v>21757</v>
      </c>
      <c r="B21762" s="3" t="str">
        <f>"01039740"</f>
        <v>01039740</v>
      </c>
    </row>
    <row r="21763" spans="1:2" x14ac:dyDescent="0.25">
      <c r="A21763" s="2">
        <v>21758</v>
      </c>
      <c r="B21763" s="3" t="str">
        <f>"01039812"</f>
        <v>01039812</v>
      </c>
    </row>
    <row r="21764" spans="1:2" x14ac:dyDescent="0.25">
      <c r="A21764" s="2">
        <v>21759</v>
      </c>
      <c r="B21764" s="3" t="str">
        <f>"01039835"</f>
        <v>01039835</v>
      </c>
    </row>
    <row r="21765" spans="1:2" x14ac:dyDescent="0.25">
      <c r="A21765" s="2">
        <v>21760</v>
      </c>
      <c r="B21765" s="3" t="str">
        <f>"01039843"</f>
        <v>01039843</v>
      </c>
    </row>
    <row r="21766" spans="1:2" x14ac:dyDescent="0.25">
      <c r="A21766" s="2">
        <v>21761</v>
      </c>
      <c r="B21766" s="3" t="str">
        <f>"01039848"</f>
        <v>01039848</v>
      </c>
    </row>
    <row r="21767" spans="1:2" x14ac:dyDescent="0.25">
      <c r="A21767" s="2">
        <v>21762</v>
      </c>
      <c r="B21767" s="3" t="str">
        <f>"01039892"</f>
        <v>01039892</v>
      </c>
    </row>
    <row r="21768" spans="1:2" x14ac:dyDescent="0.25">
      <c r="A21768" s="2">
        <v>21763</v>
      </c>
      <c r="B21768" s="3" t="str">
        <f>"01039904"</f>
        <v>01039904</v>
      </c>
    </row>
    <row r="21769" spans="1:2" x14ac:dyDescent="0.25">
      <c r="A21769" s="2">
        <v>21764</v>
      </c>
      <c r="B21769" s="3" t="str">
        <f>"01039937"</f>
        <v>01039937</v>
      </c>
    </row>
    <row r="21770" spans="1:2" x14ac:dyDescent="0.25">
      <c r="A21770" s="2">
        <v>21765</v>
      </c>
      <c r="B21770" s="3" t="str">
        <f>"01039938"</f>
        <v>01039938</v>
      </c>
    </row>
    <row r="21771" spans="1:2" x14ac:dyDescent="0.25">
      <c r="A21771" s="2">
        <v>21766</v>
      </c>
      <c r="B21771" s="3" t="str">
        <f>"01039951"</f>
        <v>01039951</v>
      </c>
    </row>
    <row r="21772" spans="1:2" x14ac:dyDescent="0.25">
      <c r="A21772" s="2">
        <v>21767</v>
      </c>
      <c r="B21772" s="3" t="str">
        <f>"01040043"</f>
        <v>01040043</v>
      </c>
    </row>
    <row r="21773" spans="1:2" x14ac:dyDescent="0.25">
      <c r="A21773" s="2">
        <v>21768</v>
      </c>
      <c r="B21773" s="3" t="str">
        <f>"01040082"</f>
        <v>01040082</v>
      </c>
    </row>
    <row r="21774" spans="1:2" x14ac:dyDescent="0.25">
      <c r="A21774" s="2">
        <v>21769</v>
      </c>
      <c r="B21774" s="3" t="str">
        <f>"01040094"</f>
        <v>01040094</v>
      </c>
    </row>
    <row r="21775" spans="1:2" x14ac:dyDescent="0.25">
      <c r="A21775" s="2">
        <v>21770</v>
      </c>
      <c r="B21775" s="3" t="str">
        <f>"01040145"</f>
        <v>01040145</v>
      </c>
    </row>
    <row r="21776" spans="1:2" x14ac:dyDescent="0.25">
      <c r="A21776" s="2">
        <v>21771</v>
      </c>
      <c r="B21776" s="3" t="str">
        <f>"01040178"</f>
        <v>01040178</v>
      </c>
    </row>
    <row r="21777" spans="1:2" x14ac:dyDescent="0.25">
      <c r="A21777" s="2">
        <v>21772</v>
      </c>
      <c r="B21777" s="3" t="str">
        <f>"01040293"</f>
        <v>01040293</v>
      </c>
    </row>
    <row r="21778" spans="1:2" x14ac:dyDescent="0.25">
      <c r="A21778" s="2">
        <v>21773</v>
      </c>
      <c r="B21778" s="3" t="str">
        <f>"01040311"</f>
        <v>01040311</v>
      </c>
    </row>
    <row r="21779" spans="1:2" x14ac:dyDescent="0.25">
      <c r="A21779" s="2">
        <v>21774</v>
      </c>
      <c r="B21779" s="3" t="str">
        <f>"01040358"</f>
        <v>01040358</v>
      </c>
    </row>
    <row r="21780" spans="1:2" x14ac:dyDescent="0.25">
      <c r="A21780" s="2">
        <v>21775</v>
      </c>
      <c r="B21780" s="3" t="str">
        <f>"01040558"</f>
        <v>01040558</v>
      </c>
    </row>
    <row r="21781" spans="1:2" x14ac:dyDescent="0.25">
      <c r="A21781" s="2">
        <v>21776</v>
      </c>
      <c r="B21781" s="3" t="str">
        <f>"01040639"</f>
        <v>01040639</v>
      </c>
    </row>
    <row r="21782" spans="1:2" x14ac:dyDescent="0.25">
      <c r="A21782" s="2">
        <v>21777</v>
      </c>
      <c r="B21782" s="3" t="str">
        <f>"01040702"</f>
        <v>01040702</v>
      </c>
    </row>
    <row r="21783" spans="1:2" x14ac:dyDescent="0.25">
      <c r="A21783" s="2">
        <v>21778</v>
      </c>
      <c r="B21783" s="3" t="str">
        <f>"01040738"</f>
        <v>01040738</v>
      </c>
    </row>
    <row r="21784" spans="1:2" x14ac:dyDescent="0.25">
      <c r="A21784" s="2">
        <v>21779</v>
      </c>
      <c r="B21784" s="3" t="str">
        <f>"01040757"</f>
        <v>01040757</v>
      </c>
    </row>
    <row r="21785" spans="1:2" x14ac:dyDescent="0.25">
      <c r="A21785" s="2">
        <v>21780</v>
      </c>
      <c r="B21785" s="3" t="str">
        <f>"01040859"</f>
        <v>01040859</v>
      </c>
    </row>
    <row r="21786" spans="1:2" x14ac:dyDescent="0.25">
      <c r="A21786" s="2">
        <v>21781</v>
      </c>
      <c r="B21786" s="3" t="str">
        <f>"01040905"</f>
        <v>01040905</v>
      </c>
    </row>
    <row r="21787" spans="1:2" x14ac:dyDescent="0.25">
      <c r="A21787" s="2">
        <v>21782</v>
      </c>
      <c r="B21787" s="3" t="str">
        <f>"01040907"</f>
        <v>01040907</v>
      </c>
    </row>
    <row r="21788" spans="1:2" x14ac:dyDescent="0.25">
      <c r="A21788" s="2">
        <v>21783</v>
      </c>
      <c r="B21788" s="3" t="str">
        <f>"01041013"</f>
        <v>01041013</v>
      </c>
    </row>
    <row r="21789" spans="1:2" x14ac:dyDescent="0.25">
      <c r="A21789" s="2">
        <v>21784</v>
      </c>
      <c r="B21789" s="3" t="str">
        <f>"01041065"</f>
        <v>01041065</v>
      </c>
    </row>
    <row r="21790" spans="1:2" x14ac:dyDescent="0.25">
      <c r="A21790" s="2">
        <v>21785</v>
      </c>
      <c r="B21790" s="3" t="str">
        <f>"01041075"</f>
        <v>01041075</v>
      </c>
    </row>
    <row r="21791" spans="1:2" x14ac:dyDescent="0.25">
      <c r="A21791" s="2">
        <v>21786</v>
      </c>
      <c r="B21791" s="3" t="str">
        <f>"01041090"</f>
        <v>01041090</v>
      </c>
    </row>
    <row r="21792" spans="1:2" x14ac:dyDescent="0.25">
      <c r="A21792" s="2">
        <v>21787</v>
      </c>
      <c r="B21792" s="3" t="str">
        <f>"01041097"</f>
        <v>01041097</v>
      </c>
    </row>
    <row r="21793" spans="1:2" x14ac:dyDescent="0.25">
      <c r="A21793" s="2">
        <v>21788</v>
      </c>
      <c r="B21793" s="3" t="str">
        <f>"01041112"</f>
        <v>01041112</v>
      </c>
    </row>
    <row r="21794" spans="1:2" x14ac:dyDescent="0.25">
      <c r="A21794" s="2">
        <v>21789</v>
      </c>
      <c r="B21794" s="3" t="str">
        <f>"01041123"</f>
        <v>01041123</v>
      </c>
    </row>
    <row r="21795" spans="1:2" x14ac:dyDescent="0.25">
      <c r="A21795" s="2">
        <v>21790</v>
      </c>
      <c r="B21795" s="3" t="str">
        <f>"01041196"</f>
        <v>01041196</v>
      </c>
    </row>
    <row r="21796" spans="1:2" x14ac:dyDescent="0.25">
      <c r="A21796" s="2">
        <v>21791</v>
      </c>
      <c r="B21796" s="3" t="str">
        <f>"01041203"</f>
        <v>01041203</v>
      </c>
    </row>
    <row r="21797" spans="1:2" x14ac:dyDescent="0.25">
      <c r="A21797" s="2">
        <v>21792</v>
      </c>
      <c r="B21797" s="3" t="str">
        <f>"01041227"</f>
        <v>01041227</v>
      </c>
    </row>
    <row r="21798" spans="1:2" x14ac:dyDescent="0.25">
      <c r="A21798" s="2">
        <v>21793</v>
      </c>
      <c r="B21798" s="3" t="str">
        <f>"01041241"</f>
        <v>01041241</v>
      </c>
    </row>
    <row r="21799" spans="1:2" x14ac:dyDescent="0.25">
      <c r="A21799" s="2">
        <v>21794</v>
      </c>
      <c r="B21799" s="3" t="str">
        <f>"01041243"</f>
        <v>01041243</v>
      </c>
    </row>
    <row r="21800" spans="1:2" x14ac:dyDescent="0.25">
      <c r="A21800" s="2">
        <v>21795</v>
      </c>
      <c r="B21800" s="3" t="str">
        <f>"01041278"</f>
        <v>01041278</v>
      </c>
    </row>
    <row r="21801" spans="1:2" x14ac:dyDescent="0.25">
      <c r="A21801" s="2">
        <v>21796</v>
      </c>
      <c r="B21801" s="3" t="str">
        <f>"01041287"</f>
        <v>01041287</v>
      </c>
    </row>
    <row r="21802" spans="1:2" x14ac:dyDescent="0.25">
      <c r="A21802" s="2">
        <v>21797</v>
      </c>
      <c r="B21802" s="3" t="str">
        <f>"01041304"</f>
        <v>01041304</v>
      </c>
    </row>
    <row r="21803" spans="1:2" x14ac:dyDescent="0.25">
      <c r="A21803" s="2">
        <v>21798</v>
      </c>
      <c r="B21803" s="3" t="str">
        <f>"01041320"</f>
        <v>01041320</v>
      </c>
    </row>
    <row r="21804" spans="1:2" x14ac:dyDescent="0.25">
      <c r="A21804" s="2">
        <v>21799</v>
      </c>
      <c r="B21804" s="3" t="str">
        <f>"01041334"</f>
        <v>01041334</v>
      </c>
    </row>
    <row r="21805" spans="1:2" x14ac:dyDescent="0.25">
      <c r="A21805" s="2">
        <v>21800</v>
      </c>
      <c r="B21805" s="3" t="str">
        <f>"01041344"</f>
        <v>01041344</v>
      </c>
    </row>
    <row r="21806" spans="1:2" x14ac:dyDescent="0.25">
      <c r="A21806" s="2">
        <v>21801</v>
      </c>
      <c r="B21806" s="3" t="str">
        <f>"01041389"</f>
        <v>01041389</v>
      </c>
    </row>
    <row r="21807" spans="1:2" x14ac:dyDescent="0.25">
      <c r="A21807" s="2">
        <v>21802</v>
      </c>
      <c r="B21807" s="3" t="str">
        <f>"01041390"</f>
        <v>01041390</v>
      </c>
    </row>
    <row r="21808" spans="1:2" x14ac:dyDescent="0.25">
      <c r="A21808" s="2">
        <v>21803</v>
      </c>
      <c r="B21808" s="3" t="str">
        <f>"01041462"</f>
        <v>01041462</v>
      </c>
    </row>
    <row r="21809" spans="1:2" x14ac:dyDescent="0.25">
      <c r="A21809" s="2">
        <v>21804</v>
      </c>
      <c r="B21809" s="3" t="str">
        <f>"01041485"</f>
        <v>01041485</v>
      </c>
    </row>
    <row r="21810" spans="1:2" x14ac:dyDescent="0.25">
      <c r="A21810" s="2">
        <v>21805</v>
      </c>
      <c r="B21810" s="3" t="str">
        <f>"01041518"</f>
        <v>01041518</v>
      </c>
    </row>
    <row r="21811" spans="1:2" x14ac:dyDescent="0.25">
      <c r="A21811" s="2">
        <v>21806</v>
      </c>
      <c r="B21811" s="3" t="str">
        <f>"01041530"</f>
        <v>01041530</v>
      </c>
    </row>
    <row r="21812" spans="1:2" x14ac:dyDescent="0.25">
      <c r="A21812" s="2">
        <v>21807</v>
      </c>
      <c r="B21812" s="3" t="str">
        <f>"01041533"</f>
        <v>01041533</v>
      </c>
    </row>
    <row r="21813" spans="1:2" x14ac:dyDescent="0.25">
      <c r="A21813" s="2">
        <v>21808</v>
      </c>
      <c r="B21813" s="3" t="str">
        <f>"01041554"</f>
        <v>01041554</v>
      </c>
    </row>
    <row r="21814" spans="1:2" x14ac:dyDescent="0.25">
      <c r="A21814" s="2">
        <v>21809</v>
      </c>
      <c r="B21814" s="3" t="str">
        <f>"01041566"</f>
        <v>01041566</v>
      </c>
    </row>
    <row r="21815" spans="1:2" x14ac:dyDescent="0.25">
      <c r="A21815" s="2">
        <v>21810</v>
      </c>
      <c r="B21815" s="3" t="str">
        <f>"01041574"</f>
        <v>01041574</v>
      </c>
    </row>
    <row r="21816" spans="1:2" x14ac:dyDescent="0.25">
      <c r="A21816" s="2">
        <v>21811</v>
      </c>
      <c r="B21816" s="3" t="str">
        <f>"01041580"</f>
        <v>01041580</v>
      </c>
    </row>
    <row r="21817" spans="1:2" x14ac:dyDescent="0.25">
      <c r="A21817" s="2">
        <v>21812</v>
      </c>
      <c r="B21817" s="3" t="str">
        <f>"01041586"</f>
        <v>01041586</v>
      </c>
    </row>
    <row r="21818" spans="1:2" x14ac:dyDescent="0.25">
      <c r="A21818" s="2">
        <v>21813</v>
      </c>
      <c r="B21818" s="3" t="str">
        <f>"01041593"</f>
        <v>01041593</v>
      </c>
    </row>
    <row r="21819" spans="1:2" x14ac:dyDescent="0.25">
      <c r="A21819" s="2">
        <v>21814</v>
      </c>
      <c r="B21819" s="3" t="str">
        <f>"01041629"</f>
        <v>01041629</v>
      </c>
    </row>
    <row r="21820" spans="1:2" x14ac:dyDescent="0.25">
      <c r="A21820" s="2">
        <v>21815</v>
      </c>
      <c r="B21820" s="3" t="str">
        <f>"01041754"</f>
        <v>01041754</v>
      </c>
    </row>
    <row r="21821" spans="1:2" x14ac:dyDescent="0.25">
      <c r="A21821" s="2">
        <v>21816</v>
      </c>
      <c r="B21821" s="3" t="str">
        <f>"01041807"</f>
        <v>01041807</v>
      </c>
    </row>
    <row r="21822" spans="1:2" x14ac:dyDescent="0.25">
      <c r="A21822" s="2">
        <v>21817</v>
      </c>
      <c r="B21822" s="3" t="str">
        <f>"01041858"</f>
        <v>01041858</v>
      </c>
    </row>
    <row r="21823" spans="1:2" x14ac:dyDescent="0.25">
      <c r="A21823" s="2">
        <v>21818</v>
      </c>
      <c r="B21823" s="3" t="str">
        <f>"01041917"</f>
        <v>01041917</v>
      </c>
    </row>
    <row r="21824" spans="1:2" x14ac:dyDescent="0.25">
      <c r="A21824" s="2">
        <v>21819</v>
      </c>
      <c r="B21824" s="3" t="str">
        <f>"01041920"</f>
        <v>01041920</v>
      </c>
    </row>
    <row r="21825" spans="1:2" x14ac:dyDescent="0.25">
      <c r="A21825" s="2">
        <v>21820</v>
      </c>
      <c r="B21825" s="3" t="str">
        <f>"01041932"</f>
        <v>01041932</v>
      </c>
    </row>
    <row r="21826" spans="1:2" x14ac:dyDescent="0.25">
      <c r="A21826" s="2">
        <v>21821</v>
      </c>
      <c r="B21826" s="3" t="str">
        <f>"01042025"</f>
        <v>01042025</v>
      </c>
    </row>
    <row r="21827" spans="1:2" x14ac:dyDescent="0.25">
      <c r="A21827" s="2">
        <v>21822</v>
      </c>
      <c r="B21827" s="3" t="str">
        <f>"01042133"</f>
        <v>01042133</v>
      </c>
    </row>
    <row r="21828" spans="1:2" x14ac:dyDescent="0.25">
      <c r="A21828" s="2">
        <v>21823</v>
      </c>
      <c r="B21828" s="3" t="str">
        <f>"01042136"</f>
        <v>01042136</v>
      </c>
    </row>
    <row r="21829" spans="1:2" x14ac:dyDescent="0.25">
      <c r="A21829" s="2">
        <v>21824</v>
      </c>
      <c r="B21829" s="3" t="str">
        <f>"01042156"</f>
        <v>01042156</v>
      </c>
    </row>
    <row r="21830" spans="1:2" x14ac:dyDescent="0.25">
      <c r="A21830" s="2">
        <v>21825</v>
      </c>
      <c r="B21830" s="3" t="str">
        <f>"01042157"</f>
        <v>01042157</v>
      </c>
    </row>
    <row r="21831" spans="1:2" x14ac:dyDescent="0.25">
      <c r="A21831" s="2">
        <v>21826</v>
      </c>
      <c r="B21831" s="3" t="str">
        <f>"01042267"</f>
        <v>01042267</v>
      </c>
    </row>
    <row r="21832" spans="1:2" x14ac:dyDescent="0.25">
      <c r="A21832" s="2">
        <v>21827</v>
      </c>
      <c r="B21832" s="3" t="str">
        <f>"01042276"</f>
        <v>01042276</v>
      </c>
    </row>
    <row r="21833" spans="1:2" x14ac:dyDescent="0.25">
      <c r="A21833" s="2">
        <v>21828</v>
      </c>
      <c r="B21833" s="3" t="str">
        <f>"01042296"</f>
        <v>01042296</v>
      </c>
    </row>
    <row r="21834" spans="1:2" x14ac:dyDescent="0.25">
      <c r="A21834" s="2">
        <v>21829</v>
      </c>
      <c r="B21834" s="3" t="str">
        <f>"01042335"</f>
        <v>01042335</v>
      </c>
    </row>
    <row r="21835" spans="1:2" x14ac:dyDescent="0.25">
      <c r="A21835" s="2">
        <v>21830</v>
      </c>
      <c r="B21835" s="3" t="str">
        <f>"01042461"</f>
        <v>01042461</v>
      </c>
    </row>
    <row r="21836" spans="1:2" x14ac:dyDescent="0.25">
      <c r="A21836" s="2">
        <v>21831</v>
      </c>
      <c r="B21836" s="3" t="str">
        <f>"01042496"</f>
        <v>01042496</v>
      </c>
    </row>
    <row r="21837" spans="1:2" x14ac:dyDescent="0.25">
      <c r="A21837" s="2">
        <v>21832</v>
      </c>
      <c r="B21837" s="3" t="str">
        <f>"01042580"</f>
        <v>01042580</v>
      </c>
    </row>
    <row r="21838" spans="1:2" x14ac:dyDescent="0.25">
      <c r="A21838" s="2">
        <v>21833</v>
      </c>
      <c r="B21838" s="3" t="str">
        <f>"01042612"</f>
        <v>01042612</v>
      </c>
    </row>
    <row r="21839" spans="1:2" x14ac:dyDescent="0.25">
      <c r="A21839" s="2">
        <v>21834</v>
      </c>
      <c r="B21839" s="3" t="str">
        <f>"01042678"</f>
        <v>01042678</v>
      </c>
    </row>
    <row r="21840" spans="1:2" x14ac:dyDescent="0.25">
      <c r="A21840" s="2">
        <v>21835</v>
      </c>
      <c r="B21840" s="3" t="str">
        <f>"01042694"</f>
        <v>01042694</v>
      </c>
    </row>
    <row r="21841" spans="1:2" x14ac:dyDescent="0.25">
      <c r="A21841" s="2">
        <v>21836</v>
      </c>
      <c r="B21841" s="3" t="str">
        <f>"01042712"</f>
        <v>01042712</v>
      </c>
    </row>
    <row r="21842" spans="1:2" x14ac:dyDescent="0.25">
      <c r="A21842" s="2">
        <v>21837</v>
      </c>
      <c r="B21842" s="3" t="str">
        <f>"01042743"</f>
        <v>01042743</v>
      </c>
    </row>
    <row r="21843" spans="1:2" x14ac:dyDescent="0.25">
      <c r="A21843" s="2">
        <v>21838</v>
      </c>
      <c r="B21843" s="3" t="str">
        <f>"01042759"</f>
        <v>01042759</v>
      </c>
    </row>
    <row r="21844" spans="1:2" x14ac:dyDescent="0.25">
      <c r="A21844" s="2">
        <v>21839</v>
      </c>
      <c r="B21844" s="3" t="str">
        <f>"01042855"</f>
        <v>01042855</v>
      </c>
    </row>
    <row r="21845" spans="1:2" x14ac:dyDescent="0.25">
      <c r="A21845" s="2">
        <v>21840</v>
      </c>
      <c r="B21845" s="3" t="str">
        <f>"01042929"</f>
        <v>01042929</v>
      </c>
    </row>
    <row r="21846" spans="1:2" x14ac:dyDescent="0.25">
      <c r="A21846" s="2">
        <v>21841</v>
      </c>
      <c r="B21846" s="3" t="str">
        <f>"01042968"</f>
        <v>01042968</v>
      </c>
    </row>
    <row r="21847" spans="1:2" x14ac:dyDescent="0.25">
      <c r="A21847" s="2">
        <v>21842</v>
      </c>
      <c r="B21847" s="3" t="str">
        <f>"01042970"</f>
        <v>01042970</v>
      </c>
    </row>
    <row r="21848" spans="1:2" x14ac:dyDescent="0.25">
      <c r="A21848" s="2">
        <v>21843</v>
      </c>
      <c r="B21848" s="3" t="str">
        <f>"01042971"</f>
        <v>01042971</v>
      </c>
    </row>
    <row r="21849" spans="1:2" x14ac:dyDescent="0.25">
      <c r="A21849" s="2">
        <v>21844</v>
      </c>
      <c r="B21849" s="3" t="str">
        <f>"01043062"</f>
        <v>01043062</v>
      </c>
    </row>
    <row r="21850" spans="1:2" x14ac:dyDescent="0.25">
      <c r="A21850" s="2">
        <v>21845</v>
      </c>
      <c r="B21850" s="3" t="str">
        <f>"01043089"</f>
        <v>01043089</v>
      </c>
    </row>
    <row r="21851" spans="1:2" x14ac:dyDescent="0.25">
      <c r="A21851" s="2">
        <v>21846</v>
      </c>
      <c r="B21851" s="3" t="str">
        <f>"01043098"</f>
        <v>01043098</v>
      </c>
    </row>
    <row r="21852" spans="1:2" x14ac:dyDescent="0.25">
      <c r="A21852" s="2">
        <v>21847</v>
      </c>
      <c r="B21852" s="3" t="str">
        <f>"01043236"</f>
        <v>01043236</v>
      </c>
    </row>
    <row r="21853" spans="1:2" x14ac:dyDescent="0.25">
      <c r="A21853" s="2">
        <v>21848</v>
      </c>
      <c r="B21853" s="3" t="str">
        <f>"01043238"</f>
        <v>01043238</v>
      </c>
    </row>
    <row r="21854" spans="1:2" x14ac:dyDescent="0.25">
      <c r="A21854" s="2">
        <v>21849</v>
      </c>
      <c r="B21854" s="3" t="str">
        <f>"01043258"</f>
        <v>01043258</v>
      </c>
    </row>
    <row r="21855" spans="1:2" x14ac:dyDescent="0.25">
      <c r="A21855" s="2">
        <v>21850</v>
      </c>
      <c r="B21855" s="3" t="str">
        <f>"01043265"</f>
        <v>01043265</v>
      </c>
    </row>
    <row r="21856" spans="1:2" x14ac:dyDescent="0.25">
      <c r="A21856" s="2">
        <v>21851</v>
      </c>
      <c r="B21856" s="3" t="str">
        <f>"01043292"</f>
        <v>01043292</v>
      </c>
    </row>
    <row r="21857" spans="1:2" x14ac:dyDescent="0.25">
      <c r="A21857" s="2">
        <v>21852</v>
      </c>
      <c r="B21857" s="3" t="str">
        <f>"01043333"</f>
        <v>01043333</v>
      </c>
    </row>
    <row r="21858" spans="1:2" x14ac:dyDescent="0.25">
      <c r="A21858" s="2">
        <v>21853</v>
      </c>
      <c r="B21858" s="3" t="str">
        <f>"01043419"</f>
        <v>01043419</v>
      </c>
    </row>
    <row r="21859" spans="1:2" x14ac:dyDescent="0.25">
      <c r="A21859" s="2">
        <v>21854</v>
      </c>
      <c r="B21859" s="3" t="str">
        <f>"01043502"</f>
        <v>01043502</v>
      </c>
    </row>
    <row r="21860" spans="1:2" x14ac:dyDescent="0.25">
      <c r="A21860" s="2">
        <v>21855</v>
      </c>
      <c r="B21860" s="3" t="str">
        <f>"01043630"</f>
        <v>01043630</v>
      </c>
    </row>
    <row r="21861" spans="1:2" x14ac:dyDescent="0.25">
      <c r="A21861" s="2">
        <v>21856</v>
      </c>
      <c r="B21861" s="3" t="str">
        <f>"01043666"</f>
        <v>01043666</v>
      </c>
    </row>
    <row r="21862" spans="1:2" x14ac:dyDescent="0.25">
      <c r="A21862" s="2">
        <v>21857</v>
      </c>
      <c r="B21862" s="3" t="str">
        <f>"01043727"</f>
        <v>01043727</v>
      </c>
    </row>
    <row r="21863" spans="1:2" x14ac:dyDescent="0.25">
      <c r="A21863" s="2">
        <v>21858</v>
      </c>
      <c r="B21863" s="3" t="str">
        <f>"01043782"</f>
        <v>01043782</v>
      </c>
    </row>
    <row r="21864" spans="1:2" x14ac:dyDescent="0.25">
      <c r="A21864" s="2">
        <v>21859</v>
      </c>
      <c r="B21864" s="3" t="str">
        <f>"01043817"</f>
        <v>01043817</v>
      </c>
    </row>
    <row r="21865" spans="1:2" x14ac:dyDescent="0.25">
      <c r="A21865" s="2">
        <v>21860</v>
      </c>
      <c r="B21865" s="3" t="str">
        <f>"01043828"</f>
        <v>01043828</v>
      </c>
    </row>
    <row r="21866" spans="1:2" x14ac:dyDescent="0.25">
      <c r="A21866" s="2">
        <v>21861</v>
      </c>
      <c r="B21866" s="3" t="str">
        <f>"01043832"</f>
        <v>01043832</v>
      </c>
    </row>
    <row r="21867" spans="1:2" x14ac:dyDescent="0.25">
      <c r="A21867" s="2">
        <v>21862</v>
      </c>
      <c r="B21867" s="3" t="str">
        <f>"01043835"</f>
        <v>01043835</v>
      </c>
    </row>
    <row r="21868" spans="1:2" x14ac:dyDescent="0.25">
      <c r="A21868" s="2">
        <v>21863</v>
      </c>
      <c r="B21868" s="3" t="str">
        <f>"01043858"</f>
        <v>01043858</v>
      </c>
    </row>
    <row r="21869" spans="1:2" x14ac:dyDescent="0.25">
      <c r="A21869" s="2">
        <v>21864</v>
      </c>
      <c r="B21869" s="3" t="str">
        <f>"01043926"</f>
        <v>01043926</v>
      </c>
    </row>
    <row r="21870" spans="1:2" x14ac:dyDescent="0.25">
      <c r="A21870" s="2">
        <v>21865</v>
      </c>
      <c r="B21870" s="3" t="str">
        <f>"01043934"</f>
        <v>01043934</v>
      </c>
    </row>
    <row r="21871" spans="1:2" x14ac:dyDescent="0.25">
      <c r="A21871" s="2">
        <v>21866</v>
      </c>
      <c r="B21871" s="3" t="str">
        <f>"01044015"</f>
        <v>01044015</v>
      </c>
    </row>
    <row r="21872" spans="1:2" x14ac:dyDescent="0.25">
      <c r="A21872" s="2">
        <v>21867</v>
      </c>
      <c r="B21872" s="3" t="str">
        <f>"01044053"</f>
        <v>01044053</v>
      </c>
    </row>
    <row r="21873" spans="1:2" x14ac:dyDescent="0.25">
      <c r="A21873" s="2">
        <v>21868</v>
      </c>
      <c r="B21873" s="3" t="str">
        <f>"01044088"</f>
        <v>01044088</v>
      </c>
    </row>
    <row r="21874" spans="1:2" x14ac:dyDescent="0.25">
      <c r="A21874" s="2">
        <v>21869</v>
      </c>
      <c r="B21874" s="3" t="str">
        <f>"01044092"</f>
        <v>01044092</v>
      </c>
    </row>
    <row r="21875" spans="1:2" x14ac:dyDescent="0.25">
      <c r="A21875" s="2">
        <v>21870</v>
      </c>
      <c r="B21875" s="3" t="str">
        <f>"01044103"</f>
        <v>01044103</v>
      </c>
    </row>
    <row r="21876" spans="1:2" x14ac:dyDescent="0.25">
      <c r="A21876" s="2">
        <v>21871</v>
      </c>
      <c r="B21876" s="3" t="str">
        <f>"01044106"</f>
        <v>01044106</v>
      </c>
    </row>
    <row r="21877" spans="1:2" x14ac:dyDescent="0.25">
      <c r="A21877" s="2">
        <v>21872</v>
      </c>
      <c r="B21877" s="3" t="str">
        <f>"01044107"</f>
        <v>01044107</v>
      </c>
    </row>
    <row r="21878" spans="1:2" x14ac:dyDescent="0.25">
      <c r="A21878" s="2">
        <v>21873</v>
      </c>
      <c r="B21878" s="3" t="str">
        <f>"01044127"</f>
        <v>01044127</v>
      </c>
    </row>
    <row r="21879" spans="1:2" x14ac:dyDescent="0.25">
      <c r="A21879" s="2">
        <v>21874</v>
      </c>
      <c r="B21879" s="3" t="str">
        <f>"01044132"</f>
        <v>01044132</v>
      </c>
    </row>
    <row r="21880" spans="1:2" x14ac:dyDescent="0.25">
      <c r="A21880" s="2">
        <v>21875</v>
      </c>
      <c r="B21880" s="3" t="str">
        <f>"01044141"</f>
        <v>01044141</v>
      </c>
    </row>
    <row r="21881" spans="1:2" x14ac:dyDescent="0.25">
      <c r="A21881" s="2">
        <v>21876</v>
      </c>
      <c r="B21881" s="3" t="str">
        <f>"01044158"</f>
        <v>01044158</v>
      </c>
    </row>
    <row r="21882" spans="1:2" x14ac:dyDescent="0.25">
      <c r="A21882" s="2">
        <v>21877</v>
      </c>
      <c r="B21882" s="3" t="str">
        <f>"01044165"</f>
        <v>01044165</v>
      </c>
    </row>
    <row r="21883" spans="1:2" x14ac:dyDescent="0.25">
      <c r="A21883" s="2">
        <v>21878</v>
      </c>
      <c r="B21883" s="3" t="str">
        <f>"01044247"</f>
        <v>01044247</v>
      </c>
    </row>
    <row r="21884" spans="1:2" x14ac:dyDescent="0.25">
      <c r="A21884" s="2">
        <v>21879</v>
      </c>
      <c r="B21884" s="3" t="str">
        <f>"01044288"</f>
        <v>01044288</v>
      </c>
    </row>
    <row r="21885" spans="1:2" x14ac:dyDescent="0.25">
      <c r="A21885" s="2">
        <v>21880</v>
      </c>
      <c r="B21885" s="3" t="str">
        <f>"01044318"</f>
        <v>01044318</v>
      </c>
    </row>
    <row r="21886" spans="1:2" x14ac:dyDescent="0.25">
      <c r="A21886" s="2">
        <v>21881</v>
      </c>
      <c r="B21886" s="3" t="str">
        <f>"01044407"</f>
        <v>01044407</v>
      </c>
    </row>
    <row r="21887" spans="1:2" x14ac:dyDescent="0.25">
      <c r="A21887" s="2">
        <v>21882</v>
      </c>
      <c r="B21887" s="3" t="str">
        <f>"01044469"</f>
        <v>01044469</v>
      </c>
    </row>
    <row r="21888" spans="1:2" x14ac:dyDescent="0.25">
      <c r="A21888" s="2">
        <v>21883</v>
      </c>
      <c r="B21888" s="3" t="str">
        <f>"01044503"</f>
        <v>01044503</v>
      </c>
    </row>
    <row r="21889" spans="1:2" x14ac:dyDescent="0.25">
      <c r="A21889" s="2">
        <v>21884</v>
      </c>
      <c r="B21889" s="3" t="str">
        <f>"01044507"</f>
        <v>01044507</v>
      </c>
    </row>
    <row r="21890" spans="1:2" x14ac:dyDescent="0.25">
      <c r="A21890" s="2">
        <v>21885</v>
      </c>
      <c r="B21890" s="3" t="str">
        <f>"01044676"</f>
        <v>01044676</v>
      </c>
    </row>
    <row r="21891" spans="1:2" x14ac:dyDescent="0.25">
      <c r="A21891" s="2">
        <v>21886</v>
      </c>
      <c r="B21891" s="3" t="str">
        <f>"01044718"</f>
        <v>01044718</v>
      </c>
    </row>
    <row r="21892" spans="1:2" x14ac:dyDescent="0.25">
      <c r="A21892" s="2">
        <v>21887</v>
      </c>
      <c r="B21892" s="3" t="str">
        <f>"01044732"</f>
        <v>01044732</v>
      </c>
    </row>
    <row r="21893" spans="1:2" x14ac:dyDescent="0.25">
      <c r="A21893" s="2">
        <v>21888</v>
      </c>
      <c r="B21893" s="3" t="str">
        <f>"01044750"</f>
        <v>01044750</v>
      </c>
    </row>
    <row r="21894" spans="1:2" x14ac:dyDescent="0.25">
      <c r="A21894" s="2">
        <v>21889</v>
      </c>
      <c r="B21894" s="3" t="str">
        <f>"01044865"</f>
        <v>01044865</v>
      </c>
    </row>
    <row r="21895" spans="1:2" x14ac:dyDescent="0.25">
      <c r="A21895" s="2">
        <v>21890</v>
      </c>
      <c r="B21895" s="3" t="str">
        <f>"01044899"</f>
        <v>01044899</v>
      </c>
    </row>
    <row r="21896" spans="1:2" x14ac:dyDescent="0.25">
      <c r="A21896" s="2">
        <v>21891</v>
      </c>
      <c r="B21896" s="3" t="str">
        <f>"01044901"</f>
        <v>01044901</v>
      </c>
    </row>
    <row r="21897" spans="1:2" x14ac:dyDescent="0.25">
      <c r="A21897" s="2">
        <v>21892</v>
      </c>
      <c r="B21897" s="3" t="str">
        <f>"01044905"</f>
        <v>01044905</v>
      </c>
    </row>
    <row r="21898" spans="1:2" x14ac:dyDescent="0.25">
      <c r="A21898" s="2">
        <v>21893</v>
      </c>
      <c r="B21898" s="3" t="str">
        <f>"01044954"</f>
        <v>01044954</v>
      </c>
    </row>
    <row r="21899" spans="1:2" x14ac:dyDescent="0.25">
      <c r="A21899" s="2">
        <v>21894</v>
      </c>
      <c r="B21899" s="3" t="str">
        <f>"01045050"</f>
        <v>01045050</v>
      </c>
    </row>
    <row r="21900" spans="1:2" x14ac:dyDescent="0.25">
      <c r="A21900" s="2">
        <v>21895</v>
      </c>
      <c r="B21900" s="3" t="str">
        <f>"01045082"</f>
        <v>01045082</v>
      </c>
    </row>
    <row r="21901" spans="1:2" x14ac:dyDescent="0.25">
      <c r="A21901" s="2">
        <v>21896</v>
      </c>
      <c r="B21901" s="3" t="str">
        <f>"01045182"</f>
        <v>01045182</v>
      </c>
    </row>
    <row r="21902" spans="1:2" x14ac:dyDescent="0.25">
      <c r="A21902" s="2">
        <v>21897</v>
      </c>
      <c r="B21902" s="3" t="str">
        <f>"01045186"</f>
        <v>01045186</v>
      </c>
    </row>
    <row r="21903" spans="1:2" x14ac:dyDescent="0.25">
      <c r="A21903" s="2">
        <v>21898</v>
      </c>
      <c r="B21903" s="3" t="str">
        <f>"01045196"</f>
        <v>01045196</v>
      </c>
    </row>
    <row r="21904" spans="1:2" x14ac:dyDescent="0.25">
      <c r="A21904" s="2">
        <v>21899</v>
      </c>
      <c r="B21904" s="3" t="str">
        <f>"01045197"</f>
        <v>01045197</v>
      </c>
    </row>
    <row r="21905" spans="1:2" x14ac:dyDescent="0.25">
      <c r="A21905" s="2">
        <v>21900</v>
      </c>
      <c r="B21905" s="3" t="str">
        <f>"01045211"</f>
        <v>01045211</v>
      </c>
    </row>
    <row r="21906" spans="1:2" x14ac:dyDescent="0.25">
      <c r="A21906" s="2">
        <v>21901</v>
      </c>
      <c r="B21906" s="3" t="str">
        <f>"01045251"</f>
        <v>01045251</v>
      </c>
    </row>
    <row r="21907" spans="1:2" x14ac:dyDescent="0.25">
      <c r="A21907" s="2">
        <v>21902</v>
      </c>
      <c r="B21907" s="3" t="str">
        <f>"01045289"</f>
        <v>01045289</v>
      </c>
    </row>
    <row r="21908" spans="1:2" x14ac:dyDescent="0.25">
      <c r="A21908" s="2">
        <v>21903</v>
      </c>
      <c r="B21908" s="3" t="str">
        <f>"01045342"</f>
        <v>01045342</v>
      </c>
    </row>
    <row r="21909" spans="1:2" x14ac:dyDescent="0.25">
      <c r="A21909" s="2">
        <v>21904</v>
      </c>
      <c r="B21909" s="3" t="str">
        <f>"01045378"</f>
        <v>01045378</v>
      </c>
    </row>
    <row r="21910" spans="1:2" x14ac:dyDescent="0.25">
      <c r="A21910" s="2">
        <v>21905</v>
      </c>
      <c r="B21910" s="3" t="str">
        <f>"01045416"</f>
        <v>01045416</v>
      </c>
    </row>
    <row r="21911" spans="1:2" x14ac:dyDescent="0.25">
      <c r="A21911" s="2">
        <v>21906</v>
      </c>
      <c r="B21911" s="3" t="str">
        <f>"01045427"</f>
        <v>01045427</v>
      </c>
    </row>
    <row r="21912" spans="1:2" x14ac:dyDescent="0.25">
      <c r="A21912" s="2">
        <v>21907</v>
      </c>
      <c r="B21912" s="3" t="str">
        <f>"01045431"</f>
        <v>01045431</v>
      </c>
    </row>
    <row r="21913" spans="1:2" x14ac:dyDescent="0.25">
      <c r="A21913" s="2">
        <v>21908</v>
      </c>
      <c r="B21913" s="3" t="str">
        <f>"01045457"</f>
        <v>01045457</v>
      </c>
    </row>
    <row r="21914" spans="1:2" x14ac:dyDescent="0.25">
      <c r="A21914" s="2">
        <v>21909</v>
      </c>
      <c r="B21914" s="3" t="str">
        <f>"01045461"</f>
        <v>01045461</v>
      </c>
    </row>
    <row r="21915" spans="1:2" x14ac:dyDescent="0.25">
      <c r="A21915" s="2">
        <v>21910</v>
      </c>
      <c r="B21915" s="3" t="str">
        <f>"01045488"</f>
        <v>01045488</v>
      </c>
    </row>
    <row r="21916" spans="1:2" x14ac:dyDescent="0.25">
      <c r="A21916" s="2">
        <v>21911</v>
      </c>
      <c r="B21916" s="3" t="str">
        <f>"01045522"</f>
        <v>01045522</v>
      </c>
    </row>
    <row r="21917" spans="1:2" x14ac:dyDescent="0.25">
      <c r="A21917" s="2">
        <v>21912</v>
      </c>
      <c r="B21917" s="3" t="str">
        <f>"01045585"</f>
        <v>01045585</v>
      </c>
    </row>
    <row r="21918" spans="1:2" x14ac:dyDescent="0.25">
      <c r="A21918" s="2">
        <v>21913</v>
      </c>
      <c r="B21918" s="3" t="str">
        <f>"01045601"</f>
        <v>01045601</v>
      </c>
    </row>
    <row r="21919" spans="1:2" x14ac:dyDescent="0.25">
      <c r="A21919" s="2">
        <v>21914</v>
      </c>
      <c r="B21919" s="3" t="str">
        <f>"01045618"</f>
        <v>01045618</v>
      </c>
    </row>
    <row r="21920" spans="1:2" x14ac:dyDescent="0.25">
      <c r="A21920" s="2">
        <v>21915</v>
      </c>
      <c r="B21920" s="3" t="str">
        <f>"01045699"</f>
        <v>01045699</v>
      </c>
    </row>
    <row r="21921" spans="1:2" x14ac:dyDescent="0.25">
      <c r="A21921" s="2">
        <v>21916</v>
      </c>
      <c r="B21921" s="3" t="str">
        <f>"01045706"</f>
        <v>01045706</v>
      </c>
    </row>
    <row r="21922" spans="1:2" x14ac:dyDescent="0.25">
      <c r="A21922" s="2">
        <v>21917</v>
      </c>
      <c r="B21922" s="3" t="str">
        <f>"01045710"</f>
        <v>01045710</v>
      </c>
    </row>
    <row r="21923" spans="1:2" x14ac:dyDescent="0.25">
      <c r="A21923" s="2">
        <v>21918</v>
      </c>
      <c r="B21923" s="3" t="str">
        <f>"01045762"</f>
        <v>01045762</v>
      </c>
    </row>
    <row r="21924" spans="1:2" x14ac:dyDescent="0.25">
      <c r="A21924" s="2">
        <v>21919</v>
      </c>
      <c r="B21924" s="3" t="str">
        <f>"01045819"</f>
        <v>01045819</v>
      </c>
    </row>
    <row r="21925" spans="1:2" x14ac:dyDescent="0.25">
      <c r="A21925" s="2">
        <v>21920</v>
      </c>
      <c r="B21925" s="3" t="str">
        <f>"01045846"</f>
        <v>01045846</v>
      </c>
    </row>
    <row r="21926" spans="1:2" x14ac:dyDescent="0.25">
      <c r="A21926" s="2">
        <v>21921</v>
      </c>
      <c r="B21926" s="3" t="str">
        <f>"01045859"</f>
        <v>01045859</v>
      </c>
    </row>
    <row r="21927" spans="1:2" x14ac:dyDescent="0.25">
      <c r="A21927" s="2">
        <v>21922</v>
      </c>
      <c r="B21927" s="3" t="str">
        <f>"01045862"</f>
        <v>01045862</v>
      </c>
    </row>
    <row r="21928" spans="1:2" x14ac:dyDescent="0.25">
      <c r="A21928" s="2">
        <v>21923</v>
      </c>
      <c r="B21928" s="3" t="str">
        <f>"01045868"</f>
        <v>01045868</v>
      </c>
    </row>
    <row r="21929" spans="1:2" x14ac:dyDescent="0.25">
      <c r="A21929" s="2">
        <v>21924</v>
      </c>
      <c r="B21929" s="3" t="str">
        <f>"01045871"</f>
        <v>01045871</v>
      </c>
    </row>
    <row r="21930" spans="1:2" x14ac:dyDescent="0.25">
      <c r="A21930" s="2">
        <v>21925</v>
      </c>
      <c r="B21930" s="3" t="str">
        <f>"01045893"</f>
        <v>01045893</v>
      </c>
    </row>
    <row r="21931" spans="1:2" x14ac:dyDescent="0.25">
      <c r="A21931" s="2">
        <v>21926</v>
      </c>
      <c r="B21931" s="3" t="str">
        <f>"01045913"</f>
        <v>01045913</v>
      </c>
    </row>
    <row r="21932" spans="1:2" x14ac:dyDescent="0.25">
      <c r="A21932" s="2">
        <v>21927</v>
      </c>
      <c r="B21932" s="3" t="str">
        <f>"01045918"</f>
        <v>01045918</v>
      </c>
    </row>
    <row r="21933" spans="1:2" x14ac:dyDescent="0.25">
      <c r="A21933" s="2">
        <v>21928</v>
      </c>
      <c r="B21933" s="3" t="str">
        <f>"01045936"</f>
        <v>01045936</v>
      </c>
    </row>
    <row r="21934" spans="1:2" x14ac:dyDescent="0.25">
      <c r="A21934" s="2">
        <v>21929</v>
      </c>
      <c r="B21934" s="3" t="str">
        <f>"01045979"</f>
        <v>01045979</v>
      </c>
    </row>
    <row r="21935" spans="1:2" x14ac:dyDescent="0.25">
      <c r="A21935" s="2">
        <v>21930</v>
      </c>
      <c r="B21935" s="3" t="str">
        <f>"01046004"</f>
        <v>01046004</v>
      </c>
    </row>
    <row r="21936" spans="1:2" x14ac:dyDescent="0.25">
      <c r="A21936" s="2">
        <v>21931</v>
      </c>
      <c r="B21936" s="3" t="str">
        <f>"01046035"</f>
        <v>01046035</v>
      </c>
    </row>
    <row r="21937" spans="1:2" x14ac:dyDescent="0.25">
      <c r="A21937" s="2">
        <v>21932</v>
      </c>
      <c r="B21937" s="3" t="str">
        <f>"01046051"</f>
        <v>01046051</v>
      </c>
    </row>
    <row r="21938" spans="1:2" x14ac:dyDescent="0.25">
      <c r="A21938" s="2">
        <v>21933</v>
      </c>
      <c r="B21938" s="3" t="str">
        <f>"01046270"</f>
        <v>01046270</v>
      </c>
    </row>
    <row r="21939" spans="1:2" x14ac:dyDescent="0.25">
      <c r="A21939" s="2">
        <v>21934</v>
      </c>
      <c r="B21939" s="3" t="str">
        <f>"01046380"</f>
        <v>01046380</v>
      </c>
    </row>
    <row r="21940" spans="1:2" x14ac:dyDescent="0.25">
      <c r="A21940" s="2">
        <v>21935</v>
      </c>
      <c r="B21940" s="3" t="str">
        <f>"01046389"</f>
        <v>01046389</v>
      </c>
    </row>
    <row r="21941" spans="1:2" x14ac:dyDescent="0.25">
      <c r="A21941" s="2">
        <v>21936</v>
      </c>
      <c r="B21941" s="3" t="str">
        <f>"01046400"</f>
        <v>01046400</v>
      </c>
    </row>
    <row r="21942" spans="1:2" x14ac:dyDescent="0.25">
      <c r="A21942" s="2">
        <v>21937</v>
      </c>
      <c r="B21942" s="3" t="str">
        <f>"01046402"</f>
        <v>01046402</v>
      </c>
    </row>
    <row r="21943" spans="1:2" x14ac:dyDescent="0.25">
      <c r="A21943" s="2">
        <v>21938</v>
      </c>
      <c r="B21943" s="3" t="str">
        <f>"01046414"</f>
        <v>01046414</v>
      </c>
    </row>
    <row r="21944" spans="1:2" x14ac:dyDescent="0.25">
      <c r="A21944" s="2">
        <v>21939</v>
      </c>
      <c r="B21944" s="3" t="str">
        <f>"01046420"</f>
        <v>01046420</v>
      </c>
    </row>
    <row r="21945" spans="1:2" x14ac:dyDescent="0.25">
      <c r="A21945" s="2">
        <v>21940</v>
      </c>
      <c r="B21945" s="3" t="str">
        <f>"01046458"</f>
        <v>01046458</v>
      </c>
    </row>
    <row r="21946" spans="1:2" x14ac:dyDescent="0.25">
      <c r="A21946" s="2">
        <v>21941</v>
      </c>
      <c r="B21946" s="3" t="str">
        <f>"01046463"</f>
        <v>01046463</v>
      </c>
    </row>
    <row r="21947" spans="1:2" x14ac:dyDescent="0.25">
      <c r="A21947" s="2">
        <v>21942</v>
      </c>
      <c r="B21947" s="3" t="str">
        <f>"01046519"</f>
        <v>01046519</v>
      </c>
    </row>
    <row r="21948" spans="1:2" x14ac:dyDescent="0.25">
      <c r="A21948" s="2">
        <v>21943</v>
      </c>
      <c r="B21948" s="3" t="str">
        <f>"01046541"</f>
        <v>01046541</v>
      </c>
    </row>
    <row r="21949" spans="1:2" x14ac:dyDescent="0.25">
      <c r="A21949" s="2">
        <v>21944</v>
      </c>
      <c r="B21949" s="3" t="str">
        <f>"01046543"</f>
        <v>01046543</v>
      </c>
    </row>
    <row r="21950" spans="1:2" x14ac:dyDescent="0.25">
      <c r="A21950" s="2">
        <v>21945</v>
      </c>
      <c r="B21950" s="3" t="str">
        <f>"01046553"</f>
        <v>01046553</v>
      </c>
    </row>
    <row r="21951" spans="1:2" x14ac:dyDescent="0.25">
      <c r="A21951" s="2">
        <v>21946</v>
      </c>
      <c r="B21951" s="3" t="str">
        <f>"01046561"</f>
        <v>01046561</v>
      </c>
    </row>
    <row r="21952" spans="1:2" x14ac:dyDescent="0.25">
      <c r="A21952" s="2">
        <v>21947</v>
      </c>
      <c r="B21952" s="3" t="str">
        <f>"01046592"</f>
        <v>01046592</v>
      </c>
    </row>
    <row r="21953" spans="1:2" x14ac:dyDescent="0.25">
      <c r="A21953" s="2">
        <v>21948</v>
      </c>
      <c r="B21953" s="3" t="str">
        <f>"01046614"</f>
        <v>01046614</v>
      </c>
    </row>
    <row r="21954" spans="1:2" x14ac:dyDescent="0.25">
      <c r="A21954" s="2">
        <v>21949</v>
      </c>
      <c r="B21954" s="3" t="str">
        <f>"01046650"</f>
        <v>01046650</v>
      </c>
    </row>
    <row r="21955" spans="1:2" x14ac:dyDescent="0.25">
      <c r="A21955" s="2">
        <v>21950</v>
      </c>
      <c r="B21955" s="3" t="str">
        <f>"01046653"</f>
        <v>01046653</v>
      </c>
    </row>
    <row r="21956" spans="1:2" x14ac:dyDescent="0.25">
      <c r="A21956" s="2">
        <v>21951</v>
      </c>
      <c r="B21956" s="3" t="str">
        <f>"01046672"</f>
        <v>01046672</v>
      </c>
    </row>
    <row r="21957" spans="1:2" x14ac:dyDescent="0.25">
      <c r="A21957" s="2">
        <v>21952</v>
      </c>
      <c r="B21957" s="3" t="str">
        <f>"01046690"</f>
        <v>01046690</v>
      </c>
    </row>
    <row r="21958" spans="1:2" x14ac:dyDescent="0.25">
      <c r="A21958" s="2">
        <v>21953</v>
      </c>
      <c r="B21958" s="3" t="str">
        <f>"01046778"</f>
        <v>01046778</v>
      </c>
    </row>
    <row r="21959" spans="1:2" x14ac:dyDescent="0.25">
      <c r="A21959" s="2">
        <v>21954</v>
      </c>
      <c r="B21959" s="3" t="str">
        <f>"01046788"</f>
        <v>01046788</v>
      </c>
    </row>
    <row r="21960" spans="1:2" x14ac:dyDescent="0.25">
      <c r="A21960" s="2">
        <v>21955</v>
      </c>
      <c r="B21960" s="3" t="str">
        <f>"01046822"</f>
        <v>01046822</v>
      </c>
    </row>
    <row r="21961" spans="1:2" x14ac:dyDescent="0.25">
      <c r="A21961" s="2">
        <v>21956</v>
      </c>
      <c r="B21961" s="3" t="str">
        <f>"01046835"</f>
        <v>01046835</v>
      </c>
    </row>
    <row r="21962" spans="1:2" x14ac:dyDescent="0.25">
      <c r="A21962" s="2">
        <v>21957</v>
      </c>
      <c r="B21962" s="3" t="str">
        <f>"01046858"</f>
        <v>01046858</v>
      </c>
    </row>
    <row r="21963" spans="1:2" x14ac:dyDescent="0.25">
      <c r="A21963" s="2">
        <v>21958</v>
      </c>
      <c r="B21963" s="3" t="str">
        <f>"01046898"</f>
        <v>01046898</v>
      </c>
    </row>
    <row r="21964" spans="1:2" x14ac:dyDescent="0.25">
      <c r="A21964" s="2">
        <v>21959</v>
      </c>
      <c r="B21964" s="3" t="str">
        <f>"01046929"</f>
        <v>01046929</v>
      </c>
    </row>
    <row r="21965" spans="1:2" x14ac:dyDescent="0.25">
      <c r="A21965" s="2">
        <v>21960</v>
      </c>
      <c r="B21965" s="3" t="str">
        <f>"01046934"</f>
        <v>01046934</v>
      </c>
    </row>
    <row r="21966" spans="1:2" x14ac:dyDescent="0.25">
      <c r="A21966" s="2">
        <v>21961</v>
      </c>
      <c r="B21966" s="3" t="str">
        <f>"01046986"</f>
        <v>01046986</v>
      </c>
    </row>
    <row r="21967" spans="1:2" x14ac:dyDescent="0.25">
      <c r="A21967" s="2">
        <v>21962</v>
      </c>
      <c r="B21967" s="3" t="str">
        <f>"01046992"</f>
        <v>01046992</v>
      </c>
    </row>
    <row r="21968" spans="1:2" x14ac:dyDescent="0.25">
      <c r="A21968" s="2">
        <v>21963</v>
      </c>
      <c r="B21968" s="3" t="str">
        <f>"01047001"</f>
        <v>01047001</v>
      </c>
    </row>
    <row r="21969" spans="1:2" x14ac:dyDescent="0.25">
      <c r="A21969" s="2">
        <v>21964</v>
      </c>
      <c r="B21969" s="3" t="str">
        <f>"01047042"</f>
        <v>01047042</v>
      </c>
    </row>
    <row r="21970" spans="1:2" x14ac:dyDescent="0.25">
      <c r="A21970" s="2">
        <v>21965</v>
      </c>
      <c r="B21970" s="3" t="str">
        <f>"01047114"</f>
        <v>01047114</v>
      </c>
    </row>
    <row r="21971" spans="1:2" x14ac:dyDescent="0.25">
      <c r="A21971" s="2">
        <v>21966</v>
      </c>
      <c r="B21971" s="3" t="str">
        <f>"01047130"</f>
        <v>01047130</v>
      </c>
    </row>
    <row r="21972" spans="1:2" x14ac:dyDescent="0.25">
      <c r="A21972" s="2">
        <v>21967</v>
      </c>
      <c r="B21972" s="3" t="str">
        <f>"01047150"</f>
        <v>01047150</v>
      </c>
    </row>
    <row r="21973" spans="1:2" x14ac:dyDescent="0.25">
      <c r="A21973" s="2">
        <v>21968</v>
      </c>
      <c r="B21973" s="3" t="str">
        <f>"01047168"</f>
        <v>01047168</v>
      </c>
    </row>
    <row r="21974" spans="1:2" x14ac:dyDescent="0.25">
      <c r="A21974" s="2">
        <v>21969</v>
      </c>
      <c r="B21974" s="3" t="str">
        <f>"01047191"</f>
        <v>01047191</v>
      </c>
    </row>
    <row r="21975" spans="1:2" x14ac:dyDescent="0.25">
      <c r="A21975" s="2">
        <v>21970</v>
      </c>
      <c r="B21975" s="3" t="str">
        <f>"01047193"</f>
        <v>01047193</v>
      </c>
    </row>
    <row r="21976" spans="1:2" x14ac:dyDescent="0.25">
      <c r="A21976" s="2">
        <v>21971</v>
      </c>
      <c r="B21976" s="3" t="str">
        <f>"01047203"</f>
        <v>01047203</v>
      </c>
    </row>
    <row r="21977" spans="1:2" x14ac:dyDescent="0.25">
      <c r="A21977" s="2">
        <v>21972</v>
      </c>
      <c r="B21977" s="3" t="str">
        <f>"01047252"</f>
        <v>01047252</v>
      </c>
    </row>
    <row r="21978" spans="1:2" x14ac:dyDescent="0.25">
      <c r="A21978" s="2">
        <v>21973</v>
      </c>
      <c r="B21978" s="3" t="str">
        <f>"01047261"</f>
        <v>01047261</v>
      </c>
    </row>
    <row r="21979" spans="1:2" x14ac:dyDescent="0.25">
      <c r="A21979" s="2">
        <v>21974</v>
      </c>
      <c r="B21979" s="3" t="str">
        <f>"01047311"</f>
        <v>01047311</v>
      </c>
    </row>
    <row r="21980" spans="1:2" x14ac:dyDescent="0.25">
      <c r="A21980" s="2">
        <v>21975</v>
      </c>
      <c r="B21980" s="3" t="str">
        <f>"01047323"</f>
        <v>01047323</v>
      </c>
    </row>
    <row r="21981" spans="1:2" x14ac:dyDescent="0.25">
      <c r="A21981" s="2">
        <v>21976</v>
      </c>
      <c r="B21981" s="3" t="str">
        <f>"01047364"</f>
        <v>01047364</v>
      </c>
    </row>
    <row r="21982" spans="1:2" x14ac:dyDescent="0.25">
      <c r="A21982" s="2">
        <v>21977</v>
      </c>
      <c r="B21982" s="3" t="str">
        <f>"01047375"</f>
        <v>01047375</v>
      </c>
    </row>
    <row r="21983" spans="1:2" x14ac:dyDescent="0.25">
      <c r="A21983" s="2">
        <v>21978</v>
      </c>
      <c r="B21983" s="3" t="str">
        <f>"01047394"</f>
        <v>01047394</v>
      </c>
    </row>
    <row r="21984" spans="1:2" x14ac:dyDescent="0.25">
      <c r="A21984" s="2">
        <v>21979</v>
      </c>
      <c r="B21984" s="3" t="str">
        <f>"01047443"</f>
        <v>01047443</v>
      </c>
    </row>
    <row r="21985" spans="1:2" x14ac:dyDescent="0.25">
      <c r="A21985" s="2">
        <v>21980</v>
      </c>
      <c r="B21985" s="3" t="str">
        <f>"01047444"</f>
        <v>01047444</v>
      </c>
    </row>
    <row r="21986" spans="1:2" x14ac:dyDescent="0.25">
      <c r="A21986" s="2">
        <v>21981</v>
      </c>
      <c r="B21986" s="3" t="str">
        <f>"01047460"</f>
        <v>01047460</v>
      </c>
    </row>
    <row r="21987" spans="1:2" x14ac:dyDescent="0.25">
      <c r="A21987" s="2">
        <v>21982</v>
      </c>
      <c r="B21987" s="3" t="str">
        <f>"01047483"</f>
        <v>01047483</v>
      </c>
    </row>
    <row r="21988" spans="1:2" x14ac:dyDescent="0.25">
      <c r="A21988" s="2">
        <v>21983</v>
      </c>
      <c r="B21988" s="3" t="str">
        <f>"01047491"</f>
        <v>01047491</v>
      </c>
    </row>
    <row r="21989" spans="1:2" x14ac:dyDescent="0.25">
      <c r="A21989" s="2">
        <v>21984</v>
      </c>
      <c r="B21989" s="3" t="str">
        <f>"01047507"</f>
        <v>01047507</v>
      </c>
    </row>
    <row r="21990" spans="1:2" x14ac:dyDescent="0.25">
      <c r="A21990" s="2">
        <v>21985</v>
      </c>
      <c r="B21990" s="3" t="str">
        <f>"01047519"</f>
        <v>01047519</v>
      </c>
    </row>
    <row r="21991" spans="1:2" x14ac:dyDescent="0.25">
      <c r="A21991" s="2">
        <v>21986</v>
      </c>
      <c r="B21991" s="3" t="str">
        <f>"01047528"</f>
        <v>01047528</v>
      </c>
    </row>
    <row r="21992" spans="1:2" x14ac:dyDescent="0.25">
      <c r="A21992" s="2">
        <v>21987</v>
      </c>
      <c r="B21992" s="3" t="str">
        <f>"01047541"</f>
        <v>01047541</v>
      </c>
    </row>
    <row r="21993" spans="1:2" x14ac:dyDescent="0.25">
      <c r="A21993" s="2">
        <v>21988</v>
      </c>
      <c r="B21993" s="3" t="str">
        <f>"01047570"</f>
        <v>01047570</v>
      </c>
    </row>
    <row r="21994" spans="1:2" x14ac:dyDescent="0.25">
      <c r="A21994" s="2">
        <v>21989</v>
      </c>
      <c r="B21994" s="3" t="str">
        <f>"01047589"</f>
        <v>01047589</v>
      </c>
    </row>
    <row r="21995" spans="1:2" x14ac:dyDescent="0.25">
      <c r="A21995" s="2">
        <v>21990</v>
      </c>
      <c r="B21995" s="3" t="str">
        <f>"01047599"</f>
        <v>01047599</v>
      </c>
    </row>
    <row r="21996" spans="1:2" x14ac:dyDescent="0.25">
      <c r="A21996" s="2">
        <v>21991</v>
      </c>
      <c r="B21996" s="3" t="str">
        <f>"01047627"</f>
        <v>01047627</v>
      </c>
    </row>
    <row r="21997" spans="1:2" x14ac:dyDescent="0.25">
      <c r="A21997" s="2">
        <v>21992</v>
      </c>
      <c r="B21997" s="3" t="str">
        <f>"01047715"</f>
        <v>01047715</v>
      </c>
    </row>
    <row r="21998" spans="1:2" x14ac:dyDescent="0.25">
      <c r="A21998" s="2">
        <v>21993</v>
      </c>
      <c r="B21998" s="3" t="str">
        <f>"01047733"</f>
        <v>01047733</v>
      </c>
    </row>
    <row r="21999" spans="1:2" x14ac:dyDescent="0.25">
      <c r="A21999" s="2">
        <v>21994</v>
      </c>
      <c r="B21999" s="3" t="str">
        <f>"01047762"</f>
        <v>01047762</v>
      </c>
    </row>
    <row r="22000" spans="1:2" x14ac:dyDescent="0.25">
      <c r="A22000" s="2">
        <v>21995</v>
      </c>
      <c r="B22000" s="3" t="str">
        <f>"01047770"</f>
        <v>01047770</v>
      </c>
    </row>
    <row r="22001" spans="1:2" x14ac:dyDescent="0.25">
      <c r="A22001" s="2">
        <v>21996</v>
      </c>
      <c r="B22001" s="3" t="str">
        <f>"01047775"</f>
        <v>01047775</v>
      </c>
    </row>
    <row r="22002" spans="1:2" x14ac:dyDescent="0.25">
      <c r="A22002" s="2">
        <v>21997</v>
      </c>
      <c r="B22002" s="3" t="str">
        <f>"01047819"</f>
        <v>01047819</v>
      </c>
    </row>
    <row r="22003" spans="1:2" x14ac:dyDescent="0.25">
      <c r="A22003" s="2">
        <v>21998</v>
      </c>
      <c r="B22003" s="3" t="str">
        <f>"01047820"</f>
        <v>01047820</v>
      </c>
    </row>
    <row r="22004" spans="1:2" x14ac:dyDescent="0.25">
      <c r="A22004" s="2">
        <v>21999</v>
      </c>
      <c r="B22004" s="3" t="str">
        <f>"01047848"</f>
        <v>01047848</v>
      </c>
    </row>
    <row r="22005" spans="1:2" x14ac:dyDescent="0.25">
      <c r="A22005" s="2">
        <v>22000</v>
      </c>
      <c r="B22005" s="3" t="str">
        <f>"01047870"</f>
        <v>01047870</v>
      </c>
    </row>
    <row r="22006" spans="1:2" x14ac:dyDescent="0.25">
      <c r="A22006" s="2">
        <v>22001</v>
      </c>
      <c r="B22006" s="3" t="str">
        <f>"01047937"</f>
        <v>01047937</v>
      </c>
    </row>
    <row r="22007" spans="1:2" x14ac:dyDescent="0.25">
      <c r="A22007" s="2">
        <v>22002</v>
      </c>
      <c r="B22007" s="3" t="str">
        <f>"01048001"</f>
        <v>01048001</v>
      </c>
    </row>
    <row r="22008" spans="1:2" x14ac:dyDescent="0.25">
      <c r="A22008" s="2">
        <v>22003</v>
      </c>
      <c r="B22008" s="3" t="str">
        <f>"01048003"</f>
        <v>01048003</v>
      </c>
    </row>
    <row r="22009" spans="1:2" x14ac:dyDescent="0.25">
      <c r="A22009" s="2">
        <v>22004</v>
      </c>
      <c r="B22009" s="3" t="str">
        <f>"01048021"</f>
        <v>01048021</v>
      </c>
    </row>
    <row r="22010" spans="1:2" x14ac:dyDescent="0.25">
      <c r="A22010" s="2">
        <v>22005</v>
      </c>
      <c r="B22010" s="3" t="str">
        <f>"01048088"</f>
        <v>01048088</v>
      </c>
    </row>
    <row r="22011" spans="1:2" x14ac:dyDescent="0.25">
      <c r="A22011" s="2">
        <v>22006</v>
      </c>
      <c r="B22011" s="3" t="str">
        <f>"01048105"</f>
        <v>01048105</v>
      </c>
    </row>
    <row r="22012" spans="1:2" x14ac:dyDescent="0.25">
      <c r="A22012" s="2">
        <v>22007</v>
      </c>
      <c r="B22012" s="3" t="str">
        <f>"01048129"</f>
        <v>01048129</v>
      </c>
    </row>
    <row r="22013" spans="1:2" x14ac:dyDescent="0.25">
      <c r="A22013" s="2">
        <v>22008</v>
      </c>
      <c r="B22013" s="3" t="str">
        <f>"01048150"</f>
        <v>01048150</v>
      </c>
    </row>
    <row r="22014" spans="1:2" x14ac:dyDescent="0.25">
      <c r="A22014" s="2">
        <v>22009</v>
      </c>
      <c r="B22014" s="3" t="str">
        <f>"01048204"</f>
        <v>01048204</v>
      </c>
    </row>
    <row r="22015" spans="1:2" x14ac:dyDescent="0.25">
      <c r="A22015" s="2">
        <v>22010</v>
      </c>
      <c r="B22015" s="3" t="str">
        <f>"01048225"</f>
        <v>01048225</v>
      </c>
    </row>
    <row r="22016" spans="1:2" x14ac:dyDescent="0.25">
      <c r="A22016" s="2">
        <v>22011</v>
      </c>
      <c r="B22016" s="3" t="str">
        <f>"01048226"</f>
        <v>01048226</v>
      </c>
    </row>
    <row r="22017" spans="1:2" x14ac:dyDescent="0.25">
      <c r="A22017" s="2">
        <v>22012</v>
      </c>
      <c r="B22017" s="3" t="str">
        <f>"01048254"</f>
        <v>01048254</v>
      </c>
    </row>
    <row r="22018" spans="1:2" x14ac:dyDescent="0.25">
      <c r="A22018" s="2">
        <v>22013</v>
      </c>
      <c r="B22018" s="3" t="str">
        <f>"01048273"</f>
        <v>01048273</v>
      </c>
    </row>
    <row r="22019" spans="1:2" x14ac:dyDescent="0.25">
      <c r="A22019" s="2">
        <v>22014</v>
      </c>
      <c r="B22019" s="3" t="str">
        <f>"01048290"</f>
        <v>01048290</v>
      </c>
    </row>
    <row r="22020" spans="1:2" x14ac:dyDescent="0.25">
      <c r="A22020" s="2">
        <v>22015</v>
      </c>
      <c r="B22020" s="3" t="str">
        <f>"01048299"</f>
        <v>01048299</v>
      </c>
    </row>
    <row r="22021" spans="1:2" x14ac:dyDescent="0.25">
      <c r="A22021" s="2">
        <v>22016</v>
      </c>
      <c r="B22021" s="3" t="str">
        <f>"01048302"</f>
        <v>01048302</v>
      </c>
    </row>
    <row r="22022" spans="1:2" x14ac:dyDescent="0.25">
      <c r="A22022" s="2">
        <v>22017</v>
      </c>
      <c r="B22022" s="3" t="str">
        <f>"01048433"</f>
        <v>01048433</v>
      </c>
    </row>
    <row r="22023" spans="1:2" x14ac:dyDescent="0.25">
      <c r="A22023" s="2">
        <v>22018</v>
      </c>
      <c r="B22023" s="3" t="str">
        <f>"01048452"</f>
        <v>01048452</v>
      </c>
    </row>
    <row r="22024" spans="1:2" x14ac:dyDescent="0.25">
      <c r="A22024" s="2">
        <v>22019</v>
      </c>
      <c r="B22024" s="3" t="str">
        <f>"01048455"</f>
        <v>01048455</v>
      </c>
    </row>
    <row r="22025" spans="1:2" x14ac:dyDescent="0.25">
      <c r="A22025" s="2">
        <v>22020</v>
      </c>
      <c r="B22025" s="3" t="str">
        <f>"01048497"</f>
        <v>01048497</v>
      </c>
    </row>
    <row r="22026" spans="1:2" x14ac:dyDescent="0.25">
      <c r="A22026" s="2">
        <v>22021</v>
      </c>
      <c r="B22026" s="3" t="str">
        <f>"01048509"</f>
        <v>01048509</v>
      </c>
    </row>
    <row r="22027" spans="1:2" x14ac:dyDescent="0.25">
      <c r="A22027" s="2">
        <v>22022</v>
      </c>
      <c r="B22027" s="3" t="str">
        <f>"01048511"</f>
        <v>01048511</v>
      </c>
    </row>
    <row r="22028" spans="1:2" x14ac:dyDescent="0.25">
      <c r="A22028" s="2">
        <v>22023</v>
      </c>
      <c r="B22028" s="3" t="str">
        <f>"01048533"</f>
        <v>01048533</v>
      </c>
    </row>
    <row r="22029" spans="1:2" x14ac:dyDescent="0.25">
      <c r="A22029" s="2">
        <v>22024</v>
      </c>
      <c r="B22029" s="3" t="str">
        <f>"01048585"</f>
        <v>01048585</v>
      </c>
    </row>
    <row r="22030" spans="1:2" x14ac:dyDescent="0.25">
      <c r="A22030" s="2">
        <v>22025</v>
      </c>
      <c r="B22030" s="3" t="str">
        <f>"01048599"</f>
        <v>01048599</v>
      </c>
    </row>
    <row r="22031" spans="1:2" x14ac:dyDescent="0.25">
      <c r="A22031" s="2">
        <v>22026</v>
      </c>
      <c r="B22031" s="3" t="str">
        <f>"01048602"</f>
        <v>01048602</v>
      </c>
    </row>
    <row r="22032" spans="1:2" x14ac:dyDescent="0.25">
      <c r="A22032" s="2">
        <v>22027</v>
      </c>
      <c r="B22032" s="3" t="str">
        <f>"01048629"</f>
        <v>01048629</v>
      </c>
    </row>
    <row r="22033" spans="1:2" x14ac:dyDescent="0.25">
      <c r="A22033" s="2">
        <v>22028</v>
      </c>
      <c r="B22033" s="3" t="str">
        <f>"01048631"</f>
        <v>01048631</v>
      </c>
    </row>
    <row r="22034" spans="1:2" x14ac:dyDescent="0.25">
      <c r="A22034" s="2">
        <v>22029</v>
      </c>
      <c r="B22034" s="3" t="str">
        <f>"01048650"</f>
        <v>01048650</v>
      </c>
    </row>
    <row r="22035" spans="1:2" x14ac:dyDescent="0.25">
      <c r="A22035" s="2">
        <v>22030</v>
      </c>
      <c r="B22035" s="3" t="str">
        <f>"01048652"</f>
        <v>01048652</v>
      </c>
    </row>
    <row r="22036" spans="1:2" x14ac:dyDescent="0.25">
      <c r="A22036" s="2">
        <v>22031</v>
      </c>
      <c r="B22036" s="3" t="str">
        <f>"01048718"</f>
        <v>01048718</v>
      </c>
    </row>
    <row r="22037" spans="1:2" x14ac:dyDescent="0.25">
      <c r="A22037" s="2">
        <v>22032</v>
      </c>
      <c r="B22037" s="3" t="str">
        <f>"01048777"</f>
        <v>01048777</v>
      </c>
    </row>
    <row r="22038" spans="1:2" x14ac:dyDescent="0.25">
      <c r="A22038" s="2">
        <v>22033</v>
      </c>
      <c r="B22038" s="3" t="str">
        <f>"01048784"</f>
        <v>01048784</v>
      </c>
    </row>
    <row r="22039" spans="1:2" x14ac:dyDescent="0.25">
      <c r="A22039" s="2">
        <v>22034</v>
      </c>
      <c r="B22039" s="3" t="str">
        <f>"01048793"</f>
        <v>01048793</v>
      </c>
    </row>
    <row r="22040" spans="1:2" x14ac:dyDescent="0.25">
      <c r="A22040" s="2">
        <v>22035</v>
      </c>
      <c r="B22040" s="3" t="str">
        <f>"01048813"</f>
        <v>01048813</v>
      </c>
    </row>
    <row r="22041" spans="1:2" x14ac:dyDescent="0.25">
      <c r="A22041" s="2">
        <v>22036</v>
      </c>
      <c r="B22041" s="3" t="str">
        <f>"01048821"</f>
        <v>01048821</v>
      </c>
    </row>
    <row r="22042" spans="1:2" x14ac:dyDescent="0.25">
      <c r="A22042" s="2">
        <v>22037</v>
      </c>
      <c r="B22042" s="3" t="str">
        <f>"01048979"</f>
        <v>01048979</v>
      </c>
    </row>
    <row r="22043" spans="1:2" x14ac:dyDescent="0.25">
      <c r="A22043" s="2">
        <v>22038</v>
      </c>
      <c r="B22043" s="3" t="str">
        <f>"01049001"</f>
        <v>01049001</v>
      </c>
    </row>
    <row r="22044" spans="1:2" x14ac:dyDescent="0.25">
      <c r="A22044" s="2">
        <v>22039</v>
      </c>
      <c r="B22044" s="3" t="str">
        <f>"01049010"</f>
        <v>01049010</v>
      </c>
    </row>
    <row r="22045" spans="1:2" x14ac:dyDescent="0.25">
      <c r="A22045" s="2">
        <v>22040</v>
      </c>
      <c r="B22045" s="3" t="str">
        <f>"01049076"</f>
        <v>01049076</v>
      </c>
    </row>
    <row r="22046" spans="1:2" x14ac:dyDescent="0.25">
      <c r="A22046" s="2">
        <v>22041</v>
      </c>
      <c r="B22046" s="3" t="str">
        <f>"01049085"</f>
        <v>01049085</v>
      </c>
    </row>
    <row r="22047" spans="1:2" x14ac:dyDescent="0.25">
      <c r="A22047" s="2">
        <v>22042</v>
      </c>
      <c r="B22047" s="3" t="str">
        <f>"01049134"</f>
        <v>01049134</v>
      </c>
    </row>
    <row r="22048" spans="1:2" x14ac:dyDescent="0.25">
      <c r="A22048" s="2">
        <v>22043</v>
      </c>
      <c r="B22048" s="3" t="str">
        <f>"01049158"</f>
        <v>01049158</v>
      </c>
    </row>
    <row r="22049" spans="1:2" x14ac:dyDescent="0.25">
      <c r="A22049" s="2">
        <v>22044</v>
      </c>
      <c r="B22049" s="3" t="str">
        <f>"01049211"</f>
        <v>01049211</v>
      </c>
    </row>
    <row r="22050" spans="1:2" x14ac:dyDescent="0.25">
      <c r="A22050" s="2">
        <v>22045</v>
      </c>
      <c r="B22050" s="3" t="str">
        <f>"01049251"</f>
        <v>01049251</v>
      </c>
    </row>
    <row r="22051" spans="1:2" x14ac:dyDescent="0.25">
      <c r="A22051" s="2">
        <v>22046</v>
      </c>
      <c r="B22051" s="3" t="str">
        <f>"01049295"</f>
        <v>01049295</v>
      </c>
    </row>
    <row r="22052" spans="1:2" x14ac:dyDescent="0.25">
      <c r="A22052" s="2">
        <v>22047</v>
      </c>
      <c r="B22052" s="3" t="str">
        <f>"01049310"</f>
        <v>01049310</v>
      </c>
    </row>
    <row r="22053" spans="1:2" x14ac:dyDescent="0.25">
      <c r="A22053" s="2">
        <v>22048</v>
      </c>
      <c r="B22053" s="3" t="str">
        <f>"01049327"</f>
        <v>01049327</v>
      </c>
    </row>
    <row r="22054" spans="1:2" x14ac:dyDescent="0.25">
      <c r="A22054" s="2">
        <v>22049</v>
      </c>
      <c r="B22054" s="3" t="str">
        <f>"01049392"</f>
        <v>01049392</v>
      </c>
    </row>
    <row r="22055" spans="1:2" x14ac:dyDescent="0.25">
      <c r="A22055" s="2">
        <v>22050</v>
      </c>
      <c r="B22055" s="3" t="str">
        <f>"01049418"</f>
        <v>01049418</v>
      </c>
    </row>
    <row r="22056" spans="1:2" x14ac:dyDescent="0.25">
      <c r="A22056" s="2">
        <v>22051</v>
      </c>
      <c r="B22056" s="3" t="str">
        <f>"01049420"</f>
        <v>01049420</v>
      </c>
    </row>
    <row r="22057" spans="1:2" x14ac:dyDescent="0.25">
      <c r="A22057" s="2">
        <v>22052</v>
      </c>
      <c r="B22057" s="3" t="str">
        <f>"01049430"</f>
        <v>01049430</v>
      </c>
    </row>
    <row r="22058" spans="1:2" x14ac:dyDescent="0.25">
      <c r="A22058" s="2">
        <v>22053</v>
      </c>
      <c r="B22058" s="3" t="str">
        <f>"01049432"</f>
        <v>01049432</v>
      </c>
    </row>
    <row r="22059" spans="1:2" x14ac:dyDescent="0.25">
      <c r="A22059" s="2">
        <v>22054</v>
      </c>
      <c r="B22059" s="3" t="str">
        <f>"01049434"</f>
        <v>01049434</v>
      </c>
    </row>
    <row r="22060" spans="1:2" x14ac:dyDescent="0.25">
      <c r="A22060" s="2">
        <v>22055</v>
      </c>
      <c r="B22060" s="3" t="str">
        <f>"01049435"</f>
        <v>01049435</v>
      </c>
    </row>
    <row r="22061" spans="1:2" x14ac:dyDescent="0.25">
      <c r="A22061" s="2">
        <v>22056</v>
      </c>
      <c r="B22061" s="3" t="str">
        <f>"01049442"</f>
        <v>01049442</v>
      </c>
    </row>
    <row r="22062" spans="1:2" x14ac:dyDescent="0.25">
      <c r="A22062" s="2">
        <v>22057</v>
      </c>
      <c r="B22062" s="3" t="str">
        <f>"01049445"</f>
        <v>01049445</v>
      </c>
    </row>
    <row r="22063" spans="1:2" x14ac:dyDescent="0.25">
      <c r="A22063" s="2">
        <v>22058</v>
      </c>
      <c r="B22063" s="3" t="str">
        <f>"01049449"</f>
        <v>01049449</v>
      </c>
    </row>
    <row r="22064" spans="1:2" x14ac:dyDescent="0.25">
      <c r="A22064" s="2">
        <v>22059</v>
      </c>
      <c r="B22064" s="3" t="str">
        <f>"01049455"</f>
        <v>01049455</v>
      </c>
    </row>
    <row r="22065" spans="1:2" x14ac:dyDescent="0.25">
      <c r="A22065" s="2">
        <v>22060</v>
      </c>
      <c r="B22065" s="3" t="str">
        <f>"01049472"</f>
        <v>01049472</v>
      </c>
    </row>
    <row r="22066" spans="1:2" x14ac:dyDescent="0.25">
      <c r="A22066" s="2">
        <v>22061</v>
      </c>
      <c r="B22066" s="3" t="str">
        <f>"01049473"</f>
        <v>01049473</v>
      </c>
    </row>
    <row r="22067" spans="1:2" x14ac:dyDescent="0.25">
      <c r="A22067" s="2">
        <v>22062</v>
      </c>
      <c r="B22067" s="3" t="str">
        <f>"01049507"</f>
        <v>01049507</v>
      </c>
    </row>
    <row r="22068" spans="1:2" x14ac:dyDescent="0.25">
      <c r="A22068" s="2">
        <v>22063</v>
      </c>
      <c r="B22068" s="3" t="str">
        <f>"01049508"</f>
        <v>01049508</v>
      </c>
    </row>
    <row r="22069" spans="1:2" x14ac:dyDescent="0.25">
      <c r="A22069" s="2">
        <v>22064</v>
      </c>
      <c r="B22069" s="3" t="str">
        <f>"01049576"</f>
        <v>01049576</v>
      </c>
    </row>
    <row r="22070" spans="1:2" x14ac:dyDescent="0.25">
      <c r="A22070" s="2">
        <v>22065</v>
      </c>
      <c r="B22070" s="3" t="str">
        <f>"01049590"</f>
        <v>01049590</v>
      </c>
    </row>
    <row r="22071" spans="1:2" x14ac:dyDescent="0.25">
      <c r="A22071" s="2">
        <v>22066</v>
      </c>
      <c r="B22071" s="3" t="str">
        <f>"01049592"</f>
        <v>01049592</v>
      </c>
    </row>
    <row r="22072" spans="1:2" x14ac:dyDescent="0.25">
      <c r="A22072" s="2">
        <v>22067</v>
      </c>
      <c r="B22072" s="3" t="str">
        <f>"01049641"</f>
        <v>01049641</v>
      </c>
    </row>
    <row r="22073" spans="1:2" x14ac:dyDescent="0.25">
      <c r="A22073" s="2">
        <v>22068</v>
      </c>
      <c r="B22073" s="3" t="str">
        <f>"01049670"</f>
        <v>01049670</v>
      </c>
    </row>
    <row r="22074" spans="1:2" x14ac:dyDescent="0.25">
      <c r="A22074" s="2">
        <v>22069</v>
      </c>
      <c r="B22074" s="3" t="str">
        <f>"01049727"</f>
        <v>01049727</v>
      </c>
    </row>
    <row r="22075" spans="1:2" x14ac:dyDescent="0.25">
      <c r="A22075" s="2">
        <v>22070</v>
      </c>
      <c r="B22075" s="3" t="str">
        <f>"01049736"</f>
        <v>01049736</v>
      </c>
    </row>
    <row r="22076" spans="1:2" x14ac:dyDescent="0.25">
      <c r="A22076" s="2">
        <v>22071</v>
      </c>
      <c r="B22076" s="3" t="str">
        <f>"01049761"</f>
        <v>01049761</v>
      </c>
    </row>
    <row r="22077" spans="1:2" x14ac:dyDescent="0.25">
      <c r="A22077" s="2">
        <v>22072</v>
      </c>
      <c r="B22077" s="3" t="str">
        <f>"01049779"</f>
        <v>01049779</v>
      </c>
    </row>
    <row r="22078" spans="1:2" x14ac:dyDescent="0.25">
      <c r="A22078" s="2">
        <v>22073</v>
      </c>
      <c r="B22078" s="3" t="str">
        <f>"01049819"</f>
        <v>01049819</v>
      </c>
    </row>
    <row r="22079" spans="1:2" x14ac:dyDescent="0.25">
      <c r="A22079" s="2">
        <v>22074</v>
      </c>
      <c r="B22079" s="3" t="str">
        <f>"01049836"</f>
        <v>01049836</v>
      </c>
    </row>
    <row r="22080" spans="1:2" x14ac:dyDescent="0.25">
      <c r="A22080" s="2">
        <v>22075</v>
      </c>
      <c r="B22080" s="3" t="str">
        <f>"01049842"</f>
        <v>01049842</v>
      </c>
    </row>
    <row r="22081" spans="1:2" x14ac:dyDescent="0.25">
      <c r="A22081" s="2">
        <v>22076</v>
      </c>
      <c r="B22081" s="3" t="str">
        <f>"01049896"</f>
        <v>01049896</v>
      </c>
    </row>
    <row r="22082" spans="1:2" x14ac:dyDescent="0.25">
      <c r="A22082" s="2">
        <v>22077</v>
      </c>
      <c r="B22082" s="3" t="str">
        <f>"01049913"</f>
        <v>01049913</v>
      </c>
    </row>
    <row r="22083" spans="1:2" x14ac:dyDescent="0.25">
      <c r="A22083" s="2">
        <v>22078</v>
      </c>
      <c r="B22083" s="3" t="str">
        <f>"01049949"</f>
        <v>01049949</v>
      </c>
    </row>
    <row r="22084" spans="1:2" x14ac:dyDescent="0.25">
      <c r="A22084" s="2">
        <v>22079</v>
      </c>
      <c r="B22084" s="3" t="str">
        <f>"01049975"</f>
        <v>01049975</v>
      </c>
    </row>
    <row r="22085" spans="1:2" x14ac:dyDescent="0.25">
      <c r="A22085" s="2">
        <v>22080</v>
      </c>
      <c r="B22085" s="3" t="str">
        <f>"01049989"</f>
        <v>01049989</v>
      </c>
    </row>
    <row r="22086" spans="1:2" x14ac:dyDescent="0.25">
      <c r="A22086" s="2">
        <v>22081</v>
      </c>
      <c r="B22086" s="3" t="str">
        <f>"01050005"</f>
        <v>01050005</v>
      </c>
    </row>
    <row r="22087" spans="1:2" x14ac:dyDescent="0.25">
      <c r="A22087" s="2">
        <v>22082</v>
      </c>
      <c r="B22087" s="3" t="str">
        <f>"01050019"</f>
        <v>01050019</v>
      </c>
    </row>
    <row r="22088" spans="1:2" x14ac:dyDescent="0.25">
      <c r="A22088" s="2">
        <v>22083</v>
      </c>
      <c r="B22088" s="3" t="str">
        <f>"01050048"</f>
        <v>01050048</v>
      </c>
    </row>
    <row r="22089" spans="1:2" x14ac:dyDescent="0.25">
      <c r="A22089" s="2">
        <v>22084</v>
      </c>
      <c r="B22089" s="3" t="str">
        <f>"01050120"</f>
        <v>01050120</v>
      </c>
    </row>
    <row r="22090" spans="1:2" x14ac:dyDescent="0.25">
      <c r="A22090" s="2">
        <v>22085</v>
      </c>
      <c r="B22090" s="3" t="str">
        <f>"01050165"</f>
        <v>01050165</v>
      </c>
    </row>
    <row r="22091" spans="1:2" x14ac:dyDescent="0.25">
      <c r="A22091" s="2">
        <v>22086</v>
      </c>
      <c r="B22091" s="3" t="str">
        <f>"01050199"</f>
        <v>01050199</v>
      </c>
    </row>
    <row r="22092" spans="1:2" x14ac:dyDescent="0.25">
      <c r="A22092" s="2">
        <v>22087</v>
      </c>
      <c r="B22092" s="3" t="str">
        <f>"01050293"</f>
        <v>01050293</v>
      </c>
    </row>
    <row r="22093" spans="1:2" x14ac:dyDescent="0.25">
      <c r="A22093" s="2">
        <v>22088</v>
      </c>
      <c r="B22093" s="3" t="str">
        <f>"01050314"</f>
        <v>01050314</v>
      </c>
    </row>
    <row r="22094" spans="1:2" x14ac:dyDescent="0.25">
      <c r="A22094" s="2">
        <v>22089</v>
      </c>
      <c r="B22094" s="3" t="str">
        <f>"01050356"</f>
        <v>01050356</v>
      </c>
    </row>
    <row r="22095" spans="1:2" x14ac:dyDescent="0.25">
      <c r="A22095" s="2">
        <v>22090</v>
      </c>
      <c r="B22095" s="3" t="str">
        <f>"01050360"</f>
        <v>01050360</v>
      </c>
    </row>
    <row r="22096" spans="1:2" x14ac:dyDescent="0.25">
      <c r="A22096" s="2">
        <v>22091</v>
      </c>
      <c r="B22096" s="3" t="str">
        <f>"01050370"</f>
        <v>01050370</v>
      </c>
    </row>
    <row r="22097" spans="1:2" x14ac:dyDescent="0.25">
      <c r="A22097" s="2">
        <v>22092</v>
      </c>
      <c r="B22097" s="3" t="str">
        <f>"01050372"</f>
        <v>01050372</v>
      </c>
    </row>
    <row r="22098" spans="1:2" x14ac:dyDescent="0.25">
      <c r="A22098" s="2">
        <v>22093</v>
      </c>
      <c r="B22098" s="3" t="str">
        <f>"01050375"</f>
        <v>01050375</v>
      </c>
    </row>
    <row r="22099" spans="1:2" x14ac:dyDescent="0.25">
      <c r="A22099" s="2">
        <v>22094</v>
      </c>
      <c r="B22099" s="3" t="str">
        <f>"01050383"</f>
        <v>01050383</v>
      </c>
    </row>
    <row r="22100" spans="1:2" x14ac:dyDescent="0.25">
      <c r="A22100" s="2">
        <v>22095</v>
      </c>
      <c r="B22100" s="3" t="str">
        <f>"01050384"</f>
        <v>01050384</v>
      </c>
    </row>
    <row r="22101" spans="1:2" x14ac:dyDescent="0.25">
      <c r="A22101" s="2">
        <v>22096</v>
      </c>
      <c r="B22101" s="3" t="str">
        <f>"01050401"</f>
        <v>01050401</v>
      </c>
    </row>
    <row r="22102" spans="1:2" x14ac:dyDescent="0.25">
      <c r="A22102" s="2">
        <v>22097</v>
      </c>
      <c r="B22102" s="3" t="str">
        <f>"01050415"</f>
        <v>01050415</v>
      </c>
    </row>
    <row r="22103" spans="1:2" x14ac:dyDescent="0.25">
      <c r="A22103" s="2">
        <v>22098</v>
      </c>
      <c r="B22103" s="3" t="str">
        <f>"01050445"</f>
        <v>01050445</v>
      </c>
    </row>
    <row r="22104" spans="1:2" x14ac:dyDescent="0.25">
      <c r="A22104" s="2">
        <v>22099</v>
      </c>
      <c r="B22104" s="3" t="str">
        <f>"01050478"</f>
        <v>01050478</v>
      </c>
    </row>
    <row r="22105" spans="1:2" x14ac:dyDescent="0.25">
      <c r="A22105" s="2">
        <v>22100</v>
      </c>
      <c r="B22105" s="3" t="str">
        <f>"01050522"</f>
        <v>01050522</v>
      </c>
    </row>
    <row r="22106" spans="1:2" x14ac:dyDescent="0.25">
      <c r="A22106" s="2">
        <v>22101</v>
      </c>
      <c r="B22106" s="3" t="str">
        <f>"01050578"</f>
        <v>01050578</v>
      </c>
    </row>
    <row r="22107" spans="1:2" x14ac:dyDescent="0.25">
      <c r="A22107" s="2">
        <v>22102</v>
      </c>
      <c r="B22107" s="3" t="str">
        <f>"01050586"</f>
        <v>01050586</v>
      </c>
    </row>
    <row r="22108" spans="1:2" x14ac:dyDescent="0.25">
      <c r="A22108" s="2">
        <v>22103</v>
      </c>
      <c r="B22108" s="3" t="str">
        <f>"01050638"</f>
        <v>01050638</v>
      </c>
    </row>
    <row r="22109" spans="1:2" x14ac:dyDescent="0.25">
      <c r="A22109" s="2">
        <v>22104</v>
      </c>
      <c r="B22109" s="3" t="str">
        <f>"01050667"</f>
        <v>01050667</v>
      </c>
    </row>
    <row r="22110" spans="1:2" x14ac:dyDescent="0.25">
      <c r="A22110" s="2">
        <v>22105</v>
      </c>
      <c r="B22110" s="3" t="str">
        <f>"01050679"</f>
        <v>01050679</v>
      </c>
    </row>
    <row r="22111" spans="1:2" x14ac:dyDescent="0.25">
      <c r="A22111" s="2">
        <v>22106</v>
      </c>
      <c r="B22111" s="3" t="str">
        <f>"01050703"</f>
        <v>01050703</v>
      </c>
    </row>
    <row r="22112" spans="1:2" x14ac:dyDescent="0.25">
      <c r="A22112" s="2">
        <v>22107</v>
      </c>
      <c r="B22112" s="3" t="str">
        <f>"01050722"</f>
        <v>01050722</v>
      </c>
    </row>
    <row r="22113" spans="1:2" x14ac:dyDescent="0.25">
      <c r="A22113" s="2">
        <v>22108</v>
      </c>
      <c r="B22113" s="3" t="str">
        <f>"01050740"</f>
        <v>01050740</v>
      </c>
    </row>
    <row r="22114" spans="1:2" x14ac:dyDescent="0.25">
      <c r="A22114" s="2">
        <v>22109</v>
      </c>
      <c r="B22114" s="3" t="str">
        <f>"01050762"</f>
        <v>01050762</v>
      </c>
    </row>
    <row r="22115" spans="1:2" x14ac:dyDescent="0.25">
      <c r="A22115" s="2">
        <v>22110</v>
      </c>
      <c r="B22115" s="3" t="str">
        <f>"01050770"</f>
        <v>01050770</v>
      </c>
    </row>
    <row r="22116" spans="1:2" x14ac:dyDescent="0.25">
      <c r="A22116" s="2">
        <v>22111</v>
      </c>
      <c r="B22116" s="3" t="str">
        <f>"01050782"</f>
        <v>01050782</v>
      </c>
    </row>
    <row r="22117" spans="1:2" x14ac:dyDescent="0.25">
      <c r="A22117" s="2">
        <v>22112</v>
      </c>
      <c r="B22117" s="3" t="str">
        <f>"01050800"</f>
        <v>01050800</v>
      </c>
    </row>
    <row r="22118" spans="1:2" x14ac:dyDescent="0.25">
      <c r="A22118" s="2">
        <v>22113</v>
      </c>
      <c r="B22118" s="3" t="str">
        <f>"01050815"</f>
        <v>01050815</v>
      </c>
    </row>
    <row r="22119" spans="1:2" x14ac:dyDescent="0.25">
      <c r="A22119" s="2">
        <v>22114</v>
      </c>
      <c r="B22119" s="3" t="str">
        <f>"01050838"</f>
        <v>01050838</v>
      </c>
    </row>
    <row r="22120" spans="1:2" x14ac:dyDescent="0.25">
      <c r="A22120" s="2">
        <v>22115</v>
      </c>
      <c r="B22120" s="3" t="str">
        <f>"01050872"</f>
        <v>01050872</v>
      </c>
    </row>
    <row r="22121" spans="1:2" x14ac:dyDescent="0.25">
      <c r="A22121" s="2">
        <v>22116</v>
      </c>
      <c r="B22121" s="3" t="str">
        <f>"01050885"</f>
        <v>01050885</v>
      </c>
    </row>
    <row r="22122" spans="1:2" x14ac:dyDescent="0.25">
      <c r="A22122" s="2">
        <v>22117</v>
      </c>
      <c r="B22122" s="3" t="str">
        <f>"01050952"</f>
        <v>01050952</v>
      </c>
    </row>
    <row r="22123" spans="1:2" x14ac:dyDescent="0.25">
      <c r="A22123" s="2">
        <v>22118</v>
      </c>
      <c r="B22123" s="3" t="str">
        <f>"01050956"</f>
        <v>01050956</v>
      </c>
    </row>
    <row r="22124" spans="1:2" x14ac:dyDescent="0.25">
      <c r="A22124" s="2">
        <v>22119</v>
      </c>
      <c r="B22124" s="3" t="str">
        <f>"01050989"</f>
        <v>01050989</v>
      </c>
    </row>
    <row r="22125" spans="1:2" x14ac:dyDescent="0.25">
      <c r="A22125" s="2">
        <v>22120</v>
      </c>
      <c r="B22125" s="3" t="str">
        <f>"01051027"</f>
        <v>01051027</v>
      </c>
    </row>
    <row r="22126" spans="1:2" x14ac:dyDescent="0.25">
      <c r="A22126" s="2">
        <v>22121</v>
      </c>
      <c r="B22126" s="3" t="str">
        <f>"01051032"</f>
        <v>01051032</v>
      </c>
    </row>
    <row r="22127" spans="1:2" x14ac:dyDescent="0.25">
      <c r="A22127" s="2">
        <v>22122</v>
      </c>
      <c r="B22127" s="3" t="str">
        <f>"01051065"</f>
        <v>01051065</v>
      </c>
    </row>
    <row r="22128" spans="1:2" x14ac:dyDescent="0.25">
      <c r="A22128" s="2">
        <v>22123</v>
      </c>
      <c r="B22128" s="3" t="str">
        <f>"01051069"</f>
        <v>01051069</v>
      </c>
    </row>
    <row r="22129" spans="1:2" x14ac:dyDescent="0.25">
      <c r="A22129" s="2">
        <v>22124</v>
      </c>
      <c r="B22129" s="3" t="str">
        <f>"01051074"</f>
        <v>01051074</v>
      </c>
    </row>
    <row r="22130" spans="1:2" x14ac:dyDescent="0.25">
      <c r="A22130" s="2">
        <v>22125</v>
      </c>
      <c r="B22130" s="3" t="str">
        <f>"01051100"</f>
        <v>01051100</v>
      </c>
    </row>
    <row r="22131" spans="1:2" x14ac:dyDescent="0.25">
      <c r="A22131" s="2">
        <v>22126</v>
      </c>
      <c r="B22131" s="3" t="str">
        <f>"01051108"</f>
        <v>01051108</v>
      </c>
    </row>
    <row r="22132" spans="1:2" x14ac:dyDescent="0.25">
      <c r="A22132" s="2">
        <v>22127</v>
      </c>
      <c r="B22132" s="3" t="str">
        <f>"01051157"</f>
        <v>01051157</v>
      </c>
    </row>
    <row r="22133" spans="1:2" x14ac:dyDescent="0.25">
      <c r="A22133" s="2">
        <v>22128</v>
      </c>
      <c r="B22133" s="3" t="str">
        <f>"01051166"</f>
        <v>01051166</v>
      </c>
    </row>
    <row r="22134" spans="1:2" x14ac:dyDescent="0.25">
      <c r="A22134" s="2">
        <v>22129</v>
      </c>
      <c r="B22134" s="3" t="str">
        <f>"01051184"</f>
        <v>01051184</v>
      </c>
    </row>
    <row r="22135" spans="1:2" x14ac:dyDescent="0.25">
      <c r="A22135" s="2">
        <v>22130</v>
      </c>
      <c r="B22135" s="3" t="str">
        <f>"01051205"</f>
        <v>01051205</v>
      </c>
    </row>
    <row r="22136" spans="1:2" x14ac:dyDescent="0.25">
      <c r="A22136" s="2">
        <v>22131</v>
      </c>
      <c r="B22136" s="3" t="str">
        <f>"01051229"</f>
        <v>01051229</v>
      </c>
    </row>
    <row r="22137" spans="1:2" x14ac:dyDescent="0.25">
      <c r="A22137" s="2">
        <v>22132</v>
      </c>
      <c r="B22137" s="3" t="str">
        <f>"01051243"</f>
        <v>01051243</v>
      </c>
    </row>
    <row r="22138" spans="1:2" x14ac:dyDescent="0.25">
      <c r="A22138" s="2">
        <v>22133</v>
      </c>
      <c r="B22138" s="3" t="str">
        <f>"01051252"</f>
        <v>01051252</v>
      </c>
    </row>
    <row r="22139" spans="1:2" x14ac:dyDescent="0.25">
      <c r="A22139" s="2">
        <v>22134</v>
      </c>
      <c r="B22139" s="3" t="str">
        <f>"01051267"</f>
        <v>01051267</v>
      </c>
    </row>
    <row r="22140" spans="1:2" x14ac:dyDescent="0.25">
      <c r="A22140" s="2">
        <v>22135</v>
      </c>
      <c r="B22140" s="3" t="str">
        <f>"01051272"</f>
        <v>01051272</v>
      </c>
    </row>
    <row r="22141" spans="1:2" x14ac:dyDescent="0.25">
      <c r="A22141" s="2">
        <v>22136</v>
      </c>
      <c r="B22141" s="3" t="str">
        <f>"01051290"</f>
        <v>01051290</v>
      </c>
    </row>
    <row r="22142" spans="1:2" x14ac:dyDescent="0.25">
      <c r="A22142" s="2">
        <v>22137</v>
      </c>
      <c r="B22142" s="3" t="str">
        <f>"01051304"</f>
        <v>01051304</v>
      </c>
    </row>
    <row r="22143" spans="1:2" x14ac:dyDescent="0.25">
      <c r="A22143" s="2">
        <v>22138</v>
      </c>
      <c r="B22143" s="3" t="str">
        <f>"01051357"</f>
        <v>01051357</v>
      </c>
    </row>
    <row r="22144" spans="1:2" x14ac:dyDescent="0.25">
      <c r="A22144" s="2">
        <v>22139</v>
      </c>
      <c r="B22144" s="3" t="str">
        <f>"01051362"</f>
        <v>01051362</v>
      </c>
    </row>
    <row r="22145" spans="1:2" x14ac:dyDescent="0.25">
      <c r="A22145" s="2">
        <v>22140</v>
      </c>
      <c r="B22145" s="3" t="str">
        <f>"01051413"</f>
        <v>01051413</v>
      </c>
    </row>
    <row r="22146" spans="1:2" x14ac:dyDescent="0.25">
      <c r="A22146" s="2">
        <v>22141</v>
      </c>
      <c r="B22146" s="3" t="str">
        <f>"01051528"</f>
        <v>01051528</v>
      </c>
    </row>
    <row r="22147" spans="1:2" x14ac:dyDescent="0.25">
      <c r="A22147" s="2">
        <v>22142</v>
      </c>
      <c r="B22147" s="3" t="str">
        <f>"01051549"</f>
        <v>01051549</v>
      </c>
    </row>
    <row r="22148" spans="1:2" x14ac:dyDescent="0.25">
      <c r="A22148" s="2">
        <v>22143</v>
      </c>
      <c r="B22148" s="3" t="str">
        <f>"01051565"</f>
        <v>01051565</v>
      </c>
    </row>
    <row r="22149" spans="1:2" x14ac:dyDescent="0.25">
      <c r="A22149" s="2">
        <v>22144</v>
      </c>
      <c r="B22149" s="3" t="str">
        <f>"01051594"</f>
        <v>01051594</v>
      </c>
    </row>
    <row r="22150" spans="1:2" x14ac:dyDescent="0.25">
      <c r="A22150" s="2">
        <v>22145</v>
      </c>
      <c r="B22150" s="3" t="str">
        <f>"01051625"</f>
        <v>01051625</v>
      </c>
    </row>
    <row r="22151" spans="1:2" x14ac:dyDescent="0.25">
      <c r="A22151" s="2">
        <v>22146</v>
      </c>
      <c r="B22151" s="3" t="str">
        <f>"01051637"</f>
        <v>01051637</v>
      </c>
    </row>
    <row r="22152" spans="1:2" x14ac:dyDescent="0.25">
      <c r="A22152" s="2">
        <v>22147</v>
      </c>
      <c r="B22152" s="3" t="str">
        <f>"01051658"</f>
        <v>01051658</v>
      </c>
    </row>
    <row r="22153" spans="1:2" x14ac:dyDescent="0.25">
      <c r="A22153" s="2">
        <v>22148</v>
      </c>
      <c r="B22153" s="3" t="str">
        <f>"01051709"</f>
        <v>01051709</v>
      </c>
    </row>
    <row r="22154" spans="1:2" x14ac:dyDescent="0.25">
      <c r="A22154" s="2">
        <v>22149</v>
      </c>
      <c r="B22154" s="3" t="str">
        <f>"01051720"</f>
        <v>01051720</v>
      </c>
    </row>
    <row r="22155" spans="1:2" x14ac:dyDescent="0.25">
      <c r="A22155" s="2">
        <v>22150</v>
      </c>
      <c r="B22155" s="3" t="str">
        <f>"01051721"</f>
        <v>01051721</v>
      </c>
    </row>
    <row r="22156" spans="1:2" x14ac:dyDescent="0.25">
      <c r="A22156" s="2">
        <v>22151</v>
      </c>
      <c r="B22156" s="3" t="str">
        <f>"01051729"</f>
        <v>01051729</v>
      </c>
    </row>
    <row r="22157" spans="1:2" x14ac:dyDescent="0.25">
      <c r="A22157" s="2">
        <v>22152</v>
      </c>
      <c r="B22157" s="3" t="str">
        <f>"01051757"</f>
        <v>01051757</v>
      </c>
    </row>
    <row r="22158" spans="1:2" x14ac:dyDescent="0.25">
      <c r="A22158" s="2">
        <v>22153</v>
      </c>
      <c r="B22158" s="3" t="str">
        <f>"01051761"</f>
        <v>01051761</v>
      </c>
    </row>
    <row r="22159" spans="1:2" x14ac:dyDescent="0.25">
      <c r="A22159" s="2">
        <v>22154</v>
      </c>
      <c r="B22159" s="3" t="str">
        <f>"01051800"</f>
        <v>01051800</v>
      </c>
    </row>
    <row r="22160" spans="1:2" x14ac:dyDescent="0.25">
      <c r="A22160" s="2">
        <v>22155</v>
      </c>
      <c r="B22160" s="3" t="str">
        <f>"01051844"</f>
        <v>01051844</v>
      </c>
    </row>
    <row r="22161" spans="1:2" x14ac:dyDescent="0.25">
      <c r="A22161" s="2">
        <v>22156</v>
      </c>
      <c r="B22161" s="3" t="str">
        <f>"01051900"</f>
        <v>01051900</v>
      </c>
    </row>
    <row r="22162" spans="1:2" x14ac:dyDescent="0.25">
      <c r="A22162" s="2">
        <v>22157</v>
      </c>
      <c r="B22162" s="3" t="str">
        <f>"01051907"</f>
        <v>01051907</v>
      </c>
    </row>
    <row r="22163" spans="1:2" x14ac:dyDescent="0.25">
      <c r="A22163" s="2">
        <v>22158</v>
      </c>
      <c r="B22163" s="3" t="str">
        <f>"01051908"</f>
        <v>01051908</v>
      </c>
    </row>
    <row r="22164" spans="1:2" x14ac:dyDescent="0.25">
      <c r="A22164" s="2">
        <v>22159</v>
      </c>
      <c r="B22164" s="3" t="str">
        <f>"01051919"</f>
        <v>01051919</v>
      </c>
    </row>
    <row r="22165" spans="1:2" x14ac:dyDescent="0.25">
      <c r="A22165" s="2">
        <v>22160</v>
      </c>
      <c r="B22165" s="3" t="str">
        <f>"01051967"</f>
        <v>01051967</v>
      </c>
    </row>
    <row r="22166" spans="1:2" x14ac:dyDescent="0.25">
      <c r="A22166" s="2">
        <v>22161</v>
      </c>
      <c r="B22166" s="3" t="str">
        <f>"01051986"</f>
        <v>01051986</v>
      </c>
    </row>
    <row r="22167" spans="1:2" x14ac:dyDescent="0.25">
      <c r="A22167" s="2">
        <v>22162</v>
      </c>
      <c r="B22167" s="3" t="str">
        <f>"01052025"</f>
        <v>01052025</v>
      </c>
    </row>
    <row r="22168" spans="1:2" x14ac:dyDescent="0.25">
      <c r="A22168" s="2">
        <v>22163</v>
      </c>
      <c r="B22168" s="3" t="str">
        <f>"01052051"</f>
        <v>01052051</v>
      </c>
    </row>
    <row r="22169" spans="1:2" x14ac:dyDescent="0.25">
      <c r="A22169" s="2">
        <v>22164</v>
      </c>
      <c r="B22169" s="3" t="str">
        <f>"01052057"</f>
        <v>01052057</v>
      </c>
    </row>
    <row r="22170" spans="1:2" x14ac:dyDescent="0.25">
      <c r="A22170" s="2">
        <v>22165</v>
      </c>
      <c r="B22170" s="3" t="str">
        <f>"01052074"</f>
        <v>01052074</v>
      </c>
    </row>
    <row r="22171" spans="1:2" x14ac:dyDescent="0.25">
      <c r="A22171" s="2">
        <v>22166</v>
      </c>
      <c r="B22171" s="3" t="str">
        <f>"01052090"</f>
        <v>01052090</v>
      </c>
    </row>
    <row r="22172" spans="1:2" x14ac:dyDescent="0.25">
      <c r="A22172" s="2">
        <v>22167</v>
      </c>
      <c r="B22172" s="3" t="str">
        <f>"01052139"</f>
        <v>01052139</v>
      </c>
    </row>
    <row r="22173" spans="1:2" x14ac:dyDescent="0.25">
      <c r="A22173" s="2">
        <v>22168</v>
      </c>
      <c r="B22173" s="3" t="str">
        <f>"01052161"</f>
        <v>01052161</v>
      </c>
    </row>
    <row r="22174" spans="1:2" x14ac:dyDescent="0.25">
      <c r="A22174" s="2">
        <v>22169</v>
      </c>
      <c r="B22174" s="3" t="str">
        <f>"01052235"</f>
        <v>01052235</v>
      </c>
    </row>
    <row r="22175" spans="1:2" x14ac:dyDescent="0.25">
      <c r="A22175" s="2">
        <v>22170</v>
      </c>
      <c r="B22175" s="3" t="str">
        <f>"01052244"</f>
        <v>01052244</v>
      </c>
    </row>
    <row r="22176" spans="1:2" x14ac:dyDescent="0.25">
      <c r="A22176" s="2">
        <v>22171</v>
      </c>
      <c r="B22176" s="3" t="str">
        <f>"01052268"</f>
        <v>01052268</v>
      </c>
    </row>
    <row r="22177" spans="1:2" x14ac:dyDescent="0.25">
      <c r="A22177" s="2">
        <v>22172</v>
      </c>
      <c r="B22177" s="3" t="str">
        <f>"01052274"</f>
        <v>01052274</v>
      </c>
    </row>
    <row r="22178" spans="1:2" x14ac:dyDescent="0.25">
      <c r="A22178" s="2">
        <v>22173</v>
      </c>
      <c r="B22178" s="3" t="str">
        <f>"01052340"</f>
        <v>01052340</v>
      </c>
    </row>
    <row r="22179" spans="1:2" x14ac:dyDescent="0.25">
      <c r="A22179" s="2">
        <v>22174</v>
      </c>
      <c r="B22179" s="3" t="str">
        <f>"01052397"</f>
        <v>01052397</v>
      </c>
    </row>
    <row r="22180" spans="1:2" x14ac:dyDescent="0.25">
      <c r="A22180" s="2">
        <v>22175</v>
      </c>
      <c r="B22180" s="3" t="str">
        <f>"01052421"</f>
        <v>01052421</v>
      </c>
    </row>
    <row r="22181" spans="1:2" x14ac:dyDescent="0.25">
      <c r="A22181" s="2">
        <v>22176</v>
      </c>
      <c r="B22181" s="3" t="str">
        <f>"01052428"</f>
        <v>01052428</v>
      </c>
    </row>
    <row r="22182" spans="1:2" x14ac:dyDescent="0.25">
      <c r="A22182" s="2">
        <v>22177</v>
      </c>
      <c r="B22182" s="3" t="str">
        <f>"01052462"</f>
        <v>01052462</v>
      </c>
    </row>
    <row r="22183" spans="1:2" x14ac:dyDescent="0.25">
      <c r="A22183" s="2">
        <v>22178</v>
      </c>
      <c r="B22183" s="3" t="str">
        <f>"01052465"</f>
        <v>01052465</v>
      </c>
    </row>
    <row r="22184" spans="1:2" x14ac:dyDescent="0.25">
      <c r="A22184" s="2">
        <v>22179</v>
      </c>
      <c r="B22184" s="3" t="str">
        <f>"01052535"</f>
        <v>01052535</v>
      </c>
    </row>
    <row r="22185" spans="1:2" x14ac:dyDescent="0.25">
      <c r="A22185" s="2">
        <v>22180</v>
      </c>
      <c r="B22185" s="3" t="str">
        <f>"01052554"</f>
        <v>01052554</v>
      </c>
    </row>
    <row r="22186" spans="1:2" x14ac:dyDescent="0.25">
      <c r="A22186" s="2">
        <v>22181</v>
      </c>
      <c r="B22186" s="3" t="str">
        <f>"01052565"</f>
        <v>01052565</v>
      </c>
    </row>
    <row r="22187" spans="1:2" x14ac:dyDescent="0.25">
      <c r="A22187" s="2">
        <v>22182</v>
      </c>
      <c r="B22187" s="3" t="str">
        <f>"01052574"</f>
        <v>01052574</v>
      </c>
    </row>
    <row r="22188" spans="1:2" x14ac:dyDescent="0.25">
      <c r="A22188" s="2">
        <v>22183</v>
      </c>
      <c r="B22188" s="3" t="str">
        <f>"01052576"</f>
        <v>01052576</v>
      </c>
    </row>
    <row r="22189" spans="1:2" x14ac:dyDescent="0.25">
      <c r="A22189" s="2">
        <v>22184</v>
      </c>
      <c r="B22189" s="3" t="str">
        <f>"01052583"</f>
        <v>01052583</v>
      </c>
    </row>
    <row r="22190" spans="1:2" x14ac:dyDescent="0.25">
      <c r="A22190" s="2">
        <v>22185</v>
      </c>
      <c r="B22190" s="3" t="str">
        <f>"01052633"</f>
        <v>01052633</v>
      </c>
    </row>
    <row r="22191" spans="1:2" x14ac:dyDescent="0.25">
      <c r="A22191" s="2">
        <v>22186</v>
      </c>
      <c r="B22191" s="3" t="str">
        <f>"01052634"</f>
        <v>01052634</v>
      </c>
    </row>
    <row r="22192" spans="1:2" x14ac:dyDescent="0.25">
      <c r="A22192" s="2">
        <v>22187</v>
      </c>
      <c r="B22192" s="3" t="str">
        <f>"01052685"</f>
        <v>01052685</v>
      </c>
    </row>
    <row r="22193" spans="1:2" x14ac:dyDescent="0.25">
      <c r="A22193" s="2">
        <v>22188</v>
      </c>
      <c r="B22193" s="3" t="str">
        <f>"01052689"</f>
        <v>01052689</v>
      </c>
    </row>
    <row r="22194" spans="1:2" x14ac:dyDescent="0.25">
      <c r="A22194" s="2">
        <v>22189</v>
      </c>
      <c r="B22194" s="3" t="str">
        <f>"01052691"</f>
        <v>01052691</v>
      </c>
    </row>
    <row r="22195" spans="1:2" x14ac:dyDescent="0.25">
      <c r="A22195" s="2">
        <v>22190</v>
      </c>
      <c r="B22195" s="3" t="str">
        <f>"01052729"</f>
        <v>01052729</v>
      </c>
    </row>
    <row r="22196" spans="1:2" x14ac:dyDescent="0.25">
      <c r="A22196" s="2">
        <v>22191</v>
      </c>
      <c r="B22196" s="3" t="str">
        <f>"01052754"</f>
        <v>01052754</v>
      </c>
    </row>
    <row r="22197" spans="1:2" x14ac:dyDescent="0.25">
      <c r="A22197" s="2">
        <v>22192</v>
      </c>
      <c r="B22197" s="3" t="str">
        <f>"01052814"</f>
        <v>01052814</v>
      </c>
    </row>
    <row r="22198" spans="1:2" x14ac:dyDescent="0.25">
      <c r="A22198" s="2">
        <v>22193</v>
      </c>
      <c r="B22198" s="3" t="str">
        <f>"01052817"</f>
        <v>01052817</v>
      </c>
    </row>
    <row r="22199" spans="1:2" x14ac:dyDescent="0.25">
      <c r="A22199" s="2">
        <v>22194</v>
      </c>
      <c r="B22199" s="3" t="str">
        <f>"01052848"</f>
        <v>01052848</v>
      </c>
    </row>
    <row r="22200" spans="1:2" x14ac:dyDescent="0.25">
      <c r="A22200" s="2">
        <v>22195</v>
      </c>
      <c r="B22200" s="3" t="str">
        <f>"01052850"</f>
        <v>01052850</v>
      </c>
    </row>
    <row r="22201" spans="1:2" x14ac:dyDescent="0.25">
      <c r="A22201" s="2">
        <v>22196</v>
      </c>
      <c r="B22201" s="3" t="str">
        <f>"01052859"</f>
        <v>01052859</v>
      </c>
    </row>
    <row r="22202" spans="1:2" x14ac:dyDescent="0.25">
      <c r="A22202" s="2">
        <v>22197</v>
      </c>
      <c r="B22202" s="3" t="str">
        <f>"01052863"</f>
        <v>01052863</v>
      </c>
    </row>
    <row r="22203" spans="1:2" x14ac:dyDescent="0.25">
      <c r="A22203" s="2">
        <v>22198</v>
      </c>
      <c r="B22203" s="3" t="str">
        <f>"01052873"</f>
        <v>01052873</v>
      </c>
    </row>
    <row r="22204" spans="1:2" x14ac:dyDescent="0.25">
      <c r="A22204" s="2">
        <v>22199</v>
      </c>
      <c r="B22204" s="3" t="str">
        <f>"01052904"</f>
        <v>01052904</v>
      </c>
    </row>
    <row r="22205" spans="1:2" x14ac:dyDescent="0.25">
      <c r="A22205" s="2">
        <v>22200</v>
      </c>
      <c r="B22205" s="3" t="str">
        <f>"01052912"</f>
        <v>01052912</v>
      </c>
    </row>
    <row r="22206" spans="1:2" x14ac:dyDescent="0.25">
      <c r="A22206" s="2">
        <v>22201</v>
      </c>
      <c r="B22206" s="3" t="str">
        <f>"01052942"</f>
        <v>01052942</v>
      </c>
    </row>
    <row r="22207" spans="1:2" x14ac:dyDescent="0.25">
      <c r="A22207" s="2">
        <v>22202</v>
      </c>
      <c r="B22207" s="3" t="str">
        <f>"01052948"</f>
        <v>01052948</v>
      </c>
    </row>
    <row r="22208" spans="1:2" x14ac:dyDescent="0.25">
      <c r="A22208" s="2">
        <v>22203</v>
      </c>
      <c r="B22208" s="3" t="str">
        <f>"01052952"</f>
        <v>01052952</v>
      </c>
    </row>
    <row r="22209" spans="1:2" x14ac:dyDescent="0.25">
      <c r="A22209" s="2">
        <v>22204</v>
      </c>
      <c r="B22209" s="3" t="str">
        <f>"01052963"</f>
        <v>01052963</v>
      </c>
    </row>
    <row r="22210" spans="1:2" x14ac:dyDescent="0.25">
      <c r="A22210" s="2">
        <v>22205</v>
      </c>
      <c r="B22210" s="3" t="str">
        <f>"01052972"</f>
        <v>01052972</v>
      </c>
    </row>
    <row r="22211" spans="1:2" x14ac:dyDescent="0.25">
      <c r="A22211" s="2">
        <v>22206</v>
      </c>
      <c r="B22211" s="3" t="str">
        <f>"01053002"</f>
        <v>01053002</v>
      </c>
    </row>
    <row r="22212" spans="1:2" x14ac:dyDescent="0.25">
      <c r="A22212" s="2">
        <v>22207</v>
      </c>
      <c r="B22212" s="3" t="str">
        <f>"01053013"</f>
        <v>01053013</v>
      </c>
    </row>
    <row r="22213" spans="1:2" x14ac:dyDescent="0.25">
      <c r="A22213" s="2">
        <v>22208</v>
      </c>
      <c r="B22213" s="3" t="str">
        <f>"01053015"</f>
        <v>01053015</v>
      </c>
    </row>
    <row r="22214" spans="1:2" x14ac:dyDescent="0.25">
      <c r="A22214" s="2">
        <v>22209</v>
      </c>
      <c r="B22214" s="3" t="str">
        <f>"01053038"</f>
        <v>01053038</v>
      </c>
    </row>
    <row r="22215" spans="1:2" x14ac:dyDescent="0.25">
      <c r="A22215" s="2">
        <v>22210</v>
      </c>
      <c r="B22215" s="3" t="str">
        <f>"01053053"</f>
        <v>01053053</v>
      </c>
    </row>
    <row r="22216" spans="1:2" x14ac:dyDescent="0.25">
      <c r="A22216" s="2">
        <v>22211</v>
      </c>
      <c r="B22216" s="3" t="str">
        <f>"01053129"</f>
        <v>01053129</v>
      </c>
    </row>
    <row r="22217" spans="1:2" x14ac:dyDescent="0.25">
      <c r="A22217" s="2">
        <v>22212</v>
      </c>
      <c r="B22217" s="3" t="str">
        <f>"01053141"</f>
        <v>01053141</v>
      </c>
    </row>
    <row r="22218" spans="1:2" x14ac:dyDescent="0.25">
      <c r="A22218" s="2">
        <v>22213</v>
      </c>
      <c r="B22218" s="3" t="str">
        <f>"01053197"</f>
        <v>01053197</v>
      </c>
    </row>
    <row r="22219" spans="1:2" x14ac:dyDescent="0.25">
      <c r="A22219" s="2">
        <v>22214</v>
      </c>
      <c r="B22219" s="3" t="str">
        <f>"01053276"</f>
        <v>01053276</v>
      </c>
    </row>
    <row r="22220" spans="1:2" x14ac:dyDescent="0.25">
      <c r="A22220" s="2">
        <v>22215</v>
      </c>
      <c r="B22220" s="3" t="str">
        <f>"01053326"</f>
        <v>01053326</v>
      </c>
    </row>
    <row r="22221" spans="1:2" x14ac:dyDescent="0.25">
      <c r="A22221" s="2">
        <v>22216</v>
      </c>
      <c r="B22221" s="3" t="str">
        <f>"01053358"</f>
        <v>01053358</v>
      </c>
    </row>
    <row r="22222" spans="1:2" x14ac:dyDescent="0.25">
      <c r="A22222" s="2">
        <v>22217</v>
      </c>
      <c r="B22222" s="3" t="str">
        <f>"01053382"</f>
        <v>01053382</v>
      </c>
    </row>
    <row r="22223" spans="1:2" x14ac:dyDescent="0.25">
      <c r="A22223" s="2">
        <v>22218</v>
      </c>
      <c r="B22223" s="3" t="str">
        <f>"01053422"</f>
        <v>01053422</v>
      </c>
    </row>
    <row r="22224" spans="1:2" x14ac:dyDescent="0.25">
      <c r="A22224" s="2">
        <v>22219</v>
      </c>
      <c r="B22224" s="3" t="str">
        <f>"01053475"</f>
        <v>01053475</v>
      </c>
    </row>
    <row r="22225" spans="1:2" x14ac:dyDescent="0.25">
      <c r="A22225" s="2">
        <v>22220</v>
      </c>
      <c r="B22225" s="3" t="str">
        <f>"01053497"</f>
        <v>01053497</v>
      </c>
    </row>
    <row r="22226" spans="1:2" x14ac:dyDescent="0.25">
      <c r="A22226" s="2">
        <v>22221</v>
      </c>
      <c r="B22226" s="3" t="str">
        <f>"01053515"</f>
        <v>01053515</v>
      </c>
    </row>
    <row r="22227" spans="1:2" x14ac:dyDescent="0.25">
      <c r="A22227" s="2">
        <v>22222</v>
      </c>
      <c r="B22227" s="3" t="str">
        <f>"01053548"</f>
        <v>01053548</v>
      </c>
    </row>
    <row r="22228" spans="1:2" x14ac:dyDescent="0.25">
      <c r="A22228" s="2">
        <v>22223</v>
      </c>
      <c r="B22228" s="3" t="str">
        <f>"01053554"</f>
        <v>01053554</v>
      </c>
    </row>
    <row r="22229" spans="1:2" x14ac:dyDescent="0.25">
      <c r="A22229" s="2">
        <v>22224</v>
      </c>
      <c r="B22229" s="3" t="str">
        <f>"01053603"</f>
        <v>01053603</v>
      </c>
    </row>
    <row r="22230" spans="1:2" x14ac:dyDescent="0.25">
      <c r="A22230" s="2">
        <v>22225</v>
      </c>
      <c r="B22230" s="3" t="str">
        <f>"01053641"</f>
        <v>01053641</v>
      </c>
    </row>
    <row r="22231" spans="1:2" x14ac:dyDescent="0.25">
      <c r="A22231" s="2">
        <v>22226</v>
      </c>
      <c r="B22231" s="3" t="str">
        <f>"01053783"</f>
        <v>01053783</v>
      </c>
    </row>
    <row r="22232" spans="1:2" x14ac:dyDescent="0.25">
      <c r="A22232" s="2">
        <v>22227</v>
      </c>
      <c r="B22232" s="3" t="str">
        <f>"01053874"</f>
        <v>01053874</v>
      </c>
    </row>
    <row r="22233" spans="1:2" x14ac:dyDescent="0.25">
      <c r="A22233" s="2">
        <v>22228</v>
      </c>
      <c r="B22233" s="3" t="str">
        <f>"01053876"</f>
        <v>01053876</v>
      </c>
    </row>
    <row r="22234" spans="1:2" x14ac:dyDescent="0.25">
      <c r="A22234" s="2">
        <v>22229</v>
      </c>
      <c r="B22234" s="3" t="str">
        <f>"01053905"</f>
        <v>01053905</v>
      </c>
    </row>
    <row r="22235" spans="1:2" x14ac:dyDescent="0.25">
      <c r="A22235" s="2">
        <v>22230</v>
      </c>
      <c r="B22235" s="3" t="str">
        <f>"01053926"</f>
        <v>01053926</v>
      </c>
    </row>
    <row r="22236" spans="1:2" x14ac:dyDescent="0.25">
      <c r="A22236" s="2">
        <v>22231</v>
      </c>
      <c r="B22236" s="3" t="str">
        <f>"01053927"</f>
        <v>01053927</v>
      </c>
    </row>
    <row r="22237" spans="1:2" x14ac:dyDescent="0.25">
      <c r="A22237" s="2">
        <v>22232</v>
      </c>
      <c r="B22237" s="3" t="str">
        <f>"01053972"</f>
        <v>01053972</v>
      </c>
    </row>
    <row r="22238" spans="1:2" x14ac:dyDescent="0.25">
      <c r="A22238" s="2">
        <v>22233</v>
      </c>
      <c r="B22238" s="3" t="str">
        <f>"01053980"</f>
        <v>01053980</v>
      </c>
    </row>
    <row r="22239" spans="1:2" x14ac:dyDescent="0.25">
      <c r="A22239" s="2">
        <v>22234</v>
      </c>
      <c r="B22239" s="3" t="str">
        <f>"01054017"</f>
        <v>01054017</v>
      </c>
    </row>
    <row r="22240" spans="1:2" x14ac:dyDescent="0.25">
      <c r="A22240" s="2">
        <v>22235</v>
      </c>
      <c r="B22240" s="3" t="str">
        <f>"01054018"</f>
        <v>01054018</v>
      </c>
    </row>
    <row r="22241" spans="1:2" x14ac:dyDescent="0.25">
      <c r="A22241" s="2">
        <v>22236</v>
      </c>
      <c r="B22241" s="3" t="str">
        <f>"01054026"</f>
        <v>01054026</v>
      </c>
    </row>
    <row r="22242" spans="1:2" x14ac:dyDescent="0.25">
      <c r="A22242" s="2">
        <v>22237</v>
      </c>
      <c r="B22242" s="3" t="str">
        <f>"01054053"</f>
        <v>01054053</v>
      </c>
    </row>
    <row r="22243" spans="1:2" x14ac:dyDescent="0.25">
      <c r="A22243" s="2">
        <v>22238</v>
      </c>
      <c r="B22243" s="3" t="str">
        <f>"01054119"</f>
        <v>01054119</v>
      </c>
    </row>
    <row r="22244" spans="1:2" x14ac:dyDescent="0.25">
      <c r="A22244" s="2">
        <v>22239</v>
      </c>
      <c r="B22244" s="3" t="str">
        <f>"01054163"</f>
        <v>01054163</v>
      </c>
    </row>
    <row r="22245" spans="1:2" x14ac:dyDescent="0.25">
      <c r="A22245" s="2">
        <v>22240</v>
      </c>
      <c r="B22245" s="3" t="str">
        <f>"01054180"</f>
        <v>01054180</v>
      </c>
    </row>
    <row r="22246" spans="1:2" x14ac:dyDescent="0.25">
      <c r="A22246" s="2">
        <v>22241</v>
      </c>
      <c r="B22246" s="3" t="str">
        <f>"01054205"</f>
        <v>01054205</v>
      </c>
    </row>
    <row r="22247" spans="1:2" x14ac:dyDescent="0.25">
      <c r="A22247" s="2">
        <v>22242</v>
      </c>
      <c r="B22247" s="3" t="str">
        <f>"01054217"</f>
        <v>01054217</v>
      </c>
    </row>
    <row r="22248" spans="1:2" x14ac:dyDescent="0.25">
      <c r="A22248" s="2">
        <v>22243</v>
      </c>
      <c r="B22248" s="3" t="str">
        <f>"01054218"</f>
        <v>01054218</v>
      </c>
    </row>
    <row r="22249" spans="1:2" x14ac:dyDescent="0.25">
      <c r="A22249" s="2">
        <v>22244</v>
      </c>
      <c r="B22249" s="3" t="str">
        <f>"01054233"</f>
        <v>01054233</v>
      </c>
    </row>
    <row r="22250" spans="1:2" x14ac:dyDescent="0.25">
      <c r="A22250" s="2">
        <v>22245</v>
      </c>
      <c r="B22250" s="3" t="str">
        <f>"01054235"</f>
        <v>01054235</v>
      </c>
    </row>
    <row r="22251" spans="1:2" x14ac:dyDescent="0.25">
      <c r="A22251" s="2">
        <v>22246</v>
      </c>
      <c r="B22251" s="3" t="str">
        <f>"01054253"</f>
        <v>01054253</v>
      </c>
    </row>
    <row r="22252" spans="1:2" x14ac:dyDescent="0.25">
      <c r="A22252" s="2">
        <v>22247</v>
      </c>
      <c r="B22252" s="3" t="str">
        <f>"01054255"</f>
        <v>01054255</v>
      </c>
    </row>
    <row r="22253" spans="1:2" x14ac:dyDescent="0.25">
      <c r="A22253" s="2">
        <v>22248</v>
      </c>
      <c r="B22253" s="3" t="str">
        <f>"01054329"</f>
        <v>01054329</v>
      </c>
    </row>
    <row r="22254" spans="1:2" x14ac:dyDescent="0.25">
      <c r="A22254" s="2">
        <v>22249</v>
      </c>
      <c r="B22254" s="3" t="str">
        <f>"01054337"</f>
        <v>01054337</v>
      </c>
    </row>
    <row r="22255" spans="1:2" x14ac:dyDescent="0.25">
      <c r="A22255" s="2">
        <v>22250</v>
      </c>
      <c r="B22255" s="3" t="str">
        <f>"01054344"</f>
        <v>01054344</v>
      </c>
    </row>
    <row r="22256" spans="1:2" x14ac:dyDescent="0.25">
      <c r="A22256" s="2">
        <v>22251</v>
      </c>
      <c r="B22256" s="3" t="str">
        <f>"01054393"</f>
        <v>01054393</v>
      </c>
    </row>
    <row r="22257" spans="1:2" x14ac:dyDescent="0.25">
      <c r="A22257" s="2">
        <v>22252</v>
      </c>
      <c r="B22257" s="3" t="str">
        <f>"01054432"</f>
        <v>01054432</v>
      </c>
    </row>
    <row r="22258" spans="1:2" x14ac:dyDescent="0.25">
      <c r="A22258" s="2">
        <v>22253</v>
      </c>
      <c r="B22258" s="3" t="str">
        <f>"01054449"</f>
        <v>01054449</v>
      </c>
    </row>
    <row r="22259" spans="1:2" x14ac:dyDescent="0.25">
      <c r="A22259" s="2">
        <v>22254</v>
      </c>
      <c r="B22259" s="3" t="str">
        <f>"01054470"</f>
        <v>01054470</v>
      </c>
    </row>
    <row r="22260" spans="1:2" x14ac:dyDescent="0.25">
      <c r="A22260" s="2">
        <v>22255</v>
      </c>
      <c r="B22260" s="3" t="str">
        <f>"01054473"</f>
        <v>01054473</v>
      </c>
    </row>
    <row r="22261" spans="1:2" x14ac:dyDescent="0.25">
      <c r="A22261" s="2">
        <v>22256</v>
      </c>
      <c r="B22261" s="3" t="str">
        <f>"01054477"</f>
        <v>01054477</v>
      </c>
    </row>
    <row r="22262" spans="1:2" x14ac:dyDescent="0.25">
      <c r="A22262" s="2">
        <v>22257</v>
      </c>
      <c r="B22262" s="3" t="str">
        <f>"01054494"</f>
        <v>01054494</v>
      </c>
    </row>
    <row r="22263" spans="1:2" x14ac:dyDescent="0.25">
      <c r="A22263" s="2">
        <v>22258</v>
      </c>
      <c r="B22263" s="3" t="str">
        <f>"01054523"</f>
        <v>01054523</v>
      </c>
    </row>
    <row r="22264" spans="1:2" x14ac:dyDescent="0.25">
      <c r="A22264" s="2">
        <v>22259</v>
      </c>
      <c r="B22264" s="3" t="str">
        <f>"01054529"</f>
        <v>01054529</v>
      </c>
    </row>
    <row r="22265" spans="1:2" x14ac:dyDescent="0.25">
      <c r="A22265" s="2">
        <v>22260</v>
      </c>
      <c r="B22265" s="3" t="str">
        <f>"01054583"</f>
        <v>01054583</v>
      </c>
    </row>
    <row r="22266" spans="1:2" x14ac:dyDescent="0.25">
      <c r="A22266" s="2">
        <v>22261</v>
      </c>
      <c r="B22266" s="3" t="str">
        <f>"01054598"</f>
        <v>01054598</v>
      </c>
    </row>
    <row r="22267" spans="1:2" x14ac:dyDescent="0.25">
      <c r="A22267" s="2">
        <v>22262</v>
      </c>
      <c r="B22267" s="3" t="str">
        <f>"01054613"</f>
        <v>01054613</v>
      </c>
    </row>
    <row r="22268" spans="1:2" x14ac:dyDescent="0.25">
      <c r="A22268" s="2">
        <v>22263</v>
      </c>
      <c r="B22268" s="3" t="str">
        <f>"01054684"</f>
        <v>01054684</v>
      </c>
    </row>
    <row r="22269" spans="1:2" x14ac:dyDescent="0.25">
      <c r="A22269" s="2">
        <v>22264</v>
      </c>
      <c r="B22269" s="3" t="str">
        <f>"01054693"</f>
        <v>01054693</v>
      </c>
    </row>
    <row r="22270" spans="1:2" x14ac:dyDescent="0.25">
      <c r="A22270" s="2">
        <v>22265</v>
      </c>
      <c r="B22270" s="3" t="str">
        <f>"01054696"</f>
        <v>01054696</v>
      </c>
    </row>
    <row r="22271" spans="1:2" x14ac:dyDescent="0.25">
      <c r="A22271" s="2">
        <v>22266</v>
      </c>
      <c r="B22271" s="3" t="str">
        <f>"01054737"</f>
        <v>01054737</v>
      </c>
    </row>
    <row r="22272" spans="1:2" x14ac:dyDescent="0.25">
      <c r="A22272" s="2">
        <v>22267</v>
      </c>
      <c r="B22272" s="3" t="str">
        <f>"01054738"</f>
        <v>01054738</v>
      </c>
    </row>
    <row r="22273" spans="1:2" x14ac:dyDescent="0.25">
      <c r="A22273" s="2">
        <v>22268</v>
      </c>
      <c r="B22273" s="3" t="str">
        <f>"01054803"</f>
        <v>01054803</v>
      </c>
    </row>
    <row r="22274" spans="1:2" x14ac:dyDescent="0.25">
      <c r="A22274" s="2">
        <v>22269</v>
      </c>
      <c r="B22274" s="3" t="str">
        <f>"01054809"</f>
        <v>01054809</v>
      </c>
    </row>
    <row r="22275" spans="1:2" x14ac:dyDescent="0.25">
      <c r="A22275" s="2">
        <v>22270</v>
      </c>
      <c r="B22275" s="3" t="str">
        <f>"01054957"</f>
        <v>01054957</v>
      </c>
    </row>
    <row r="22276" spans="1:2" x14ac:dyDescent="0.25">
      <c r="A22276" s="2">
        <v>22271</v>
      </c>
      <c r="B22276" s="3" t="str">
        <f>"01054964"</f>
        <v>01054964</v>
      </c>
    </row>
    <row r="22277" spans="1:2" x14ac:dyDescent="0.25">
      <c r="A22277" s="2">
        <v>22272</v>
      </c>
      <c r="B22277" s="3" t="str">
        <f>"01055009"</f>
        <v>01055009</v>
      </c>
    </row>
    <row r="22278" spans="1:2" x14ac:dyDescent="0.25">
      <c r="A22278" s="2">
        <v>22273</v>
      </c>
      <c r="B22278" s="3" t="str">
        <f>"01055036"</f>
        <v>01055036</v>
      </c>
    </row>
    <row r="22279" spans="1:2" x14ac:dyDescent="0.25">
      <c r="A22279" s="2">
        <v>22274</v>
      </c>
      <c r="B22279" s="3" t="str">
        <f>"01055047"</f>
        <v>01055047</v>
      </c>
    </row>
    <row r="22280" spans="1:2" x14ac:dyDescent="0.25">
      <c r="A22280" s="2">
        <v>22275</v>
      </c>
      <c r="B22280" s="3" t="str">
        <f>"01055082"</f>
        <v>01055082</v>
      </c>
    </row>
    <row r="22281" spans="1:2" x14ac:dyDescent="0.25">
      <c r="A22281" s="2">
        <v>22276</v>
      </c>
      <c r="B22281" s="3" t="str">
        <f>"01055164"</f>
        <v>01055164</v>
      </c>
    </row>
    <row r="22282" spans="1:2" x14ac:dyDescent="0.25">
      <c r="A22282" s="2">
        <v>22277</v>
      </c>
      <c r="B22282" s="3" t="str">
        <f>"01055178"</f>
        <v>01055178</v>
      </c>
    </row>
    <row r="22283" spans="1:2" x14ac:dyDescent="0.25">
      <c r="A22283" s="2">
        <v>22278</v>
      </c>
      <c r="B22283" s="3" t="str">
        <f>"01055191"</f>
        <v>01055191</v>
      </c>
    </row>
    <row r="22284" spans="1:2" x14ac:dyDescent="0.25">
      <c r="A22284" s="2">
        <v>22279</v>
      </c>
      <c r="B22284" s="3" t="str">
        <f>"01055224"</f>
        <v>01055224</v>
      </c>
    </row>
    <row r="22285" spans="1:2" x14ac:dyDescent="0.25">
      <c r="A22285" s="2">
        <v>22280</v>
      </c>
      <c r="B22285" s="3" t="str">
        <f>"01055276"</f>
        <v>01055276</v>
      </c>
    </row>
    <row r="22286" spans="1:2" x14ac:dyDescent="0.25">
      <c r="A22286" s="2">
        <v>22281</v>
      </c>
      <c r="B22286" s="3" t="str">
        <f>"01055287"</f>
        <v>01055287</v>
      </c>
    </row>
    <row r="22287" spans="1:2" x14ac:dyDescent="0.25">
      <c r="A22287" s="2">
        <v>22282</v>
      </c>
      <c r="B22287" s="3" t="str">
        <f>"01055368"</f>
        <v>01055368</v>
      </c>
    </row>
    <row r="22288" spans="1:2" x14ac:dyDescent="0.25">
      <c r="A22288" s="2">
        <v>22283</v>
      </c>
      <c r="B22288" s="3" t="str">
        <f>"01055398"</f>
        <v>01055398</v>
      </c>
    </row>
    <row r="22289" spans="1:2" x14ac:dyDescent="0.25">
      <c r="A22289" s="2">
        <v>22284</v>
      </c>
      <c r="B22289" s="3" t="str">
        <f>"01055446"</f>
        <v>01055446</v>
      </c>
    </row>
    <row r="22290" spans="1:2" x14ac:dyDescent="0.25">
      <c r="A22290" s="2">
        <v>22285</v>
      </c>
      <c r="B22290" s="3" t="str">
        <f>"01055462"</f>
        <v>01055462</v>
      </c>
    </row>
    <row r="22291" spans="1:2" x14ac:dyDescent="0.25">
      <c r="A22291" s="2">
        <v>22286</v>
      </c>
      <c r="B22291" s="3" t="str">
        <f>"01055525"</f>
        <v>01055525</v>
      </c>
    </row>
    <row r="22292" spans="1:2" x14ac:dyDescent="0.25">
      <c r="A22292" s="2">
        <v>22287</v>
      </c>
      <c r="B22292" s="3" t="str">
        <f>"01055619"</f>
        <v>01055619</v>
      </c>
    </row>
    <row r="22293" spans="1:2" x14ac:dyDescent="0.25">
      <c r="A22293" s="2">
        <v>22288</v>
      </c>
      <c r="B22293" s="3" t="str">
        <f>"01055625"</f>
        <v>01055625</v>
      </c>
    </row>
    <row r="22294" spans="1:2" x14ac:dyDescent="0.25">
      <c r="A22294" s="2">
        <v>22289</v>
      </c>
      <c r="B22294" s="3" t="str">
        <f>"01055699"</f>
        <v>01055699</v>
      </c>
    </row>
    <row r="22295" spans="1:2" x14ac:dyDescent="0.25">
      <c r="A22295" s="2">
        <v>22290</v>
      </c>
      <c r="B22295" s="3" t="str">
        <f>"01055701"</f>
        <v>01055701</v>
      </c>
    </row>
    <row r="22296" spans="1:2" x14ac:dyDescent="0.25">
      <c r="A22296" s="2">
        <v>22291</v>
      </c>
      <c r="B22296" s="3" t="str">
        <f>"01055709"</f>
        <v>01055709</v>
      </c>
    </row>
    <row r="22297" spans="1:2" x14ac:dyDescent="0.25">
      <c r="A22297" s="2">
        <v>22292</v>
      </c>
      <c r="B22297" s="3" t="str">
        <f>"01055730"</f>
        <v>01055730</v>
      </c>
    </row>
    <row r="22298" spans="1:2" x14ac:dyDescent="0.25">
      <c r="A22298" s="2">
        <v>22293</v>
      </c>
      <c r="B22298" s="3" t="str">
        <f>"01055813"</f>
        <v>01055813</v>
      </c>
    </row>
    <row r="22299" spans="1:2" x14ac:dyDescent="0.25">
      <c r="A22299" s="2">
        <v>22294</v>
      </c>
      <c r="B22299" s="3" t="str">
        <f>"01055816"</f>
        <v>01055816</v>
      </c>
    </row>
    <row r="22300" spans="1:2" x14ac:dyDescent="0.25">
      <c r="A22300" s="2">
        <v>22295</v>
      </c>
      <c r="B22300" s="3" t="str">
        <f>"01055818"</f>
        <v>01055818</v>
      </c>
    </row>
    <row r="22301" spans="1:2" x14ac:dyDescent="0.25">
      <c r="A22301" s="2">
        <v>22296</v>
      </c>
      <c r="B22301" s="3" t="str">
        <f>"01055824"</f>
        <v>01055824</v>
      </c>
    </row>
    <row r="22302" spans="1:2" x14ac:dyDescent="0.25">
      <c r="A22302" s="2">
        <v>22297</v>
      </c>
      <c r="B22302" s="3" t="str">
        <f>"01055840"</f>
        <v>01055840</v>
      </c>
    </row>
    <row r="22303" spans="1:2" x14ac:dyDescent="0.25">
      <c r="A22303" s="2">
        <v>22298</v>
      </c>
      <c r="B22303" s="3" t="str">
        <f>"01055852"</f>
        <v>01055852</v>
      </c>
    </row>
    <row r="22304" spans="1:2" x14ac:dyDescent="0.25">
      <c r="A22304" s="2">
        <v>22299</v>
      </c>
      <c r="B22304" s="3" t="str">
        <f>"01055859"</f>
        <v>01055859</v>
      </c>
    </row>
    <row r="22305" spans="1:2" x14ac:dyDescent="0.25">
      <c r="A22305" s="2">
        <v>22300</v>
      </c>
      <c r="B22305" s="3" t="str">
        <f>"01055867"</f>
        <v>01055867</v>
      </c>
    </row>
    <row r="22306" spans="1:2" x14ac:dyDescent="0.25">
      <c r="A22306" s="2">
        <v>22301</v>
      </c>
      <c r="B22306" s="3" t="str">
        <f>"01055879"</f>
        <v>01055879</v>
      </c>
    </row>
    <row r="22307" spans="1:2" x14ac:dyDescent="0.25">
      <c r="A22307" s="2">
        <v>22302</v>
      </c>
      <c r="B22307" s="3" t="str">
        <f>"01055929"</f>
        <v>01055929</v>
      </c>
    </row>
    <row r="22308" spans="1:2" x14ac:dyDescent="0.25">
      <c r="A22308" s="2">
        <v>22303</v>
      </c>
      <c r="B22308" s="3" t="str">
        <f>"01055958"</f>
        <v>01055958</v>
      </c>
    </row>
    <row r="22309" spans="1:2" x14ac:dyDescent="0.25">
      <c r="A22309" s="2">
        <v>22304</v>
      </c>
      <c r="B22309" s="3" t="str">
        <f>"01055974"</f>
        <v>01055974</v>
      </c>
    </row>
    <row r="22310" spans="1:2" x14ac:dyDescent="0.25">
      <c r="A22310" s="2">
        <v>22305</v>
      </c>
      <c r="B22310" s="3" t="str">
        <f>"01056059"</f>
        <v>01056059</v>
      </c>
    </row>
    <row r="22311" spans="1:2" x14ac:dyDescent="0.25">
      <c r="A22311" s="2">
        <v>22306</v>
      </c>
      <c r="B22311" s="3" t="str">
        <f>"01056100"</f>
        <v>01056100</v>
      </c>
    </row>
    <row r="22312" spans="1:2" x14ac:dyDescent="0.25">
      <c r="A22312" s="2">
        <v>22307</v>
      </c>
      <c r="B22312" s="3" t="str">
        <f>"01056110"</f>
        <v>01056110</v>
      </c>
    </row>
    <row r="22313" spans="1:2" x14ac:dyDescent="0.25">
      <c r="A22313" s="2">
        <v>22308</v>
      </c>
      <c r="B22313" s="3" t="str">
        <f>"01056159"</f>
        <v>01056159</v>
      </c>
    </row>
    <row r="22314" spans="1:2" x14ac:dyDescent="0.25">
      <c r="A22314" s="2">
        <v>22309</v>
      </c>
      <c r="B22314" s="3" t="str">
        <f>"01056174"</f>
        <v>01056174</v>
      </c>
    </row>
    <row r="22315" spans="1:2" x14ac:dyDescent="0.25">
      <c r="A22315" s="2">
        <v>22310</v>
      </c>
      <c r="B22315" s="3" t="str">
        <f>"01056188"</f>
        <v>01056188</v>
      </c>
    </row>
    <row r="22316" spans="1:2" x14ac:dyDescent="0.25">
      <c r="A22316" s="2">
        <v>22311</v>
      </c>
      <c r="B22316" s="3" t="str">
        <f>"01056191"</f>
        <v>01056191</v>
      </c>
    </row>
    <row r="22317" spans="1:2" x14ac:dyDescent="0.25">
      <c r="A22317" s="2">
        <v>22312</v>
      </c>
      <c r="B22317" s="3" t="str">
        <f>"01056250"</f>
        <v>01056250</v>
      </c>
    </row>
    <row r="22318" spans="1:2" x14ac:dyDescent="0.25">
      <c r="A22318" s="2">
        <v>22313</v>
      </c>
      <c r="B22318" s="3" t="str">
        <f>"01056254"</f>
        <v>01056254</v>
      </c>
    </row>
    <row r="22319" spans="1:2" x14ac:dyDescent="0.25">
      <c r="A22319" s="2">
        <v>22314</v>
      </c>
      <c r="B22319" s="3" t="str">
        <f>"01056365"</f>
        <v>01056365</v>
      </c>
    </row>
    <row r="22320" spans="1:2" x14ac:dyDescent="0.25">
      <c r="A22320" s="2">
        <v>22315</v>
      </c>
      <c r="B22320" s="3" t="str">
        <f>"01056386"</f>
        <v>01056386</v>
      </c>
    </row>
    <row r="22321" spans="1:2" x14ac:dyDescent="0.25">
      <c r="A22321" s="2">
        <v>22316</v>
      </c>
      <c r="B22321" s="3" t="str">
        <f>"01056419"</f>
        <v>01056419</v>
      </c>
    </row>
    <row r="22322" spans="1:2" x14ac:dyDescent="0.25">
      <c r="A22322" s="2">
        <v>22317</v>
      </c>
      <c r="B22322" s="3" t="str">
        <f>"01056429"</f>
        <v>01056429</v>
      </c>
    </row>
    <row r="22323" spans="1:2" x14ac:dyDescent="0.25">
      <c r="A22323" s="2">
        <v>22318</v>
      </c>
      <c r="B22323" s="3" t="str">
        <f>"01056471"</f>
        <v>01056471</v>
      </c>
    </row>
    <row r="22324" spans="1:2" x14ac:dyDescent="0.25">
      <c r="A22324" s="2">
        <v>22319</v>
      </c>
      <c r="B22324" s="3" t="str">
        <f>"01056479"</f>
        <v>01056479</v>
      </c>
    </row>
    <row r="22325" spans="1:2" x14ac:dyDescent="0.25">
      <c r="A22325" s="2">
        <v>22320</v>
      </c>
      <c r="B22325" s="3" t="str">
        <f>"01056487"</f>
        <v>01056487</v>
      </c>
    </row>
    <row r="22326" spans="1:2" x14ac:dyDescent="0.25">
      <c r="A22326" s="2">
        <v>22321</v>
      </c>
      <c r="B22326" s="3" t="str">
        <f>"01056500"</f>
        <v>01056500</v>
      </c>
    </row>
    <row r="22327" spans="1:2" x14ac:dyDescent="0.25">
      <c r="A22327" s="2">
        <v>22322</v>
      </c>
      <c r="B22327" s="3" t="str">
        <f>"01056525"</f>
        <v>01056525</v>
      </c>
    </row>
    <row r="22328" spans="1:2" x14ac:dyDescent="0.25">
      <c r="A22328" s="2">
        <v>22323</v>
      </c>
      <c r="B22328" s="3" t="str">
        <f>"01056532"</f>
        <v>01056532</v>
      </c>
    </row>
    <row r="22329" spans="1:2" x14ac:dyDescent="0.25">
      <c r="A22329" s="2">
        <v>22324</v>
      </c>
      <c r="B22329" s="3" t="str">
        <f>"01056559"</f>
        <v>01056559</v>
      </c>
    </row>
    <row r="22330" spans="1:2" x14ac:dyDescent="0.25">
      <c r="A22330" s="2">
        <v>22325</v>
      </c>
      <c r="B22330" s="3" t="str">
        <f>"01056565"</f>
        <v>01056565</v>
      </c>
    </row>
    <row r="22331" spans="1:2" x14ac:dyDescent="0.25">
      <c r="A22331" s="2">
        <v>22326</v>
      </c>
      <c r="B22331" s="3" t="str">
        <f>"01056593"</f>
        <v>01056593</v>
      </c>
    </row>
    <row r="22332" spans="1:2" x14ac:dyDescent="0.25">
      <c r="A22332" s="2">
        <v>22327</v>
      </c>
      <c r="B22332" s="3" t="str">
        <f>"01056607"</f>
        <v>01056607</v>
      </c>
    </row>
    <row r="22333" spans="1:2" x14ac:dyDescent="0.25">
      <c r="A22333" s="2">
        <v>22328</v>
      </c>
      <c r="B22333" s="3" t="str">
        <f>"01056619"</f>
        <v>01056619</v>
      </c>
    </row>
    <row r="22334" spans="1:2" x14ac:dyDescent="0.25">
      <c r="A22334" s="2">
        <v>22329</v>
      </c>
      <c r="B22334" s="3" t="str">
        <f>"01056624"</f>
        <v>01056624</v>
      </c>
    </row>
    <row r="22335" spans="1:2" x14ac:dyDescent="0.25">
      <c r="A22335" s="2">
        <v>22330</v>
      </c>
      <c r="B22335" s="3" t="str">
        <f>"01056654"</f>
        <v>01056654</v>
      </c>
    </row>
    <row r="22336" spans="1:2" x14ac:dyDescent="0.25">
      <c r="A22336" s="2">
        <v>22331</v>
      </c>
      <c r="B22336" s="3" t="str">
        <f>"01056659"</f>
        <v>01056659</v>
      </c>
    </row>
    <row r="22337" spans="1:2" x14ac:dyDescent="0.25">
      <c r="A22337" s="2">
        <v>22332</v>
      </c>
      <c r="B22337" s="3" t="str">
        <f>"01056703"</f>
        <v>01056703</v>
      </c>
    </row>
    <row r="22338" spans="1:2" x14ac:dyDescent="0.25">
      <c r="A22338" s="2">
        <v>22333</v>
      </c>
      <c r="B22338" s="3" t="str">
        <f>"01056715"</f>
        <v>01056715</v>
      </c>
    </row>
    <row r="22339" spans="1:2" x14ac:dyDescent="0.25">
      <c r="A22339" s="2">
        <v>22334</v>
      </c>
      <c r="B22339" s="3" t="str">
        <f>"01056724"</f>
        <v>01056724</v>
      </c>
    </row>
    <row r="22340" spans="1:2" x14ac:dyDescent="0.25">
      <c r="A22340" s="2">
        <v>22335</v>
      </c>
      <c r="B22340" s="3" t="str">
        <f>"01056737"</f>
        <v>01056737</v>
      </c>
    </row>
    <row r="22341" spans="1:2" x14ac:dyDescent="0.25">
      <c r="A22341" s="2">
        <v>22336</v>
      </c>
      <c r="B22341" s="3" t="str">
        <f>"01056761"</f>
        <v>01056761</v>
      </c>
    </row>
    <row r="22342" spans="1:2" x14ac:dyDescent="0.25">
      <c r="A22342" s="2">
        <v>22337</v>
      </c>
      <c r="B22342" s="3" t="str">
        <f>"01056772"</f>
        <v>01056772</v>
      </c>
    </row>
    <row r="22343" spans="1:2" x14ac:dyDescent="0.25">
      <c r="A22343" s="2">
        <v>22338</v>
      </c>
      <c r="B22343" s="3" t="str">
        <f>"01056791"</f>
        <v>01056791</v>
      </c>
    </row>
    <row r="22344" spans="1:2" x14ac:dyDescent="0.25">
      <c r="A22344" s="2">
        <v>22339</v>
      </c>
      <c r="B22344" s="3" t="str">
        <f>"01056806"</f>
        <v>01056806</v>
      </c>
    </row>
    <row r="22345" spans="1:2" x14ac:dyDescent="0.25">
      <c r="A22345" s="2">
        <v>22340</v>
      </c>
      <c r="B22345" s="3" t="str">
        <f>"01056810"</f>
        <v>01056810</v>
      </c>
    </row>
    <row r="22346" spans="1:2" x14ac:dyDescent="0.25">
      <c r="A22346" s="2">
        <v>22341</v>
      </c>
      <c r="B22346" s="3" t="str">
        <f>"01056811"</f>
        <v>01056811</v>
      </c>
    </row>
    <row r="22347" spans="1:2" x14ac:dyDescent="0.25">
      <c r="A22347" s="2">
        <v>22342</v>
      </c>
      <c r="B22347" s="3" t="str">
        <f>"01056818"</f>
        <v>01056818</v>
      </c>
    </row>
    <row r="22348" spans="1:2" x14ac:dyDescent="0.25">
      <c r="A22348" s="2">
        <v>22343</v>
      </c>
      <c r="B22348" s="3" t="str">
        <f>"01056851"</f>
        <v>01056851</v>
      </c>
    </row>
    <row r="22349" spans="1:2" x14ac:dyDescent="0.25">
      <c r="A22349" s="2">
        <v>22344</v>
      </c>
      <c r="B22349" s="3" t="str">
        <f>"01056857"</f>
        <v>01056857</v>
      </c>
    </row>
    <row r="22350" spans="1:2" x14ac:dyDescent="0.25">
      <c r="A22350" s="2">
        <v>22345</v>
      </c>
      <c r="B22350" s="3" t="str">
        <f>"01056860"</f>
        <v>01056860</v>
      </c>
    </row>
    <row r="22351" spans="1:2" x14ac:dyDescent="0.25">
      <c r="A22351" s="2">
        <v>22346</v>
      </c>
      <c r="B22351" s="3" t="str">
        <f>"01056898"</f>
        <v>01056898</v>
      </c>
    </row>
    <row r="22352" spans="1:2" x14ac:dyDescent="0.25">
      <c r="A22352" s="2">
        <v>22347</v>
      </c>
      <c r="B22352" s="3" t="str">
        <f>"01056901"</f>
        <v>01056901</v>
      </c>
    </row>
    <row r="22353" spans="1:2" x14ac:dyDescent="0.25">
      <c r="A22353" s="2">
        <v>22348</v>
      </c>
      <c r="B22353" s="3" t="str">
        <f>"01056917"</f>
        <v>01056917</v>
      </c>
    </row>
    <row r="22354" spans="1:2" x14ac:dyDescent="0.25">
      <c r="A22354" s="2">
        <v>22349</v>
      </c>
      <c r="B22354" s="3" t="str">
        <f>"01056922"</f>
        <v>01056922</v>
      </c>
    </row>
    <row r="22355" spans="1:2" x14ac:dyDescent="0.25">
      <c r="A22355" s="2">
        <v>22350</v>
      </c>
      <c r="B22355" s="3" t="str">
        <f>"01056932"</f>
        <v>01056932</v>
      </c>
    </row>
    <row r="22356" spans="1:2" x14ac:dyDescent="0.25">
      <c r="A22356" s="2">
        <v>22351</v>
      </c>
      <c r="B22356" s="3" t="str">
        <f>"01057021"</f>
        <v>01057021</v>
      </c>
    </row>
    <row r="22357" spans="1:2" x14ac:dyDescent="0.25">
      <c r="A22357" s="2">
        <v>22352</v>
      </c>
      <c r="B22357" s="3" t="str">
        <f>"01057025"</f>
        <v>01057025</v>
      </c>
    </row>
    <row r="22358" spans="1:2" x14ac:dyDescent="0.25">
      <c r="A22358" s="2">
        <v>22353</v>
      </c>
      <c r="B22358" s="3" t="str">
        <f>"01057031"</f>
        <v>01057031</v>
      </c>
    </row>
    <row r="22359" spans="1:2" x14ac:dyDescent="0.25">
      <c r="A22359" s="2">
        <v>22354</v>
      </c>
      <c r="B22359" s="3" t="str">
        <f>"01057041"</f>
        <v>01057041</v>
      </c>
    </row>
    <row r="22360" spans="1:2" x14ac:dyDescent="0.25">
      <c r="A22360" s="2">
        <v>22355</v>
      </c>
      <c r="B22360" s="3" t="str">
        <f>"01057075"</f>
        <v>01057075</v>
      </c>
    </row>
    <row r="22361" spans="1:2" x14ac:dyDescent="0.25">
      <c r="A22361" s="2">
        <v>22356</v>
      </c>
      <c r="B22361" s="3" t="str">
        <f>"01057085"</f>
        <v>01057085</v>
      </c>
    </row>
    <row r="22362" spans="1:2" x14ac:dyDescent="0.25">
      <c r="A22362" s="2">
        <v>22357</v>
      </c>
      <c r="B22362" s="3" t="str">
        <f>"01057097"</f>
        <v>01057097</v>
      </c>
    </row>
    <row r="22363" spans="1:2" x14ac:dyDescent="0.25">
      <c r="A22363" s="2">
        <v>22358</v>
      </c>
      <c r="B22363" s="3" t="str">
        <f>"01057100"</f>
        <v>01057100</v>
      </c>
    </row>
    <row r="22364" spans="1:2" x14ac:dyDescent="0.25">
      <c r="A22364" s="2">
        <v>22359</v>
      </c>
      <c r="B22364" s="3" t="str">
        <f>"01057145"</f>
        <v>01057145</v>
      </c>
    </row>
    <row r="22365" spans="1:2" x14ac:dyDescent="0.25">
      <c r="A22365" s="2">
        <v>22360</v>
      </c>
      <c r="B22365" s="3" t="str">
        <f>"01057149"</f>
        <v>01057149</v>
      </c>
    </row>
    <row r="22366" spans="1:2" x14ac:dyDescent="0.25">
      <c r="A22366" s="2">
        <v>22361</v>
      </c>
      <c r="B22366" s="3" t="str">
        <f>"01057152"</f>
        <v>01057152</v>
      </c>
    </row>
    <row r="22367" spans="1:2" x14ac:dyDescent="0.25">
      <c r="A22367" s="2">
        <v>22362</v>
      </c>
      <c r="B22367" s="3" t="str">
        <f>"01057185"</f>
        <v>01057185</v>
      </c>
    </row>
    <row r="22368" spans="1:2" x14ac:dyDescent="0.25">
      <c r="A22368" s="2">
        <v>22363</v>
      </c>
      <c r="B22368" s="3" t="str">
        <f>"01057207"</f>
        <v>01057207</v>
      </c>
    </row>
    <row r="22369" spans="1:2" x14ac:dyDescent="0.25">
      <c r="A22369" s="2">
        <v>22364</v>
      </c>
      <c r="B22369" s="3" t="str">
        <f>"01057257"</f>
        <v>01057257</v>
      </c>
    </row>
    <row r="22370" spans="1:2" x14ac:dyDescent="0.25">
      <c r="A22370" s="2">
        <v>22365</v>
      </c>
      <c r="B22370" s="3" t="str">
        <f>"01057268"</f>
        <v>01057268</v>
      </c>
    </row>
    <row r="22371" spans="1:2" x14ac:dyDescent="0.25">
      <c r="A22371" s="2">
        <v>22366</v>
      </c>
      <c r="B22371" s="3" t="str">
        <f>"01057311"</f>
        <v>01057311</v>
      </c>
    </row>
    <row r="22372" spans="1:2" x14ac:dyDescent="0.25">
      <c r="A22372" s="2">
        <v>22367</v>
      </c>
      <c r="B22372" s="3" t="str">
        <f>"01057344"</f>
        <v>01057344</v>
      </c>
    </row>
    <row r="22373" spans="1:2" x14ac:dyDescent="0.25">
      <c r="A22373" s="2">
        <v>22368</v>
      </c>
      <c r="B22373" s="3" t="str">
        <f>"01057444"</f>
        <v>01057444</v>
      </c>
    </row>
    <row r="22374" spans="1:2" x14ac:dyDescent="0.25">
      <c r="A22374" s="2">
        <v>22369</v>
      </c>
      <c r="B22374" s="3" t="str">
        <f>"01057446"</f>
        <v>01057446</v>
      </c>
    </row>
    <row r="22375" spans="1:2" x14ac:dyDescent="0.25">
      <c r="A22375" s="2">
        <v>22370</v>
      </c>
      <c r="B22375" s="3" t="str">
        <f>"01057450"</f>
        <v>01057450</v>
      </c>
    </row>
    <row r="22376" spans="1:2" x14ac:dyDescent="0.25">
      <c r="A22376" s="2">
        <v>22371</v>
      </c>
      <c r="B22376" s="3" t="str">
        <f>"01057453"</f>
        <v>01057453</v>
      </c>
    </row>
    <row r="22377" spans="1:2" x14ac:dyDescent="0.25">
      <c r="A22377" s="2">
        <v>22372</v>
      </c>
      <c r="B22377" s="3" t="str">
        <f>"01057454"</f>
        <v>01057454</v>
      </c>
    </row>
    <row r="22378" spans="1:2" x14ac:dyDescent="0.25">
      <c r="A22378" s="2">
        <v>22373</v>
      </c>
      <c r="B22378" s="3" t="str">
        <f>"01057479"</f>
        <v>01057479</v>
      </c>
    </row>
    <row r="22379" spans="1:2" x14ac:dyDescent="0.25">
      <c r="A22379" s="2">
        <v>22374</v>
      </c>
      <c r="B22379" s="3" t="str">
        <f>"01057498"</f>
        <v>01057498</v>
      </c>
    </row>
    <row r="22380" spans="1:2" x14ac:dyDescent="0.25">
      <c r="A22380" s="2">
        <v>22375</v>
      </c>
      <c r="B22380" s="3" t="str">
        <f>"01057510"</f>
        <v>01057510</v>
      </c>
    </row>
    <row r="22381" spans="1:2" x14ac:dyDescent="0.25">
      <c r="A22381" s="2">
        <v>22376</v>
      </c>
      <c r="B22381" s="3" t="str">
        <f>"01057514"</f>
        <v>01057514</v>
      </c>
    </row>
    <row r="22382" spans="1:2" x14ac:dyDescent="0.25">
      <c r="A22382" s="2">
        <v>22377</v>
      </c>
      <c r="B22382" s="3" t="str">
        <f>"01057519"</f>
        <v>01057519</v>
      </c>
    </row>
    <row r="22383" spans="1:2" x14ac:dyDescent="0.25">
      <c r="A22383" s="2">
        <v>22378</v>
      </c>
      <c r="B22383" s="3" t="str">
        <f>"01057540"</f>
        <v>01057540</v>
      </c>
    </row>
    <row r="22384" spans="1:2" x14ac:dyDescent="0.25">
      <c r="A22384" s="2">
        <v>22379</v>
      </c>
      <c r="B22384" s="3" t="str">
        <f>"01057542"</f>
        <v>01057542</v>
      </c>
    </row>
    <row r="22385" spans="1:2" x14ac:dyDescent="0.25">
      <c r="A22385" s="2">
        <v>22380</v>
      </c>
      <c r="B22385" s="3" t="str">
        <f>"01057604"</f>
        <v>01057604</v>
      </c>
    </row>
    <row r="22386" spans="1:2" x14ac:dyDescent="0.25">
      <c r="A22386" s="2">
        <v>22381</v>
      </c>
      <c r="B22386" s="3" t="str">
        <f>"01057607"</f>
        <v>01057607</v>
      </c>
    </row>
    <row r="22387" spans="1:2" x14ac:dyDescent="0.25">
      <c r="A22387" s="2">
        <v>22382</v>
      </c>
      <c r="B22387" s="3" t="str">
        <f>"01057624"</f>
        <v>01057624</v>
      </c>
    </row>
    <row r="22388" spans="1:2" x14ac:dyDescent="0.25">
      <c r="A22388" s="2">
        <v>22383</v>
      </c>
      <c r="B22388" s="3" t="str">
        <f>"01057635"</f>
        <v>01057635</v>
      </c>
    </row>
    <row r="22389" spans="1:2" x14ac:dyDescent="0.25">
      <c r="A22389" s="2">
        <v>22384</v>
      </c>
      <c r="B22389" s="3" t="str">
        <f>"01057644"</f>
        <v>01057644</v>
      </c>
    </row>
    <row r="22390" spans="1:2" x14ac:dyDescent="0.25">
      <c r="A22390" s="2">
        <v>22385</v>
      </c>
      <c r="B22390" s="3" t="str">
        <f>"01057647"</f>
        <v>01057647</v>
      </c>
    </row>
    <row r="22391" spans="1:2" x14ac:dyDescent="0.25">
      <c r="A22391" s="2">
        <v>22386</v>
      </c>
      <c r="B22391" s="3" t="str">
        <f>"01057675"</f>
        <v>01057675</v>
      </c>
    </row>
    <row r="22392" spans="1:2" x14ac:dyDescent="0.25">
      <c r="A22392" s="2">
        <v>22387</v>
      </c>
      <c r="B22392" s="3" t="str">
        <f>"01057686"</f>
        <v>01057686</v>
      </c>
    </row>
    <row r="22393" spans="1:2" x14ac:dyDescent="0.25">
      <c r="A22393" s="2">
        <v>22388</v>
      </c>
      <c r="B22393" s="3" t="str">
        <f>"01057704"</f>
        <v>01057704</v>
      </c>
    </row>
    <row r="22394" spans="1:2" x14ac:dyDescent="0.25">
      <c r="A22394" s="2">
        <v>22389</v>
      </c>
      <c r="B22394" s="3" t="str">
        <f>"01057722"</f>
        <v>01057722</v>
      </c>
    </row>
    <row r="22395" spans="1:2" x14ac:dyDescent="0.25">
      <c r="A22395" s="2">
        <v>22390</v>
      </c>
      <c r="B22395" s="3" t="str">
        <f>"01057737"</f>
        <v>01057737</v>
      </c>
    </row>
    <row r="22396" spans="1:2" x14ac:dyDescent="0.25">
      <c r="A22396" s="2">
        <v>22391</v>
      </c>
      <c r="B22396" s="3" t="str">
        <f>"01057750"</f>
        <v>01057750</v>
      </c>
    </row>
    <row r="22397" spans="1:2" x14ac:dyDescent="0.25">
      <c r="A22397" s="2">
        <v>22392</v>
      </c>
      <c r="B22397" s="3" t="str">
        <f>"01057764"</f>
        <v>01057764</v>
      </c>
    </row>
    <row r="22398" spans="1:2" x14ac:dyDescent="0.25">
      <c r="A22398" s="2">
        <v>22393</v>
      </c>
      <c r="B22398" s="3" t="str">
        <f>"01057765"</f>
        <v>01057765</v>
      </c>
    </row>
    <row r="22399" spans="1:2" x14ac:dyDescent="0.25">
      <c r="A22399" s="2">
        <v>22394</v>
      </c>
      <c r="B22399" s="3" t="str">
        <f>"01057768"</f>
        <v>01057768</v>
      </c>
    </row>
    <row r="22400" spans="1:2" x14ac:dyDescent="0.25">
      <c r="A22400" s="2">
        <v>22395</v>
      </c>
      <c r="B22400" s="3" t="str">
        <f>"01057802"</f>
        <v>01057802</v>
      </c>
    </row>
    <row r="22401" spans="1:2" x14ac:dyDescent="0.25">
      <c r="A22401" s="2">
        <v>22396</v>
      </c>
      <c r="B22401" s="3" t="str">
        <f>"01057846"</f>
        <v>01057846</v>
      </c>
    </row>
    <row r="22402" spans="1:2" x14ac:dyDescent="0.25">
      <c r="A22402" s="2">
        <v>22397</v>
      </c>
      <c r="B22402" s="3" t="str">
        <f>"01057849"</f>
        <v>01057849</v>
      </c>
    </row>
    <row r="22403" spans="1:2" x14ac:dyDescent="0.25">
      <c r="A22403" s="2">
        <v>22398</v>
      </c>
      <c r="B22403" s="3" t="str">
        <f>"01057881"</f>
        <v>01057881</v>
      </c>
    </row>
    <row r="22404" spans="1:2" x14ac:dyDescent="0.25">
      <c r="A22404" s="2">
        <v>22399</v>
      </c>
      <c r="B22404" s="3" t="str">
        <f>"01057897"</f>
        <v>01057897</v>
      </c>
    </row>
    <row r="22405" spans="1:2" x14ac:dyDescent="0.25">
      <c r="A22405" s="2">
        <v>22400</v>
      </c>
      <c r="B22405" s="3" t="str">
        <f>"01057909"</f>
        <v>01057909</v>
      </c>
    </row>
    <row r="22406" spans="1:2" x14ac:dyDescent="0.25">
      <c r="A22406" s="2">
        <v>22401</v>
      </c>
      <c r="B22406" s="3" t="str">
        <f>"01057914"</f>
        <v>01057914</v>
      </c>
    </row>
    <row r="22407" spans="1:2" x14ac:dyDescent="0.25">
      <c r="A22407" s="2">
        <v>22402</v>
      </c>
      <c r="B22407" s="3" t="str">
        <f>"01057924"</f>
        <v>01057924</v>
      </c>
    </row>
    <row r="22408" spans="1:2" x14ac:dyDescent="0.25">
      <c r="A22408" s="2">
        <v>22403</v>
      </c>
      <c r="B22408" s="3" t="str">
        <f>"01057940"</f>
        <v>01057940</v>
      </c>
    </row>
    <row r="22409" spans="1:2" x14ac:dyDescent="0.25">
      <c r="A22409" s="2">
        <v>22404</v>
      </c>
      <c r="B22409" s="3" t="str">
        <f>"01057946"</f>
        <v>01057946</v>
      </c>
    </row>
    <row r="22410" spans="1:2" x14ac:dyDescent="0.25">
      <c r="A22410" s="2">
        <v>22405</v>
      </c>
      <c r="B22410" s="3" t="str">
        <f>"01057992"</f>
        <v>01057992</v>
      </c>
    </row>
    <row r="22411" spans="1:2" x14ac:dyDescent="0.25">
      <c r="A22411" s="2">
        <v>22406</v>
      </c>
      <c r="B22411" s="3" t="str">
        <f>"01058015"</f>
        <v>01058015</v>
      </c>
    </row>
    <row r="22412" spans="1:2" x14ac:dyDescent="0.25">
      <c r="A22412" s="2">
        <v>22407</v>
      </c>
      <c r="B22412" s="3" t="str">
        <f>"01058031"</f>
        <v>01058031</v>
      </c>
    </row>
    <row r="22413" spans="1:2" x14ac:dyDescent="0.25">
      <c r="A22413" s="2">
        <v>22408</v>
      </c>
      <c r="B22413" s="3" t="str">
        <f>"01058041"</f>
        <v>01058041</v>
      </c>
    </row>
    <row r="22414" spans="1:2" x14ac:dyDescent="0.25">
      <c r="A22414" s="2">
        <v>22409</v>
      </c>
      <c r="B22414" s="3" t="str">
        <f>"01058050"</f>
        <v>01058050</v>
      </c>
    </row>
    <row r="22415" spans="1:2" x14ac:dyDescent="0.25">
      <c r="A22415" s="2">
        <v>22410</v>
      </c>
      <c r="B22415" s="3" t="str">
        <f>"01058059"</f>
        <v>01058059</v>
      </c>
    </row>
    <row r="22416" spans="1:2" x14ac:dyDescent="0.25">
      <c r="A22416" s="2">
        <v>22411</v>
      </c>
      <c r="B22416" s="3" t="str">
        <f>"01058064"</f>
        <v>01058064</v>
      </c>
    </row>
    <row r="22417" spans="1:2" x14ac:dyDescent="0.25">
      <c r="A22417" s="2">
        <v>22412</v>
      </c>
      <c r="B22417" s="3" t="str">
        <f>"01058073"</f>
        <v>01058073</v>
      </c>
    </row>
    <row r="22418" spans="1:2" x14ac:dyDescent="0.25">
      <c r="A22418" s="2">
        <v>22413</v>
      </c>
      <c r="B22418" s="3" t="str">
        <f>"01058076"</f>
        <v>01058076</v>
      </c>
    </row>
    <row r="22419" spans="1:2" x14ac:dyDescent="0.25">
      <c r="A22419" s="2">
        <v>22414</v>
      </c>
      <c r="B22419" s="3" t="str">
        <f>"01058110"</f>
        <v>01058110</v>
      </c>
    </row>
    <row r="22420" spans="1:2" x14ac:dyDescent="0.25">
      <c r="A22420" s="2">
        <v>22415</v>
      </c>
      <c r="B22420" s="3" t="str">
        <f>"01058120"</f>
        <v>01058120</v>
      </c>
    </row>
    <row r="22421" spans="1:2" x14ac:dyDescent="0.25">
      <c r="A22421" s="2">
        <v>22416</v>
      </c>
      <c r="B22421" s="3" t="str">
        <f>"01058145"</f>
        <v>01058145</v>
      </c>
    </row>
    <row r="22422" spans="1:2" x14ac:dyDescent="0.25">
      <c r="A22422" s="2">
        <v>22417</v>
      </c>
      <c r="B22422" s="3" t="str">
        <f>"01058153"</f>
        <v>01058153</v>
      </c>
    </row>
    <row r="22423" spans="1:2" x14ac:dyDescent="0.25">
      <c r="A22423" s="2">
        <v>22418</v>
      </c>
      <c r="B22423" s="3" t="str">
        <f>"01058157"</f>
        <v>01058157</v>
      </c>
    </row>
    <row r="22424" spans="1:2" x14ac:dyDescent="0.25">
      <c r="A22424" s="2">
        <v>22419</v>
      </c>
      <c r="B22424" s="3" t="str">
        <f>"01058168"</f>
        <v>01058168</v>
      </c>
    </row>
    <row r="22425" spans="1:2" x14ac:dyDescent="0.25">
      <c r="A22425" s="2">
        <v>22420</v>
      </c>
      <c r="B22425" s="3" t="str">
        <f>"01058170"</f>
        <v>01058170</v>
      </c>
    </row>
    <row r="22426" spans="1:2" x14ac:dyDescent="0.25">
      <c r="A22426" s="2">
        <v>22421</v>
      </c>
      <c r="B22426" s="3" t="str">
        <f>"01058171"</f>
        <v>01058171</v>
      </c>
    </row>
    <row r="22427" spans="1:2" x14ac:dyDescent="0.25">
      <c r="A22427" s="2">
        <v>22422</v>
      </c>
      <c r="B22427" s="3" t="str">
        <f>"01058172"</f>
        <v>01058172</v>
      </c>
    </row>
    <row r="22428" spans="1:2" x14ac:dyDescent="0.25">
      <c r="A22428" s="2">
        <v>22423</v>
      </c>
      <c r="B22428" s="3" t="str">
        <f>"01058216"</f>
        <v>01058216</v>
      </c>
    </row>
    <row r="22429" spans="1:2" x14ac:dyDescent="0.25">
      <c r="A22429" s="2">
        <v>22424</v>
      </c>
      <c r="B22429" s="3" t="str">
        <f>"01058244"</f>
        <v>01058244</v>
      </c>
    </row>
    <row r="22430" spans="1:2" x14ac:dyDescent="0.25">
      <c r="A22430" s="2">
        <v>22425</v>
      </c>
      <c r="B22430" s="3" t="str">
        <f>"01058252"</f>
        <v>01058252</v>
      </c>
    </row>
    <row r="22431" spans="1:2" x14ac:dyDescent="0.25">
      <c r="A22431" s="2">
        <v>22426</v>
      </c>
      <c r="B22431" s="3" t="str">
        <f>"01058288"</f>
        <v>01058288</v>
      </c>
    </row>
    <row r="22432" spans="1:2" x14ac:dyDescent="0.25">
      <c r="A22432" s="2">
        <v>22427</v>
      </c>
      <c r="B22432" s="3" t="str">
        <f>"01058321"</f>
        <v>01058321</v>
      </c>
    </row>
    <row r="22433" spans="1:2" x14ac:dyDescent="0.25">
      <c r="A22433" s="2">
        <v>22428</v>
      </c>
      <c r="B22433" s="3" t="str">
        <f>"01058343"</f>
        <v>01058343</v>
      </c>
    </row>
    <row r="22434" spans="1:2" x14ac:dyDescent="0.25">
      <c r="A22434" s="2">
        <v>22429</v>
      </c>
      <c r="B22434" s="3" t="str">
        <f>"01058352"</f>
        <v>01058352</v>
      </c>
    </row>
    <row r="22435" spans="1:2" x14ac:dyDescent="0.25">
      <c r="A22435" s="2">
        <v>22430</v>
      </c>
      <c r="B22435" s="3" t="str">
        <f>"01058356"</f>
        <v>01058356</v>
      </c>
    </row>
    <row r="22436" spans="1:2" x14ac:dyDescent="0.25">
      <c r="A22436" s="2">
        <v>22431</v>
      </c>
      <c r="B22436" s="3" t="str">
        <f>"01058373"</f>
        <v>01058373</v>
      </c>
    </row>
    <row r="22437" spans="1:2" x14ac:dyDescent="0.25">
      <c r="A22437" s="2">
        <v>22432</v>
      </c>
      <c r="B22437" s="3" t="str">
        <f>"01058388"</f>
        <v>01058388</v>
      </c>
    </row>
    <row r="22438" spans="1:2" x14ac:dyDescent="0.25">
      <c r="A22438" s="2">
        <v>22433</v>
      </c>
      <c r="B22438" s="3" t="str">
        <f>"01058466"</f>
        <v>01058466</v>
      </c>
    </row>
    <row r="22439" spans="1:2" x14ac:dyDescent="0.25">
      <c r="A22439" s="2">
        <v>22434</v>
      </c>
      <c r="B22439" s="3" t="str">
        <f>"01058471"</f>
        <v>01058471</v>
      </c>
    </row>
    <row r="22440" spans="1:2" x14ac:dyDescent="0.25">
      <c r="A22440" s="2">
        <v>22435</v>
      </c>
      <c r="B22440" s="3" t="str">
        <f>"01058490"</f>
        <v>01058490</v>
      </c>
    </row>
    <row r="22441" spans="1:2" x14ac:dyDescent="0.25">
      <c r="A22441" s="2">
        <v>22436</v>
      </c>
      <c r="B22441" s="3" t="str">
        <f>"01058520"</f>
        <v>01058520</v>
      </c>
    </row>
    <row r="22442" spans="1:2" x14ac:dyDescent="0.25">
      <c r="A22442" s="2">
        <v>22437</v>
      </c>
      <c r="B22442" s="3" t="str">
        <f>"01058532"</f>
        <v>01058532</v>
      </c>
    </row>
    <row r="22443" spans="1:2" x14ac:dyDescent="0.25">
      <c r="A22443" s="2">
        <v>22438</v>
      </c>
      <c r="B22443" s="3" t="str">
        <f>"01058545"</f>
        <v>01058545</v>
      </c>
    </row>
    <row r="22444" spans="1:2" x14ac:dyDescent="0.25">
      <c r="A22444" s="2">
        <v>22439</v>
      </c>
      <c r="B22444" s="3" t="str">
        <f>"01058553"</f>
        <v>01058553</v>
      </c>
    </row>
    <row r="22445" spans="1:2" x14ac:dyDescent="0.25">
      <c r="A22445" s="2">
        <v>22440</v>
      </c>
      <c r="B22445" s="3" t="str">
        <f>"01058568"</f>
        <v>01058568</v>
      </c>
    </row>
    <row r="22446" spans="1:2" x14ac:dyDescent="0.25">
      <c r="A22446" s="2">
        <v>22441</v>
      </c>
      <c r="B22446" s="3" t="str">
        <f>"01058569"</f>
        <v>01058569</v>
      </c>
    </row>
    <row r="22447" spans="1:2" x14ac:dyDescent="0.25">
      <c r="A22447" s="2">
        <v>22442</v>
      </c>
      <c r="B22447" s="3" t="str">
        <f>"01058577"</f>
        <v>01058577</v>
      </c>
    </row>
    <row r="22448" spans="1:2" x14ac:dyDescent="0.25">
      <c r="A22448" s="2">
        <v>22443</v>
      </c>
      <c r="B22448" s="3" t="str">
        <f>"01058646"</f>
        <v>01058646</v>
      </c>
    </row>
    <row r="22449" spans="1:2" x14ac:dyDescent="0.25">
      <c r="A22449" s="2">
        <v>22444</v>
      </c>
      <c r="B22449" s="3" t="str">
        <f>"01058648"</f>
        <v>01058648</v>
      </c>
    </row>
    <row r="22450" spans="1:2" x14ac:dyDescent="0.25">
      <c r="A22450" s="2">
        <v>22445</v>
      </c>
      <c r="B22450" s="3" t="str">
        <f>"01058723"</f>
        <v>01058723</v>
      </c>
    </row>
    <row r="22451" spans="1:2" x14ac:dyDescent="0.25">
      <c r="A22451" s="2">
        <v>22446</v>
      </c>
      <c r="B22451" s="3" t="str">
        <f>"01058737"</f>
        <v>01058737</v>
      </c>
    </row>
    <row r="22452" spans="1:2" x14ac:dyDescent="0.25">
      <c r="A22452" s="2">
        <v>22447</v>
      </c>
      <c r="B22452" s="3" t="str">
        <f>"01058752"</f>
        <v>01058752</v>
      </c>
    </row>
    <row r="22453" spans="1:2" x14ac:dyDescent="0.25">
      <c r="A22453" s="2">
        <v>22448</v>
      </c>
      <c r="B22453" s="3" t="str">
        <f>"01058764"</f>
        <v>01058764</v>
      </c>
    </row>
    <row r="22454" spans="1:2" x14ac:dyDescent="0.25">
      <c r="A22454" s="2">
        <v>22449</v>
      </c>
      <c r="B22454" s="3" t="str">
        <f>"01058783"</f>
        <v>01058783</v>
      </c>
    </row>
    <row r="22455" spans="1:2" x14ac:dyDescent="0.25">
      <c r="A22455" s="2">
        <v>22450</v>
      </c>
      <c r="B22455" s="3" t="str">
        <f>"01058787"</f>
        <v>01058787</v>
      </c>
    </row>
    <row r="22456" spans="1:2" x14ac:dyDescent="0.25">
      <c r="A22456" s="2">
        <v>22451</v>
      </c>
      <c r="B22456" s="3" t="str">
        <f>"01058790"</f>
        <v>01058790</v>
      </c>
    </row>
    <row r="22457" spans="1:2" x14ac:dyDescent="0.25">
      <c r="A22457" s="2">
        <v>22452</v>
      </c>
      <c r="B22457" s="3" t="str">
        <f>"01058810"</f>
        <v>01058810</v>
      </c>
    </row>
    <row r="22458" spans="1:2" x14ac:dyDescent="0.25">
      <c r="A22458" s="2">
        <v>22453</v>
      </c>
      <c r="B22458" s="3" t="str">
        <f>"01058859"</f>
        <v>01058859</v>
      </c>
    </row>
    <row r="22459" spans="1:2" x14ac:dyDescent="0.25">
      <c r="A22459" s="2">
        <v>22454</v>
      </c>
      <c r="B22459" s="3" t="str">
        <f>"01058862"</f>
        <v>01058862</v>
      </c>
    </row>
    <row r="22460" spans="1:2" x14ac:dyDescent="0.25">
      <c r="A22460" s="2">
        <v>22455</v>
      </c>
      <c r="B22460" s="3" t="str">
        <f>"01058870"</f>
        <v>01058870</v>
      </c>
    </row>
    <row r="22461" spans="1:2" x14ac:dyDescent="0.25">
      <c r="A22461" s="2">
        <v>22456</v>
      </c>
      <c r="B22461" s="3" t="str">
        <f>"01058876"</f>
        <v>01058876</v>
      </c>
    </row>
    <row r="22462" spans="1:2" x14ac:dyDescent="0.25">
      <c r="A22462" s="2">
        <v>22457</v>
      </c>
      <c r="B22462" s="3" t="str">
        <f>"01058887"</f>
        <v>01058887</v>
      </c>
    </row>
    <row r="22463" spans="1:2" x14ac:dyDescent="0.25">
      <c r="A22463" s="2">
        <v>22458</v>
      </c>
      <c r="B22463" s="3" t="str">
        <f>"01058893"</f>
        <v>01058893</v>
      </c>
    </row>
    <row r="22464" spans="1:2" x14ac:dyDescent="0.25">
      <c r="A22464" s="2">
        <v>22459</v>
      </c>
      <c r="B22464" s="3" t="str">
        <f>"01058898"</f>
        <v>01058898</v>
      </c>
    </row>
    <row r="22465" spans="1:2" x14ac:dyDescent="0.25">
      <c r="A22465" s="2">
        <v>22460</v>
      </c>
      <c r="B22465" s="3" t="str">
        <f>"01058904"</f>
        <v>01058904</v>
      </c>
    </row>
    <row r="22466" spans="1:2" x14ac:dyDescent="0.25">
      <c r="A22466" s="2">
        <v>22461</v>
      </c>
      <c r="B22466" s="3" t="str">
        <f>"01058905"</f>
        <v>01058905</v>
      </c>
    </row>
    <row r="22467" spans="1:2" x14ac:dyDescent="0.25">
      <c r="A22467" s="2">
        <v>22462</v>
      </c>
      <c r="B22467" s="3" t="str">
        <f>"01058911"</f>
        <v>01058911</v>
      </c>
    </row>
    <row r="22468" spans="1:2" x14ac:dyDescent="0.25">
      <c r="A22468" s="2">
        <v>22463</v>
      </c>
      <c r="B22468" s="3" t="str">
        <f>"01058913"</f>
        <v>01058913</v>
      </c>
    </row>
    <row r="22469" spans="1:2" x14ac:dyDescent="0.25">
      <c r="A22469" s="2">
        <v>22464</v>
      </c>
      <c r="B22469" s="3" t="str">
        <f>"01058930"</f>
        <v>01058930</v>
      </c>
    </row>
    <row r="22470" spans="1:2" x14ac:dyDescent="0.25">
      <c r="A22470" s="2">
        <v>22465</v>
      </c>
      <c r="B22470" s="3" t="str">
        <f>"01058949"</f>
        <v>01058949</v>
      </c>
    </row>
    <row r="22471" spans="1:2" x14ac:dyDescent="0.25">
      <c r="A22471" s="2">
        <v>22466</v>
      </c>
      <c r="B22471" s="3" t="str">
        <f>"01058965"</f>
        <v>01058965</v>
      </c>
    </row>
    <row r="22472" spans="1:2" x14ac:dyDescent="0.25">
      <c r="A22472" s="2">
        <v>22467</v>
      </c>
      <c r="B22472" s="3" t="str">
        <f>"01058971"</f>
        <v>01058971</v>
      </c>
    </row>
    <row r="22473" spans="1:2" x14ac:dyDescent="0.25">
      <c r="A22473" s="2">
        <v>22468</v>
      </c>
      <c r="B22473" s="3" t="str">
        <f>"01058978"</f>
        <v>01058978</v>
      </c>
    </row>
    <row r="22474" spans="1:2" x14ac:dyDescent="0.25">
      <c r="A22474" s="2">
        <v>22469</v>
      </c>
      <c r="B22474" s="3" t="str">
        <f>"01058982"</f>
        <v>01058982</v>
      </c>
    </row>
    <row r="22475" spans="1:2" x14ac:dyDescent="0.25">
      <c r="A22475" s="2">
        <v>22470</v>
      </c>
      <c r="B22475" s="3" t="str">
        <f>"01058983"</f>
        <v>01058983</v>
      </c>
    </row>
    <row r="22476" spans="1:2" x14ac:dyDescent="0.25">
      <c r="A22476" s="2">
        <v>22471</v>
      </c>
      <c r="B22476" s="3" t="str">
        <f>"01058988"</f>
        <v>01058988</v>
      </c>
    </row>
    <row r="22477" spans="1:2" x14ac:dyDescent="0.25">
      <c r="A22477" s="2">
        <v>22472</v>
      </c>
      <c r="B22477" s="3" t="str">
        <f>"01058991"</f>
        <v>01058991</v>
      </c>
    </row>
    <row r="22478" spans="1:2" x14ac:dyDescent="0.25">
      <c r="A22478" s="2">
        <v>22473</v>
      </c>
      <c r="B22478" s="3" t="str">
        <f>"01059011"</f>
        <v>01059011</v>
      </c>
    </row>
    <row r="22479" spans="1:2" x14ac:dyDescent="0.25">
      <c r="A22479" s="2">
        <v>22474</v>
      </c>
      <c r="B22479" s="3" t="str">
        <f>"01059013"</f>
        <v>01059013</v>
      </c>
    </row>
    <row r="22480" spans="1:2" x14ac:dyDescent="0.25">
      <c r="A22480" s="2">
        <v>22475</v>
      </c>
      <c r="B22480" s="3" t="str">
        <f>"01059022"</f>
        <v>01059022</v>
      </c>
    </row>
    <row r="22481" spans="1:2" x14ac:dyDescent="0.25">
      <c r="A22481" s="2">
        <v>22476</v>
      </c>
      <c r="B22481" s="3" t="str">
        <f>"01059033"</f>
        <v>01059033</v>
      </c>
    </row>
    <row r="22482" spans="1:2" x14ac:dyDescent="0.25">
      <c r="A22482" s="2">
        <v>22477</v>
      </c>
      <c r="B22482" s="3" t="str">
        <f>"01059034"</f>
        <v>01059034</v>
      </c>
    </row>
    <row r="22483" spans="1:2" x14ac:dyDescent="0.25">
      <c r="A22483" s="2">
        <v>22478</v>
      </c>
      <c r="B22483" s="3" t="str">
        <f>"01059048"</f>
        <v>01059048</v>
      </c>
    </row>
    <row r="22484" spans="1:2" x14ac:dyDescent="0.25">
      <c r="A22484" s="2">
        <v>22479</v>
      </c>
      <c r="B22484" s="3" t="str">
        <f>"01059053"</f>
        <v>01059053</v>
      </c>
    </row>
    <row r="22485" spans="1:2" x14ac:dyDescent="0.25">
      <c r="A22485" s="2">
        <v>22480</v>
      </c>
      <c r="B22485" s="3" t="str">
        <f>"01059064"</f>
        <v>01059064</v>
      </c>
    </row>
    <row r="22486" spans="1:2" x14ac:dyDescent="0.25">
      <c r="A22486" s="2">
        <v>22481</v>
      </c>
      <c r="B22486" s="3" t="str">
        <f>"01059074"</f>
        <v>01059074</v>
      </c>
    </row>
    <row r="22487" spans="1:2" x14ac:dyDescent="0.25">
      <c r="A22487" s="2">
        <v>22482</v>
      </c>
      <c r="B22487" s="3" t="str">
        <f>"01059088"</f>
        <v>01059088</v>
      </c>
    </row>
    <row r="22488" spans="1:2" x14ac:dyDescent="0.25">
      <c r="A22488" s="2">
        <v>22483</v>
      </c>
      <c r="B22488" s="3" t="str">
        <f>"01059093"</f>
        <v>01059093</v>
      </c>
    </row>
    <row r="22489" spans="1:2" x14ac:dyDescent="0.25">
      <c r="A22489" s="2">
        <v>22484</v>
      </c>
      <c r="B22489" s="3" t="str">
        <f>"01059095"</f>
        <v>01059095</v>
      </c>
    </row>
    <row r="22490" spans="1:2" x14ac:dyDescent="0.25">
      <c r="A22490" s="2">
        <v>22485</v>
      </c>
      <c r="B22490" s="3" t="str">
        <f>"01059105"</f>
        <v>01059105</v>
      </c>
    </row>
    <row r="22491" spans="1:2" x14ac:dyDescent="0.25">
      <c r="A22491" s="2">
        <v>22486</v>
      </c>
      <c r="B22491" s="3" t="str">
        <f>"01059109"</f>
        <v>01059109</v>
      </c>
    </row>
    <row r="22492" spans="1:2" x14ac:dyDescent="0.25">
      <c r="A22492" s="2">
        <v>22487</v>
      </c>
      <c r="B22492" s="3" t="str">
        <f>"01059121"</f>
        <v>01059121</v>
      </c>
    </row>
    <row r="22493" spans="1:2" x14ac:dyDescent="0.25">
      <c r="A22493" s="2">
        <v>22488</v>
      </c>
      <c r="B22493" s="3" t="str">
        <f>"01059138"</f>
        <v>01059138</v>
      </c>
    </row>
    <row r="22494" spans="1:2" x14ac:dyDescent="0.25">
      <c r="A22494" s="2">
        <v>22489</v>
      </c>
      <c r="B22494" s="3" t="str">
        <f>"01059141"</f>
        <v>01059141</v>
      </c>
    </row>
    <row r="22495" spans="1:2" x14ac:dyDescent="0.25">
      <c r="A22495" s="2">
        <v>22490</v>
      </c>
      <c r="B22495" s="3" t="str">
        <f>"01059142"</f>
        <v>01059142</v>
      </c>
    </row>
    <row r="22496" spans="1:2" x14ac:dyDescent="0.25">
      <c r="A22496" s="2">
        <v>22491</v>
      </c>
      <c r="B22496" s="3" t="str">
        <f>"01059169"</f>
        <v>01059169</v>
      </c>
    </row>
    <row r="22497" spans="1:2" x14ac:dyDescent="0.25">
      <c r="A22497" s="2">
        <v>22492</v>
      </c>
      <c r="B22497" s="3" t="str">
        <f>"01059174"</f>
        <v>01059174</v>
      </c>
    </row>
    <row r="22498" spans="1:2" x14ac:dyDescent="0.25">
      <c r="A22498" s="2">
        <v>22493</v>
      </c>
      <c r="B22498" s="3" t="str">
        <f>"01059181"</f>
        <v>01059181</v>
      </c>
    </row>
    <row r="22499" spans="1:2" x14ac:dyDescent="0.25">
      <c r="A22499" s="2">
        <v>22494</v>
      </c>
      <c r="B22499" s="3" t="str">
        <f>"01059208"</f>
        <v>01059208</v>
      </c>
    </row>
    <row r="22500" spans="1:2" x14ac:dyDescent="0.25">
      <c r="A22500" s="2">
        <v>22495</v>
      </c>
      <c r="B22500" s="3" t="str">
        <f>"01059210"</f>
        <v>01059210</v>
      </c>
    </row>
    <row r="22501" spans="1:2" x14ac:dyDescent="0.25">
      <c r="A22501" s="2">
        <v>22496</v>
      </c>
      <c r="B22501" s="3" t="str">
        <f>"01059213"</f>
        <v>01059213</v>
      </c>
    </row>
    <row r="22502" spans="1:2" x14ac:dyDescent="0.25">
      <c r="A22502" s="2">
        <v>22497</v>
      </c>
      <c r="B22502" s="3" t="str">
        <f>"01059218"</f>
        <v>01059218</v>
      </c>
    </row>
    <row r="22503" spans="1:2" x14ac:dyDescent="0.25">
      <c r="A22503" s="2">
        <v>22498</v>
      </c>
      <c r="B22503" s="3" t="str">
        <f>"01059223"</f>
        <v>01059223</v>
      </c>
    </row>
    <row r="22504" spans="1:2" x14ac:dyDescent="0.25">
      <c r="A22504" s="2">
        <v>22499</v>
      </c>
      <c r="B22504" s="3" t="str">
        <f>"01059240"</f>
        <v>01059240</v>
      </c>
    </row>
    <row r="22505" spans="1:2" x14ac:dyDescent="0.25">
      <c r="A22505" s="2">
        <v>22500</v>
      </c>
      <c r="B22505" s="3" t="str">
        <f>"01059253"</f>
        <v>01059253</v>
      </c>
    </row>
    <row r="22506" spans="1:2" x14ac:dyDescent="0.25">
      <c r="A22506" s="2">
        <v>22501</v>
      </c>
      <c r="B22506" s="3" t="str">
        <f>"01059259"</f>
        <v>01059259</v>
      </c>
    </row>
    <row r="22507" spans="1:2" x14ac:dyDescent="0.25">
      <c r="A22507" s="2">
        <v>22502</v>
      </c>
      <c r="B22507" s="3" t="str">
        <f>"01059260"</f>
        <v>01059260</v>
      </c>
    </row>
    <row r="22508" spans="1:2" x14ac:dyDescent="0.25">
      <c r="A22508" s="2">
        <v>22503</v>
      </c>
      <c r="B22508" s="3" t="str">
        <f>"01059269"</f>
        <v>01059269</v>
      </c>
    </row>
    <row r="22509" spans="1:2" x14ac:dyDescent="0.25">
      <c r="A22509" s="2">
        <v>22504</v>
      </c>
      <c r="B22509" s="3" t="str">
        <f>"01059271"</f>
        <v>01059271</v>
      </c>
    </row>
    <row r="22510" spans="1:2" x14ac:dyDescent="0.25">
      <c r="A22510" s="2">
        <v>22505</v>
      </c>
      <c r="B22510" s="3" t="str">
        <f>"01059279"</f>
        <v>01059279</v>
      </c>
    </row>
    <row r="22511" spans="1:2" x14ac:dyDescent="0.25">
      <c r="A22511" s="2">
        <v>22506</v>
      </c>
      <c r="B22511" s="3" t="str">
        <f>"01059284"</f>
        <v>01059284</v>
      </c>
    </row>
    <row r="22512" spans="1:2" x14ac:dyDescent="0.25">
      <c r="A22512" s="2">
        <v>22507</v>
      </c>
      <c r="B22512" s="3" t="str">
        <f>"01059298"</f>
        <v>01059298</v>
      </c>
    </row>
    <row r="22513" spans="1:2" x14ac:dyDescent="0.25">
      <c r="A22513" s="2">
        <v>22508</v>
      </c>
      <c r="B22513" s="3" t="str">
        <f>"01059301"</f>
        <v>01059301</v>
      </c>
    </row>
    <row r="22514" spans="1:2" x14ac:dyDescent="0.25">
      <c r="A22514" s="2">
        <v>22509</v>
      </c>
      <c r="B22514" s="3" t="str">
        <f>"01059304"</f>
        <v>01059304</v>
      </c>
    </row>
    <row r="22515" spans="1:2" x14ac:dyDescent="0.25">
      <c r="A22515" s="2">
        <v>22510</v>
      </c>
      <c r="B22515" s="3" t="str">
        <f>"01059314"</f>
        <v>01059314</v>
      </c>
    </row>
    <row r="22516" spans="1:2" x14ac:dyDescent="0.25">
      <c r="A22516" s="2">
        <v>22511</v>
      </c>
      <c r="B22516" s="3" t="str">
        <f>"01059316"</f>
        <v>01059316</v>
      </c>
    </row>
    <row r="22517" spans="1:2" x14ac:dyDescent="0.25">
      <c r="A22517" s="2">
        <v>22512</v>
      </c>
      <c r="B22517" s="3" t="str">
        <f>"01059318"</f>
        <v>01059318</v>
      </c>
    </row>
    <row r="22518" spans="1:2" x14ac:dyDescent="0.25">
      <c r="A22518" s="2">
        <v>22513</v>
      </c>
      <c r="B22518" s="3" t="str">
        <f>"01059331"</f>
        <v>01059331</v>
      </c>
    </row>
    <row r="22519" spans="1:2" x14ac:dyDescent="0.25">
      <c r="A22519" s="2">
        <v>22514</v>
      </c>
      <c r="B22519" s="3" t="str">
        <f>"01059332"</f>
        <v>01059332</v>
      </c>
    </row>
    <row r="22520" spans="1:2" x14ac:dyDescent="0.25">
      <c r="A22520" s="2">
        <v>22515</v>
      </c>
      <c r="B22520" s="3" t="str">
        <f>"01059335"</f>
        <v>01059335</v>
      </c>
    </row>
    <row r="22521" spans="1:2" x14ac:dyDescent="0.25">
      <c r="A22521" s="2">
        <v>22516</v>
      </c>
      <c r="B22521" s="3" t="str">
        <f>"01059374"</f>
        <v>01059374</v>
      </c>
    </row>
    <row r="22522" spans="1:2" x14ac:dyDescent="0.25">
      <c r="A22522" s="2">
        <v>22517</v>
      </c>
      <c r="B22522" s="3" t="str">
        <f>"01059385"</f>
        <v>01059385</v>
      </c>
    </row>
    <row r="22523" spans="1:2" x14ac:dyDescent="0.25">
      <c r="A22523" s="2">
        <v>22518</v>
      </c>
      <c r="B22523" s="3" t="str">
        <f>"01059393"</f>
        <v>01059393</v>
      </c>
    </row>
    <row r="22524" spans="1:2" x14ac:dyDescent="0.25">
      <c r="A22524" s="2">
        <v>22519</v>
      </c>
      <c r="B22524" s="3" t="str">
        <f>"01059400"</f>
        <v>01059400</v>
      </c>
    </row>
    <row r="22525" spans="1:2" x14ac:dyDescent="0.25">
      <c r="A22525" s="2">
        <v>22520</v>
      </c>
      <c r="B22525" s="3" t="str">
        <f>"01059401"</f>
        <v>01059401</v>
      </c>
    </row>
    <row r="22526" spans="1:2" x14ac:dyDescent="0.25">
      <c r="A22526" s="2">
        <v>22521</v>
      </c>
      <c r="B22526" s="3" t="str">
        <f>"01059406"</f>
        <v>01059406</v>
      </c>
    </row>
    <row r="22527" spans="1:2" x14ac:dyDescent="0.25">
      <c r="A22527" s="2">
        <v>22522</v>
      </c>
      <c r="B22527" s="3" t="str">
        <f>"01059408"</f>
        <v>01059408</v>
      </c>
    </row>
    <row r="22528" spans="1:2" x14ac:dyDescent="0.25">
      <c r="A22528" s="2">
        <v>22523</v>
      </c>
      <c r="B22528" s="3" t="str">
        <f>"01059416"</f>
        <v>01059416</v>
      </c>
    </row>
    <row r="22529" spans="1:2" x14ac:dyDescent="0.25">
      <c r="A22529" s="2">
        <v>22524</v>
      </c>
      <c r="B22529" s="3" t="str">
        <f>"01059420"</f>
        <v>01059420</v>
      </c>
    </row>
    <row r="22530" spans="1:2" x14ac:dyDescent="0.25">
      <c r="A22530" s="2">
        <v>22525</v>
      </c>
      <c r="B22530" s="3" t="str">
        <f>"01059426"</f>
        <v>01059426</v>
      </c>
    </row>
    <row r="22531" spans="1:2" x14ac:dyDescent="0.25">
      <c r="A22531" s="2">
        <v>22526</v>
      </c>
      <c r="B22531" s="3" t="str">
        <f>"01059431"</f>
        <v>01059431</v>
      </c>
    </row>
    <row r="22532" spans="1:2" x14ac:dyDescent="0.25">
      <c r="A22532" s="2">
        <v>22527</v>
      </c>
      <c r="B22532" s="3" t="str">
        <f>"01059432"</f>
        <v>01059432</v>
      </c>
    </row>
    <row r="22533" spans="1:2" x14ac:dyDescent="0.25">
      <c r="A22533" s="2">
        <v>22528</v>
      </c>
      <c r="B22533" s="3" t="str">
        <f>"01059439"</f>
        <v>01059439</v>
      </c>
    </row>
    <row r="22534" spans="1:2" x14ac:dyDescent="0.25">
      <c r="A22534" s="2">
        <v>22529</v>
      </c>
      <c r="B22534" s="3" t="str">
        <f>"01059446"</f>
        <v>01059446</v>
      </c>
    </row>
    <row r="22535" spans="1:2" x14ac:dyDescent="0.25">
      <c r="A22535" s="2">
        <v>22530</v>
      </c>
      <c r="B22535" s="3" t="str">
        <f>"01059447"</f>
        <v>01059447</v>
      </c>
    </row>
    <row r="22536" spans="1:2" x14ac:dyDescent="0.25">
      <c r="A22536" s="2">
        <v>22531</v>
      </c>
      <c r="B22536" s="3" t="str">
        <f>"01059449"</f>
        <v>01059449</v>
      </c>
    </row>
    <row r="22537" spans="1:2" x14ac:dyDescent="0.25">
      <c r="A22537" s="2">
        <v>22532</v>
      </c>
      <c r="B22537" s="3" t="str">
        <f>"01059452"</f>
        <v>01059452</v>
      </c>
    </row>
    <row r="22538" spans="1:2" x14ac:dyDescent="0.25">
      <c r="A22538" s="2">
        <v>22533</v>
      </c>
      <c r="B22538" s="3" t="str">
        <f>"01059463"</f>
        <v>01059463</v>
      </c>
    </row>
    <row r="22539" spans="1:2" x14ac:dyDescent="0.25">
      <c r="A22539" s="2">
        <v>22534</v>
      </c>
      <c r="B22539" s="3" t="str">
        <f>"01059487"</f>
        <v>01059487</v>
      </c>
    </row>
    <row r="22540" spans="1:2" x14ac:dyDescent="0.25">
      <c r="A22540" s="2">
        <v>22535</v>
      </c>
      <c r="B22540" s="3" t="str">
        <f>"01059525"</f>
        <v>01059525</v>
      </c>
    </row>
    <row r="22541" spans="1:2" x14ac:dyDescent="0.25">
      <c r="A22541" s="2">
        <v>22536</v>
      </c>
      <c r="B22541" s="3" t="str">
        <f>"01059530"</f>
        <v>01059530</v>
      </c>
    </row>
    <row r="22542" spans="1:2" x14ac:dyDescent="0.25">
      <c r="A22542" s="2">
        <v>22537</v>
      </c>
      <c r="B22542" s="3" t="str">
        <f>"01059533"</f>
        <v>01059533</v>
      </c>
    </row>
    <row r="22543" spans="1:2" x14ac:dyDescent="0.25">
      <c r="A22543" s="2">
        <v>22538</v>
      </c>
      <c r="B22543" s="3" t="str">
        <f>"01059537"</f>
        <v>01059537</v>
      </c>
    </row>
    <row r="22544" spans="1:2" x14ac:dyDescent="0.25">
      <c r="A22544" s="2">
        <v>22539</v>
      </c>
      <c r="B22544" s="3" t="str">
        <f>"01059540"</f>
        <v>01059540</v>
      </c>
    </row>
    <row r="22545" spans="1:2" x14ac:dyDescent="0.25">
      <c r="A22545" s="2">
        <v>22540</v>
      </c>
      <c r="B22545" s="3" t="str">
        <f>"01059549"</f>
        <v>01059549</v>
      </c>
    </row>
    <row r="22546" spans="1:2" x14ac:dyDescent="0.25">
      <c r="A22546" s="2">
        <v>22541</v>
      </c>
      <c r="B22546" s="3" t="str">
        <f>"01059556"</f>
        <v>01059556</v>
      </c>
    </row>
    <row r="22547" spans="1:2" x14ac:dyDescent="0.25">
      <c r="A22547" s="2">
        <v>22542</v>
      </c>
      <c r="B22547" s="3" t="str">
        <f>"01059557"</f>
        <v>01059557</v>
      </c>
    </row>
    <row r="22548" spans="1:2" x14ac:dyDescent="0.25">
      <c r="A22548" s="2">
        <v>22543</v>
      </c>
      <c r="B22548" s="3" t="str">
        <f>"01059571"</f>
        <v>01059571</v>
      </c>
    </row>
    <row r="22549" spans="1:2" x14ac:dyDescent="0.25">
      <c r="A22549" s="2">
        <v>22544</v>
      </c>
      <c r="B22549" s="3" t="str">
        <f>"01059574"</f>
        <v>01059574</v>
      </c>
    </row>
    <row r="22550" spans="1:2" x14ac:dyDescent="0.25">
      <c r="A22550" s="2">
        <v>22545</v>
      </c>
      <c r="B22550" s="3" t="str">
        <f>"01059582"</f>
        <v>01059582</v>
      </c>
    </row>
    <row r="22551" spans="1:2" x14ac:dyDescent="0.25">
      <c r="A22551" s="2">
        <v>22546</v>
      </c>
      <c r="B22551" s="3" t="str">
        <f>"01059584"</f>
        <v>01059584</v>
      </c>
    </row>
    <row r="22552" spans="1:2" x14ac:dyDescent="0.25">
      <c r="A22552" s="2">
        <v>22547</v>
      </c>
      <c r="B22552" s="3" t="str">
        <f>"01059589"</f>
        <v>01059589</v>
      </c>
    </row>
    <row r="22553" spans="1:2" x14ac:dyDescent="0.25">
      <c r="A22553" s="2">
        <v>22548</v>
      </c>
      <c r="B22553" s="3" t="str">
        <f>"01059590"</f>
        <v>01059590</v>
      </c>
    </row>
    <row r="22554" spans="1:2" x14ac:dyDescent="0.25">
      <c r="A22554" s="2">
        <v>22549</v>
      </c>
      <c r="B22554" s="3" t="str">
        <f>"01059612"</f>
        <v>01059612</v>
      </c>
    </row>
    <row r="22555" spans="1:2" x14ac:dyDescent="0.25">
      <c r="A22555" s="2">
        <v>22550</v>
      </c>
      <c r="B22555" s="3" t="str">
        <f>"01059613"</f>
        <v>01059613</v>
      </c>
    </row>
    <row r="22556" spans="1:2" x14ac:dyDescent="0.25">
      <c r="A22556" s="2">
        <v>22551</v>
      </c>
      <c r="B22556" s="3" t="str">
        <f>"01059637"</f>
        <v>01059637</v>
      </c>
    </row>
    <row r="22557" spans="1:2" x14ac:dyDescent="0.25">
      <c r="A22557" s="2">
        <v>22552</v>
      </c>
      <c r="B22557" s="3" t="str">
        <f>"01059638"</f>
        <v>01059638</v>
      </c>
    </row>
    <row r="22558" spans="1:2" x14ac:dyDescent="0.25">
      <c r="A22558" s="2">
        <v>22553</v>
      </c>
      <c r="B22558" s="3" t="str">
        <f>"01059648"</f>
        <v>01059648</v>
      </c>
    </row>
    <row r="22559" spans="1:2" x14ac:dyDescent="0.25">
      <c r="A22559" s="2">
        <v>22554</v>
      </c>
      <c r="B22559" s="3" t="str">
        <f>"01059652"</f>
        <v>01059652</v>
      </c>
    </row>
    <row r="22560" spans="1:2" x14ac:dyDescent="0.25">
      <c r="A22560" s="2">
        <v>22555</v>
      </c>
      <c r="B22560" s="3" t="str">
        <f>"01059654"</f>
        <v>01059654</v>
      </c>
    </row>
    <row r="22561" spans="1:2" x14ac:dyDescent="0.25">
      <c r="A22561" s="2">
        <v>22556</v>
      </c>
      <c r="B22561" s="3" t="str">
        <f>"01059657"</f>
        <v>01059657</v>
      </c>
    </row>
    <row r="22562" spans="1:2" x14ac:dyDescent="0.25">
      <c r="A22562" s="2">
        <v>22557</v>
      </c>
      <c r="B22562" s="3" t="str">
        <f>"01059666"</f>
        <v>01059666</v>
      </c>
    </row>
    <row r="22563" spans="1:2" x14ac:dyDescent="0.25">
      <c r="A22563" s="2">
        <v>22558</v>
      </c>
      <c r="B22563" s="3" t="str">
        <f>"01059673"</f>
        <v>01059673</v>
      </c>
    </row>
    <row r="22564" spans="1:2" x14ac:dyDescent="0.25">
      <c r="A22564" s="2">
        <v>22559</v>
      </c>
      <c r="B22564" s="3" t="str">
        <f>"01059676"</f>
        <v>01059676</v>
      </c>
    </row>
    <row r="22565" spans="1:2" x14ac:dyDescent="0.25">
      <c r="A22565" s="2">
        <v>22560</v>
      </c>
      <c r="B22565" s="3" t="str">
        <f>"01059682"</f>
        <v>01059682</v>
      </c>
    </row>
    <row r="22566" spans="1:2" x14ac:dyDescent="0.25">
      <c r="A22566" s="2">
        <v>22561</v>
      </c>
      <c r="B22566" s="3" t="str">
        <f>"01059689"</f>
        <v>01059689</v>
      </c>
    </row>
    <row r="22567" spans="1:2" x14ac:dyDescent="0.25">
      <c r="A22567" s="2">
        <v>22562</v>
      </c>
      <c r="B22567" s="3" t="str">
        <f>"01059692"</f>
        <v>01059692</v>
      </c>
    </row>
    <row r="22568" spans="1:2" x14ac:dyDescent="0.25">
      <c r="A22568" s="2">
        <v>22563</v>
      </c>
      <c r="B22568" s="3" t="str">
        <f>"01059699"</f>
        <v>01059699</v>
      </c>
    </row>
    <row r="22569" spans="1:2" x14ac:dyDescent="0.25">
      <c r="A22569" s="2">
        <v>22564</v>
      </c>
      <c r="B22569" s="3" t="str">
        <f>"01059700"</f>
        <v>01059700</v>
      </c>
    </row>
    <row r="22570" spans="1:2" x14ac:dyDescent="0.25">
      <c r="A22570" s="2">
        <v>22565</v>
      </c>
      <c r="B22570" s="3" t="str">
        <f>"01059701"</f>
        <v>01059701</v>
      </c>
    </row>
    <row r="22571" spans="1:2" x14ac:dyDescent="0.25">
      <c r="A22571" s="2">
        <v>22566</v>
      </c>
      <c r="B22571" s="3" t="str">
        <f>"01059715"</f>
        <v>01059715</v>
      </c>
    </row>
    <row r="22572" spans="1:2" x14ac:dyDescent="0.25">
      <c r="A22572" s="2">
        <v>22567</v>
      </c>
      <c r="B22572" s="3" t="str">
        <f>"01059721"</f>
        <v>01059721</v>
      </c>
    </row>
    <row r="22573" spans="1:2" x14ac:dyDescent="0.25">
      <c r="A22573" s="2">
        <v>22568</v>
      </c>
      <c r="B22573" s="3" t="str">
        <f>"01059731"</f>
        <v>01059731</v>
      </c>
    </row>
    <row r="22574" spans="1:2" x14ac:dyDescent="0.25">
      <c r="A22574" s="2">
        <v>22569</v>
      </c>
      <c r="B22574" s="3" t="str">
        <f>"01059734"</f>
        <v>01059734</v>
      </c>
    </row>
    <row r="22575" spans="1:2" x14ac:dyDescent="0.25">
      <c r="A22575" s="2">
        <v>22570</v>
      </c>
      <c r="B22575" s="3" t="str">
        <f>"01059740"</f>
        <v>01059740</v>
      </c>
    </row>
    <row r="22576" spans="1:2" x14ac:dyDescent="0.25">
      <c r="A22576" s="2">
        <v>22571</v>
      </c>
      <c r="B22576" s="3" t="str">
        <f>"01059746"</f>
        <v>01059746</v>
      </c>
    </row>
    <row r="22577" spans="1:2" x14ac:dyDescent="0.25">
      <c r="A22577" s="2">
        <v>22572</v>
      </c>
      <c r="B22577" s="3" t="str">
        <f>"01059748"</f>
        <v>01059748</v>
      </c>
    </row>
    <row r="22578" spans="1:2" x14ac:dyDescent="0.25">
      <c r="A22578" s="2">
        <v>22573</v>
      </c>
      <c r="B22578" s="3" t="str">
        <f>"01059772"</f>
        <v>01059772</v>
      </c>
    </row>
    <row r="22579" spans="1:2" x14ac:dyDescent="0.25">
      <c r="A22579" s="2">
        <v>22574</v>
      </c>
      <c r="B22579" s="3" t="str">
        <f>"01059785"</f>
        <v>01059785</v>
      </c>
    </row>
    <row r="22580" spans="1:2" x14ac:dyDescent="0.25">
      <c r="A22580" s="2">
        <v>22575</v>
      </c>
      <c r="B22580" s="3" t="str">
        <f>"01059786"</f>
        <v>01059786</v>
      </c>
    </row>
    <row r="22581" spans="1:2" x14ac:dyDescent="0.25">
      <c r="A22581" s="2">
        <v>22576</v>
      </c>
      <c r="B22581" s="3" t="str">
        <f>"01059788"</f>
        <v>01059788</v>
      </c>
    </row>
    <row r="22582" spans="1:2" x14ac:dyDescent="0.25">
      <c r="A22582" s="2">
        <v>22577</v>
      </c>
      <c r="B22582" s="3" t="str">
        <f>"01059791"</f>
        <v>01059791</v>
      </c>
    </row>
    <row r="22583" spans="1:2" x14ac:dyDescent="0.25">
      <c r="A22583" s="2">
        <v>22578</v>
      </c>
      <c r="B22583" s="3" t="str">
        <f>"01059802"</f>
        <v>01059802</v>
      </c>
    </row>
    <row r="22584" spans="1:2" x14ac:dyDescent="0.25">
      <c r="A22584" s="2">
        <v>22579</v>
      </c>
      <c r="B22584" s="3" t="str">
        <f>"01059810"</f>
        <v>01059810</v>
      </c>
    </row>
    <row r="22585" spans="1:2" x14ac:dyDescent="0.25">
      <c r="A22585" s="2">
        <v>22580</v>
      </c>
      <c r="B22585" s="3" t="str">
        <f>"01059812"</f>
        <v>01059812</v>
      </c>
    </row>
    <row r="22586" spans="1:2" x14ac:dyDescent="0.25">
      <c r="A22586" s="2">
        <v>22581</v>
      </c>
      <c r="B22586" s="3" t="str">
        <f>"01059823"</f>
        <v>01059823</v>
      </c>
    </row>
    <row r="22587" spans="1:2" x14ac:dyDescent="0.25">
      <c r="A22587" s="2">
        <v>22582</v>
      </c>
      <c r="B22587" s="3" t="str">
        <f>"01059824"</f>
        <v>01059824</v>
      </c>
    </row>
    <row r="22588" spans="1:2" x14ac:dyDescent="0.25">
      <c r="A22588" s="2">
        <v>22583</v>
      </c>
      <c r="B22588" s="3" t="str">
        <f>"01059867"</f>
        <v>01059867</v>
      </c>
    </row>
    <row r="22589" spans="1:2" x14ac:dyDescent="0.25">
      <c r="A22589" s="2">
        <v>22584</v>
      </c>
      <c r="B22589" s="3" t="str">
        <f>"01059874"</f>
        <v>01059874</v>
      </c>
    </row>
    <row r="22590" spans="1:2" x14ac:dyDescent="0.25">
      <c r="A22590" s="2">
        <v>22585</v>
      </c>
      <c r="B22590" s="3" t="str">
        <f>"01059875"</f>
        <v>01059875</v>
      </c>
    </row>
    <row r="22591" spans="1:2" x14ac:dyDescent="0.25">
      <c r="A22591" s="2">
        <v>22586</v>
      </c>
      <c r="B22591" s="3" t="str">
        <f>"01059909"</f>
        <v>01059909</v>
      </c>
    </row>
    <row r="22592" spans="1:2" x14ac:dyDescent="0.25">
      <c r="A22592" s="2">
        <v>22587</v>
      </c>
      <c r="B22592" s="3" t="str">
        <f>"01059913"</f>
        <v>01059913</v>
      </c>
    </row>
    <row r="22593" spans="1:2" x14ac:dyDescent="0.25">
      <c r="A22593" s="2">
        <v>22588</v>
      </c>
      <c r="B22593" s="3" t="str">
        <f>"01059915"</f>
        <v>01059915</v>
      </c>
    </row>
    <row r="22594" spans="1:2" x14ac:dyDescent="0.25">
      <c r="A22594" s="2">
        <v>22589</v>
      </c>
      <c r="B22594" s="3" t="str">
        <f>"01059921"</f>
        <v>01059921</v>
      </c>
    </row>
    <row r="22595" spans="1:2" x14ac:dyDescent="0.25">
      <c r="A22595" s="2">
        <v>22590</v>
      </c>
      <c r="B22595" s="3" t="str">
        <f>"01059922"</f>
        <v>01059922</v>
      </c>
    </row>
    <row r="22596" spans="1:2" x14ac:dyDescent="0.25">
      <c r="A22596" s="2">
        <v>22591</v>
      </c>
      <c r="B22596" s="3" t="str">
        <f>"01059927"</f>
        <v>01059927</v>
      </c>
    </row>
    <row r="22597" spans="1:2" x14ac:dyDescent="0.25">
      <c r="A22597" s="2">
        <v>22592</v>
      </c>
      <c r="B22597" s="3" t="str">
        <f>"01059946"</f>
        <v>01059946</v>
      </c>
    </row>
    <row r="22598" spans="1:2" x14ac:dyDescent="0.25">
      <c r="A22598" s="2">
        <v>22593</v>
      </c>
      <c r="B22598" s="3" t="str">
        <f>"01059947"</f>
        <v>01059947</v>
      </c>
    </row>
    <row r="22599" spans="1:2" x14ac:dyDescent="0.25">
      <c r="A22599" s="2">
        <v>22594</v>
      </c>
      <c r="B22599" s="3" t="str">
        <f>"01059951"</f>
        <v>01059951</v>
      </c>
    </row>
    <row r="22600" spans="1:2" x14ac:dyDescent="0.25">
      <c r="A22600" s="2">
        <v>22595</v>
      </c>
      <c r="B22600" s="3" t="str">
        <f>"01059962"</f>
        <v>01059962</v>
      </c>
    </row>
    <row r="22601" spans="1:2" x14ac:dyDescent="0.25">
      <c r="A22601" s="2">
        <v>22596</v>
      </c>
      <c r="B22601" s="3" t="str">
        <f>"01059963"</f>
        <v>01059963</v>
      </c>
    </row>
    <row r="22602" spans="1:2" x14ac:dyDescent="0.25">
      <c r="A22602" s="2">
        <v>22597</v>
      </c>
      <c r="B22602" s="3" t="str">
        <f>"01059965"</f>
        <v>01059965</v>
      </c>
    </row>
    <row r="22603" spans="1:2" x14ac:dyDescent="0.25">
      <c r="A22603" s="2">
        <v>22598</v>
      </c>
      <c r="B22603" s="3" t="str">
        <f>"01059970"</f>
        <v>01059970</v>
      </c>
    </row>
    <row r="22604" spans="1:2" x14ac:dyDescent="0.25">
      <c r="A22604" s="2">
        <v>22599</v>
      </c>
      <c r="B22604" s="3" t="str">
        <f>"01059979"</f>
        <v>01059979</v>
      </c>
    </row>
    <row r="22605" spans="1:2" x14ac:dyDescent="0.25">
      <c r="A22605" s="2">
        <v>22600</v>
      </c>
      <c r="B22605" s="3" t="str">
        <f>"01059982"</f>
        <v>01059982</v>
      </c>
    </row>
    <row r="22606" spans="1:2" x14ac:dyDescent="0.25">
      <c r="A22606" s="2">
        <v>22601</v>
      </c>
      <c r="B22606" s="3" t="str">
        <f>"01059991"</f>
        <v>01059991</v>
      </c>
    </row>
    <row r="22607" spans="1:2" x14ac:dyDescent="0.25">
      <c r="A22607" s="2">
        <v>22602</v>
      </c>
      <c r="B22607" s="3" t="str">
        <f>"01059993"</f>
        <v>01059993</v>
      </c>
    </row>
    <row r="22608" spans="1:2" x14ac:dyDescent="0.25">
      <c r="A22608" s="2">
        <v>22603</v>
      </c>
      <c r="B22608" s="3" t="str">
        <f>"01059994"</f>
        <v>01059994</v>
      </c>
    </row>
    <row r="22609" spans="1:2" x14ac:dyDescent="0.25">
      <c r="A22609" s="2">
        <v>22604</v>
      </c>
      <c r="B22609" s="3" t="str">
        <f>"01060003"</f>
        <v>01060003</v>
      </c>
    </row>
    <row r="22610" spans="1:2" x14ac:dyDescent="0.25">
      <c r="A22610" s="2">
        <v>22605</v>
      </c>
      <c r="B22610" s="3" t="str">
        <f>"01060007"</f>
        <v>01060007</v>
      </c>
    </row>
    <row r="22611" spans="1:2" x14ac:dyDescent="0.25">
      <c r="A22611" s="2">
        <v>22606</v>
      </c>
      <c r="B22611" s="3" t="str">
        <f>"01060023"</f>
        <v>01060023</v>
      </c>
    </row>
    <row r="22612" spans="1:2" x14ac:dyDescent="0.25">
      <c r="A22612" s="2">
        <v>22607</v>
      </c>
      <c r="B22612" s="3" t="str">
        <f>"01060032"</f>
        <v>01060032</v>
      </c>
    </row>
    <row r="22613" spans="1:2" x14ac:dyDescent="0.25">
      <c r="A22613" s="2">
        <v>22608</v>
      </c>
      <c r="B22613" s="3" t="str">
        <f>"01060046"</f>
        <v>01060046</v>
      </c>
    </row>
    <row r="22614" spans="1:2" x14ac:dyDescent="0.25">
      <c r="A22614" s="2">
        <v>22609</v>
      </c>
      <c r="B22614" s="3" t="str">
        <f>"01060051"</f>
        <v>01060051</v>
      </c>
    </row>
    <row r="22615" spans="1:2" x14ac:dyDescent="0.25">
      <c r="A22615" s="2">
        <v>22610</v>
      </c>
      <c r="B22615" s="3" t="str">
        <f>"01060059"</f>
        <v>01060059</v>
      </c>
    </row>
    <row r="22616" spans="1:2" x14ac:dyDescent="0.25">
      <c r="A22616" s="2">
        <v>22611</v>
      </c>
      <c r="B22616" s="3" t="str">
        <f>"01060062"</f>
        <v>01060062</v>
      </c>
    </row>
    <row r="22617" spans="1:2" x14ac:dyDescent="0.25">
      <c r="A22617" s="2">
        <v>22612</v>
      </c>
      <c r="B22617" s="3" t="str">
        <f>"01060078"</f>
        <v>01060078</v>
      </c>
    </row>
    <row r="22618" spans="1:2" x14ac:dyDescent="0.25">
      <c r="A22618" s="2">
        <v>22613</v>
      </c>
      <c r="B22618" s="3" t="str">
        <f>"01060080"</f>
        <v>01060080</v>
      </c>
    </row>
    <row r="22619" spans="1:2" x14ac:dyDescent="0.25">
      <c r="A22619" s="2">
        <v>22614</v>
      </c>
      <c r="B22619" s="3" t="str">
        <f>"01060087"</f>
        <v>01060087</v>
      </c>
    </row>
    <row r="22620" spans="1:2" x14ac:dyDescent="0.25">
      <c r="A22620" s="2">
        <v>22615</v>
      </c>
      <c r="B22620" s="3" t="str">
        <f>"01060090"</f>
        <v>01060090</v>
      </c>
    </row>
    <row r="22621" spans="1:2" x14ac:dyDescent="0.25">
      <c r="A22621" s="2">
        <v>22616</v>
      </c>
      <c r="B22621" s="3" t="str">
        <f>"01060100"</f>
        <v>01060100</v>
      </c>
    </row>
    <row r="22622" spans="1:2" x14ac:dyDescent="0.25">
      <c r="A22622" s="2">
        <v>22617</v>
      </c>
      <c r="B22622" s="3" t="str">
        <f>"01060109"</f>
        <v>01060109</v>
      </c>
    </row>
    <row r="22623" spans="1:2" x14ac:dyDescent="0.25">
      <c r="A22623" s="2">
        <v>22618</v>
      </c>
      <c r="B22623" s="3" t="str">
        <f>"01060115"</f>
        <v>01060115</v>
      </c>
    </row>
    <row r="22624" spans="1:2" x14ac:dyDescent="0.25">
      <c r="A22624" s="2">
        <v>22619</v>
      </c>
      <c r="B22624" s="3" t="str">
        <f>"01060125"</f>
        <v>01060125</v>
      </c>
    </row>
    <row r="22625" spans="1:2" x14ac:dyDescent="0.25">
      <c r="A22625" s="2">
        <v>22620</v>
      </c>
      <c r="B22625" s="3" t="str">
        <f>"01060137"</f>
        <v>01060137</v>
      </c>
    </row>
    <row r="22626" spans="1:2" x14ac:dyDescent="0.25">
      <c r="A22626" s="2">
        <v>22621</v>
      </c>
      <c r="B22626" s="3" t="str">
        <f>"01060165"</f>
        <v>01060165</v>
      </c>
    </row>
    <row r="22627" spans="1:2" x14ac:dyDescent="0.25">
      <c r="A22627" s="2">
        <v>22622</v>
      </c>
      <c r="B22627" s="3" t="str">
        <f>"01060177"</f>
        <v>01060177</v>
      </c>
    </row>
    <row r="22628" spans="1:2" x14ac:dyDescent="0.25">
      <c r="A22628" s="2">
        <v>22623</v>
      </c>
      <c r="B22628" s="3" t="str">
        <f>"01060188"</f>
        <v>01060188</v>
      </c>
    </row>
    <row r="22629" spans="1:2" x14ac:dyDescent="0.25">
      <c r="A22629" s="2">
        <v>22624</v>
      </c>
      <c r="B22629" s="3" t="str">
        <f>"01060221"</f>
        <v>01060221</v>
      </c>
    </row>
    <row r="22630" spans="1:2" x14ac:dyDescent="0.25">
      <c r="A22630" s="2">
        <v>22625</v>
      </c>
      <c r="B22630" s="3" t="str">
        <f>"01060235"</f>
        <v>01060235</v>
      </c>
    </row>
    <row r="22631" spans="1:2" x14ac:dyDescent="0.25">
      <c r="A22631" s="2">
        <v>22626</v>
      </c>
      <c r="B22631" s="3" t="str">
        <f>"01060237"</f>
        <v>01060237</v>
      </c>
    </row>
    <row r="22632" spans="1:2" x14ac:dyDescent="0.25">
      <c r="A22632" s="2">
        <v>22627</v>
      </c>
      <c r="B22632" s="3" t="str">
        <f>"01060246"</f>
        <v>01060246</v>
      </c>
    </row>
    <row r="22633" spans="1:2" x14ac:dyDescent="0.25">
      <c r="A22633" s="2">
        <v>22628</v>
      </c>
      <c r="B22633" s="3" t="str">
        <f>"01060250"</f>
        <v>01060250</v>
      </c>
    </row>
    <row r="22634" spans="1:2" x14ac:dyDescent="0.25">
      <c r="A22634" s="2">
        <v>22629</v>
      </c>
      <c r="B22634" s="3" t="str">
        <f>"01060254"</f>
        <v>01060254</v>
      </c>
    </row>
    <row r="22635" spans="1:2" x14ac:dyDescent="0.25">
      <c r="A22635" s="2">
        <v>22630</v>
      </c>
      <c r="B22635" s="3" t="str">
        <f>"01060261"</f>
        <v>01060261</v>
      </c>
    </row>
    <row r="22636" spans="1:2" x14ac:dyDescent="0.25">
      <c r="A22636" s="2">
        <v>22631</v>
      </c>
      <c r="B22636" s="3" t="str">
        <f>"01060264"</f>
        <v>01060264</v>
      </c>
    </row>
    <row r="22637" spans="1:2" x14ac:dyDescent="0.25">
      <c r="A22637" s="2">
        <v>22632</v>
      </c>
      <c r="B22637" s="3" t="str">
        <f>"01060265"</f>
        <v>01060265</v>
      </c>
    </row>
    <row r="22638" spans="1:2" x14ac:dyDescent="0.25">
      <c r="A22638" s="2">
        <v>22633</v>
      </c>
      <c r="B22638" s="3" t="str">
        <f>"01060266"</f>
        <v>01060266</v>
      </c>
    </row>
    <row r="22639" spans="1:2" x14ac:dyDescent="0.25">
      <c r="A22639" s="2">
        <v>22634</v>
      </c>
      <c r="B22639" s="3" t="str">
        <f>"01060271"</f>
        <v>01060271</v>
      </c>
    </row>
    <row r="22640" spans="1:2" x14ac:dyDescent="0.25">
      <c r="A22640" s="2">
        <v>22635</v>
      </c>
      <c r="B22640" s="3" t="str">
        <f>"01060276"</f>
        <v>01060276</v>
      </c>
    </row>
    <row r="22641" spans="1:2" x14ac:dyDescent="0.25">
      <c r="A22641" s="2">
        <v>22636</v>
      </c>
      <c r="B22641" s="3" t="str">
        <f>"01060280"</f>
        <v>01060280</v>
      </c>
    </row>
    <row r="22642" spans="1:2" x14ac:dyDescent="0.25">
      <c r="A22642" s="2">
        <v>22637</v>
      </c>
      <c r="B22642" s="3" t="str">
        <f>"01060282"</f>
        <v>01060282</v>
      </c>
    </row>
    <row r="22643" spans="1:2" x14ac:dyDescent="0.25">
      <c r="A22643" s="2">
        <v>22638</v>
      </c>
      <c r="B22643" s="3" t="str">
        <f>"01060283"</f>
        <v>01060283</v>
      </c>
    </row>
    <row r="22644" spans="1:2" x14ac:dyDescent="0.25">
      <c r="A22644" s="2">
        <v>22639</v>
      </c>
      <c r="B22644" s="3" t="str">
        <f>"01060290"</f>
        <v>01060290</v>
      </c>
    </row>
    <row r="22645" spans="1:2" x14ac:dyDescent="0.25">
      <c r="A22645" s="2">
        <v>22640</v>
      </c>
      <c r="B22645" s="3" t="str">
        <f>"01060301"</f>
        <v>01060301</v>
      </c>
    </row>
    <row r="22646" spans="1:2" x14ac:dyDescent="0.25">
      <c r="A22646" s="2">
        <v>22641</v>
      </c>
      <c r="B22646" s="3" t="str">
        <f>"01060306"</f>
        <v>01060306</v>
      </c>
    </row>
    <row r="22647" spans="1:2" x14ac:dyDescent="0.25">
      <c r="A22647" s="2">
        <v>22642</v>
      </c>
      <c r="B22647" s="3" t="str">
        <f>"01060308"</f>
        <v>01060308</v>
      </c>
    </row>
    <row r="22648" spans="1:2" x14ac:dyDescent="0.25">
      <c r="A22648" s="2">
        <v>22643</v>
      </c>
      <c r="B22648" s="3" t="str">
        <f>"01060311"</f>
        <v>01060311</v>
      </c>
    </row>
    <row r="22649" spans="1:2" x14ac:dyDescent="0.25">
      <c r="A22649" s="2">
        <v>22644</v>
      </c>
      <c r="B22649" s="3" t="str">
        <f>"01060320"</f>
        <v>01060320</v>
      </c>
    </row>
    <row r="22650" spans="1:2" x14ac:dyDescent="0.25">
      <c r="A22650" s="2">
        <v>22645</v>
      </c>
      <c r="B22650" s="3" t="str">
        <f>"01060323"</f>
        <v>01060323</v>
      </c>
    </row>
    <row r="22651" spans="1:2" x14ac:dyDescent="0.25">
      <c r="A22651" s="2">
        <v>22646</v>
      </c>
      <c r="B22651" s="3" t="str">
        <f>"01060324"</f>
        <v>01060324</v>
      </c>
    </row>
    <row r="22652" spans="1:2" x14ac:dyDescent="0.25">
      <c r="A22652" s="2">
        <v>22647</v>
      </c>
      <c r="B22652" s="3" t="str">
        <f>"01060336"</f>
        <v>01060336</v>
      </c>
    </row>
    <row r="22653" spans="1:2" x14ac:dyDescent="0.25">
      <c r="A22653" s="2">
        <v>22648</v>
      </c>
      <c r="B22653" s="3" t="str">
        <f>"01060343"</f>
        <v>01060343</v>
      </c>
    </row>
    <row r="22654" spans="1:2" x14ac:dyDescent="0.25">
      <c r="A22654" s="2">
        <v>22649</v>
      </c>
      <c r="B22654" s="3" t="str">
        <f>"01060352"</f>
        <v>01060352</v>
      </c>
    </row>
    <row r="22655" spans="1:2" x14ac:dyDescent="0.25">
      <c r="A22655" s="2">
        <v>22650</v>
      </c>
      <c r="B22655" s="3" t="str">
        <f>"01060368"</f>
        <v>01060368</v>
      </c>
    </row>
    <row r="22656" spans="1:2" x14ac:dyDescent="0.25">
      <c r="A22656" s="2">
        <v>22651</v>
      </c>
      <c r="B22656" s="3" t="str">
        <f>"01060369"</f>
        <v>01060369</v>
      </c>
    </row>
    <row r="22657" spans="1:2" x14ac:dyDescent="0.25">
      <c r="A22657" s="2">
        <v>22652</v>
      </c>
      <c r="B22657" s="3" t="str">
        <f>"01060375"</f>
        <v>01060375</v>
      </c>
    </row>
    <row r="22658" spans="1:2" x14ac:dyDescent="0.25">
      <c r="A22658" s="2">
        <v>22653</v>
      </c>
      <c r="B22658" s="3" t="str">
        <f>"01060376"</f>
        <v>01060376</v>
      </c>
    </row>
    <row r="22659" spans="1:2" x14ac:dyDescent="0.25">
      <c r="A22659" s="2">
        <v>22654</v>
      </c>
      <c r="B22659" s="3" t="str">
        <f>"01060382"</f>
        <v>01060382</v>
      </c>
    </row>
    <row r="22660" spans="1:2" x14ac:dyDescent="0.25">
      <c r="A22660" s="2">
        <v>22655</v>
      </c>
      <c r="B22660" s="3" t="str">
        <f>"01060390"</f>
        <v>01060390</v>
      </c>
    </row>
    <row r="22661" spans="1:2" x14ac:dyDescent="0.25">
      <c r="A22661" s="2">
        <v>22656</v>
      </c>
      <c r="B22661" s="3" t="str">
        <f>"01060391"</f>
        <v>01060391</v>
      </c>
    </row>
    <row r="22662" spans="1:2" x14ac:dyDescent="0.25">
      <c r="A22662" s="2">
        <v>22657</v>
      </c>
      <c r="B22662" s="3" t="str">
        <f>"01060393"</f>
        <v>01060393</v>
      </c>
    </row>
    <row r="22663" spans="1:2" x14ac:dyDescent="0.25">
      <c r="A22663" s="2">
        <v>22658</v>
      </c>
      <c r="B22663" s="3" t="str">
        <f>"01060407"</f>
        <v>01060407</v>
      </c>
    </row>
    <row r="22664" spans="1:2" x14ac:dyDescent="0.25">
      <c r="A22664" s="2">
        <v>22659</v>
      </c>
      <c r="B22664" s="3" t="str">
        <f>"01060408"</f>
        <v>01060408</v>
      </c>
    </row>
    <row r="22665" spans="1:2" x14ac:dyDescent="0.25">
      <c r="A22665" s="2">
        <v>22660</v>
      </c>
      <c r="B22665" s="3" t="str">
        <f>"01060411"</f>
        <v>01060411</v>
      </c>
    </row>
    <row r="22666" spans="1:2" x14ac:dyDescent="0.25">
      <c r="A22666" s="2">
        <v>22661</v>
      </c>
      <c r="B22666" s="3" t="str">
        <f>"01060417"</f>
        <v>01060417</v>
      </c>
    </row>
    <row r="22667" spans="1:2" x14ac:dyDescent="0.25">
      <c r="A22667" s="2">
        <v>22662</v>
      </c>
      <c r="B22667" s="3" t="str">
        <f>"01060424"</f>
        <v>01060424</v>
      </c>
    </row>
    <row r="22668" spans="1:2" x14ac:dyDescent="0.25">
      <c r="A22668" s="2">
        <v>22663</v>
      </c>
      <c r="B22668" s="3" t="str">
        <f>"01060432"</f>
        <v>01060432</v>
      </c>
    </row>
    <row r="22669" spans="1:2" x14ac:dyDescent="0.25">
      <c r="A22669" s="2">
        <v>22664</v>
      </c>
      <c r="B22669" s="3" t="str">
        <f>"01060438"</f>
        <v>01060438</v>
      </c>
    </row>
    <row r="22670" spans="1:2" x14ac:dyDescent="0.25">
      <c r="A22670" s="2">
        <v>22665</v>
      </c>
      <c r="B22670" s="3" t="str">
        <f>"01060442"</f>
        <v>01060442</v>
      </c>
    </row>
    <row r="22671" spans="1:2" x14ac:dyDescent="0.25">
      <c r="A22671" s="2">
        <v>22666</v>
      </c>
      <c r="B22671" s="3" t="str">
        <f>"01060450"</f>
        <v>01060450</v>
      </c>
    </row>
    <row r="22672" spans="1:2" x14ac:dyDescent="0.25">
      <c r="A22672" s="2">
        <v>22667</v>
      </c>
      <c r="B22672" s="3" t="str">
        <f>"01060452"</f>
        <v>01060452</v>
      </c>
    </row>
    <row r="22673" spans="1:2" x14ac:dyDescent="0.25">
      <c r="A22673" s="2">
        <v>22668</v>
      </c>
      <c r="B22673" s="3" t="str">
        <f>"01060460"</f>
        <v>01060460</v>
      </c>
    </row>
    <row r="22674" spans="1:2" x14ac:dyDescent="0.25">
      <c r="A22674" s="2">
        <v>22669</v>
      </c>
      <c r="B22674" s="3" t="str">
        <f>"01060475"</f>
        <v>01060475</v>
      </c>
    </row>
    <row r="22675" spans="1:2" x14ac:dyDescent="0.25">
      <c r="A22675" s="2">
        <v>22670</v>
      </c>
      <c r="B22675" s="3" t="str">
        <f>"01060477"</f>
        <v>01060477</v>
      </c>
    </row>
    <row r="22676" spans="1:2" x14ac:dyDescent="0.25">
      <c r="A22676" s="2">
        <v>22671</v>
      </c>
      <c r="B22676" s="3" t="str">
        <f>"01060481"</f>
        <v>01060481</v>
      </c>
    </row>
    <row r="22677" spans="1:2" x14ac:dyDescent="0.25">
      <c r="A22677" s="2">
        <v>22672</v>
      </c>
      <c r="B22677" s="3" t="str">
        <f>"01060482"</f>
        <v>01060482</v>
      </c>
    </row>
    <row r="22678" spans="1:2" x14ac:dyDescent="0.25">
      <c r="A22678" s="2">
        <v>22673</v>
      </c>
      <c r="B22678" s="3" t="str">
        <f>"01060489"</f>
        <v>01060489</v>
      </c>
    </row>
    <row r="22679" spans="1:2" x14ac:dyDescent="0.25">
      <c r="A22679" s="2">
        <v>22674</v>
      </c>
      <c r="B22679" s="3" t="str">
        <f>"01060492"</f>
        <v>01060492</v>
      </c>
    </row>
    <row r="22680" spans="1:2" x14ac:dyDescent="0.25">
      <c r="A22680" s="2">
        <v>22675</v>
      </c>
      <c r="B22680" s="3" t="str">
        <f>"01060493"</f>
        <v>01060493</v>
      </c>
    </row>
    <row r="22681" spans="1:2" x14ac:dyDescent="0.25">
      <c r="A22681" s="2">
        <v>22676</v>
      </c>
      <c r="B22681" s="3" t="str">
        <f>"01060521"</f>
        <v>01060521</v>
      </c>
    </row>
    <row r="22682" spans="1:2" x14ac:dyDescent="0.25">
      <c r="A22682" s="2">
        <v>22677</v>
      </c>
      <c r="B22682" s="3" t="str">
        <f>"01060533"</f>
        <v>01060533</v>
      </c>
    </row>
    <row r="22683" spans="1:2" x14ac:dyDescent="0.25">
      <c r="A22683" s="2">
        <v>22678</v>
      </c>
      <c r="B22683" s="3" t="str">
        <f>"01060543"</f>
        <v>01060543</v>
      </c>
    </row>
    <row r="22684" spans="1:2" x14ac:dyDescent="0.25">
      <c r="A22684" s="2">
        <v>22679</v>
      </c>
      <c r="B22684" s="3" t="str">
        <f>"01060570"</f>
        <v>01060570</v>
      </c>
    </row>
    <row r="22685" spans="1:2" x14ac:dyDescent="0.25">
      <c r="A22685" s="2">
        <v>22680</v>
      </c>
      <c r="B22685" s="3" t="str">
        <f>"01060578"</f>
        <v>01060578</v>
      </c>
    </row>
    <row r="22686" spans="1:2" x14ac:dyDescent="0.25">
      <c r="A22686" s="2">
        <v>22681</v>
      </c>
      <c r="B22686" s="3" t="str">
        <f>"01060589"</f>
        <v>01060589</v>
      </c>
    </row>
    <row r="22687" spans="1:2" x14ac:dyDescent="0.25">
      <c r="A22687" s="2">
        <v>22682</v>
      </c>
      <c r="B22687" s="3" t="str">
        <f>"01060595"</f>
        <v>01060595</v>
      </c>
    </row>
    <row r="22688" spans="1:2" x14ac:dyDescent="0.25">
      <c r="A22688" s="2">
        <v>22683</v>
      </c>
      <c r="B22688" s="3" t="str">
        <f>"01060596"</f>
        <v>01060596</v>
      </c>
    </row>
    <row r="22689" spans="1:2" x14ac:dyDescent="0.25">
      <c r="A22689" s="2">
        <v>22684</v>
      </c>
      <c r="B22689" s="3" t="str">
        <f>"01060600"</f>
        <v>01060600</v>
      </c>
    </row>
    <row r="22690" spans="1:2" x14ac:dyDescent="0.25">
      <c r="A22690" s="2">
        <v>22685</v>
      </c>
      <c r="B22690" s="3" t="str">
        <f>"01060633"</f>
        <v>01060633</v>
      </c>
    </row>
    <row r="22691" spans="1:2" x14ac:dyDescent="0.25">
      <c r="A22691" s="2">
        <v>22686</v>
      </c>
      <c r="B22691" s="3" t="str">
        <f>"01060635"</f>
        <v>01060635</v>
      </c>
    </row>
    <row r="22692" spans="1:2" x14ac:dyDescent="0.25">
      <c r="A22692" s="2">
        <v>22687</v>
      </c>
      <c r="B22692" s="3" t="str">
        <f>"01060642"</f>
        <v>01060642</v>
      </c>
    </row>
    <row r="22693" spans="1:2" x14ac:dyDescent="0.25">
      <c r="A22693" s="2">
        <v>22688</v>
      </c>
      <c r="B22693" s="3" t="str">
        <f>"01060644"</f>
        <v>01060644</v>
      </c>
    </row>
    <row r="22694" spans="1:2" x14ac:dyDescent="0.25">
      <c r="A22694" s="2">
        <v>22689</v>
      </c>
      <c r="B22694" s="3" t="str">
        <f>"01060648"</f>
        <v>01060648</v>
      </c>
    </row>
    <row r="22695" spans="1:2" x14ac:dyDescent="0.25">
      <c r="A22695" s="2">
        <v>22690</v>
      </c>
      <c r="B22695" s="3" t="str">
        <f>"01060659"</f>
        <v>01060659</v>
      </c>
    </row>
    <row r="22696" spans="1:2" x14ac:dyDescent="0.25">
      <c r="A22696" s="2">
        <v>22691</v>
      </c>
      <c r="B22696" s="3" t="str">
        <f>"01060672"</f>
        <v>01060672</v>
      </c>
    </row>
    <row r="22697" spans="1:2" x14ac:dyDescent="0.25">
      <c r="A22697" s="2">
        <v>22692</v>
      </c>
      <c r="B22697" s="3" t="str">
        <f>"01060675"</f>
        <v>01060675</v>
      </c>
    </row>
    <row r="22698" spans="1:2" x14ac:dyDescent="0.25">
      <c r="A22698" s="2">
        <v>22693</v>
      </c>
      <c r="B22698" s="3" t="str">
        <f>"01060677"</f>
        <v>01060677</v>
      </c>
    </row>
    <row r="22699" spans="1:2" x14ac:dyDescent="0.25">
      <c r="A22699" s="2">
        <v>22694</v>
      </c>
      <c r="B22699" s="3" t="str">
        <f>"01060684"</f>
        <v>01060684</v>
      </c>
    </row>
    <row r="22700" spans="1:2" x14ac:dyDescent="0.25">
      <c r="A22700" s="2">
        <v>22695</v>
      </c>
      <c r="B22700" s="3" t="str">
        <f>"01060712"</f>
        <v>01060712</v>
      </c>
    </row>
    <row r="22701" spans="1:2" x14ac:dyDescent="0.25">
      <c r="A22701" s="2">
        <v>22696</v>
      </c>
      <c r="B22701" s="3" t="str">
        <f>"01060740"</f>
        <v>01060740</v>
      </c>
    </row>
    <row r="22702" spans="1:2" x14ac:dyDescent="0.25">
      <c r="A22702" s="2">
        <v>22697</v>
      </c>
      <c r="B22702" s="3" t="str">
        <f>"01060745"</f>
        <v>01060745</v>
      </c>
    </row>
    <row r="22703" spans="1:2" x14ac:dyDescent="0.25">
      <c r="A22703" s="2">
        <v>22698</v>
      </c>
      <c r="B22703" s="3" t="str">
        <f>"01060746"</f>
        <v>01060746</v>
      </c>
    </row>
    <row r="22704" spans="1:2" x14ac:dyDescent="0.25">
      <c r="A22704" s="2">
        <v>22699</v>
      </c>
      <c r="B22704" s="3" t="str">
        <f>"01060763"</f>
        <v>01060763</v>
      </c>
    </row>
    <row r="22705" spans="1:2" x14ac:dyDescent="0.25">
      <c r="A22705" s="2">
        <v>22700</v>
      </c>
      <c r="B22705" s="3" t="str">
        <f>"01060768"</f>
        <v>01060768</v>
      </c>
    </row>
    <row r="22706" spans="1:2" x14ac:dyDescent="0.25">
      <c r="A22706" s="2">
        <v>22701</v>
      </c>
      <c r="B22706" s="3" t="str">
        <f>"01060771"</f>
        <v>01060771</v>
      </c>
    </row>
    <row r="22707" spans="1:2" x14ac:dyDescent="0.25">
      <c r="A22707" s="2">
        <v>22702</v>
      </c>
      <c r="B22707" s="3" t="str">
        <f>"01060776"</f>
        <v>01060776</v>
      </c>
    </row>
    <row r="22708" spans="1:2" x14ac:dyDescent="0.25">
      <c r="A22708" s="2">
        <v>22703</v>
      </c>
      <c r="B22708" s="3" t="str">
        <f>"01060784"</f>
        <v>01060784</v>
      </c>
    </row>
    <row r="22709" spans="1:2" x14ac:dyDescent="0.25">
      <c r="A22709" s="2">
        <v>22704</v>
      </c>
      <c r="B22709" s="3" t="str">
        <f>"01060813"</f>
        <v>01060813</v>
      </c>
    </row>
    <row r="22710" spans="1:2" x14ac:dyDescent="0.25">
      <c r="A22710" s="2">
        <v>22705</v>
      </c>
      <c r="B22710" s="3" t="str">
        <f>"01060814"</f>
        <v>01060814</v>
      </c>
    </row>
    <row r="22711" spans="1:2" x14ac:dyDescent="0.25">
      <c r="A22711" s="2">
        <v>22706</v>
      </c>
      <c r="B22711" s="3" t="str">
        <f>"01060827"</f>
        <v>01060827</v>
      </c>
    </row>
    <row r="22712" spans="1:2" x14ac:dyDescent="0.25">
      <c r="A22712" s="2">
        <v>22707</v>
      </c>
      <c r="B22712" s="3" t="str">
        <f>"01060835"</f>
        <v>01060835</v>
      </c>
    </row>
    <row r="22713" spans="1:2" x14ac:dyDescent="0.25">
      <c r="A22713" s="2">
        <v>22708</v>
      </c>
      <c r="B22713" s="3" t="str">
        <f>"01060840"</f>
        <v>01060840</v>
      </c>
    </row>
    <row r="22714" spans="1:2" x14ac:dyDescent="0.25">
      <c r="A22714" s="2">
        <v>22709</v>
      </c>
      <c r="B22714" s="3" t="str">
        <f>"01060843"</f>
        <v>01060843</v>
      </c>
    </row>
    <row r="22715" spans="1:2" x14ac:dyDescent="0.25">
      <c r="A22715" s="2">
        <v>22710</v>
      </c>
      <c r="B22715" s="3" t="str">
        <f>"01060847"</f>
        <v>01060847</v>
      </c>
    </row>
    <row r="22716" spans="1:2" x14ac:dyDescent="0.25">
      <c r="A22716" s="2">
        <v>22711</v>
      </c>
      <c r="B22716" s="3" t="str">
        <f>"01060858"</f>
        <v>01060858</v>
      </c>
    </row>
    <row r="22717" spans="1:2" x14ac:dyDescent="0.25">
      <c r="A22717" s="2">
        <v>22712</v>
      </c>
      <c r="B22717" s="3" t="str">
        <f>"01060865"</f>
        <v>01060865</v>
      </c>
    </row>
    <row r="22718" spans="1:2" x14ac:dyDescent="0.25">
      <c r="A22718" s="2">
        <v>22713</v>
      </c>
      <c r="B22718" s="3" t="str">
        <f>"01060876"</f>
        <v>01060876</v>
      </c>
    </row>
    <row r="22719" spans="1:2" x14ac:dyDescent="0.25">
      <c r="A22719" s="2">
        <v>22714</v>
      </c>
      <c r="B22719" s="3" t="str">
        <f>"01060893"</f>
        <v>01060893</v>
      </c>
    </row>
    <row r="22720" spans="1:2" x14ac:dyDescent="0.25">
      <c r="A22720" s="2">
        <v>22715</v>
      </c>
      <c r="B22720" s="3" t="str">
        <f>"01060897"</f>
        <v>01060897</v>
      </c>
    </row>
    <row r="22721" spans="1:2" x14ac:dyDescent="0.25">
      <c r="A22721" s="2">
        <v>22716</v>
      </c>
      <c r="B22721" s="3" t="str">
        <f>"01060915"</f>
        <v>01060915</v>
      </c>
    </row>
    <row r="22722" spans="1:2" x14ac:dyDescent="0.25">
      <c r="A22722" s="2">
        <v>22717</v>
      </c>
      <c r="B22722" s="3" t="str">
        <f>"01060919"</f>
        <v>01060919</v>
      </c>
    </row>
    <row r="22723" spans="1:2" x14ac:dyDescent="0.25">
      <c r="A22723" s="2">
        <v>22718</v>
      </c>
      <c r="B22723" s="3" t="str">
        <f>"01060927"</f>
        <v>01060927</v>
      </c>
    </row>
    <row r="22724" spans="1:2" x14ac:dyDescent="0.25">
      <c r="A22724" s="2">
        <v>22719</v>
      </c>
      <c r="B22724" s="3" t="str">
        <f>"01060940"</f>
        <v>01060940</v>
      </c>
    </row>
    <row r="22725" spans="1:2" x14ac:dyDescent="0.25">
      <c r="A22725" s="2">
        <v>22720</v>
      </c>
      <c r="B22725" s="3" t="str">
        <f>"01060942"</f>
        <v>01060942</v>
      </c>
    </row>
    <row r="22726" spans="1:2" x14ac:dyDescent="0.25">
      <c r="A22726" s="2">
        <v>22721</v>
      </c>
      <c r="B22726" s="3" t="str">
        <f>"01060960"</f>
        <v>01060960</v>
      </c>
    </row>
    <row r="22727" spans="1:2" x14ac:dyDescent="0.25">
      <c r="A22727" s="2">
        <v>22722</v>
      </c>
      <c r="B22727" s="3" t="str">
        <f>"01060962"</f>
        <v>01060962</v>
      </c>
    </row>
    <row r="22728" spans="1:2" x14ac:dyDescent="0.25">
      <c r="A22728" s="2">
        <v>22723</v>
      </c>
      <c r="B22728" s="3" t="str">
        <f>"01060964"</f>
        <v>01060964</v>
      </c>
    </row>
    <row r="22729" spans="1:2" x14ac:dyDescent="0.25">
      <c r="A22729" s="2">
        <v>22724</v>
      </c>
      <c r="B22729" s="3" t="str">
        <f>"01060968"</f>
        <v>01060968</v>
      </c>
    </row>
    <row r="22730" spans="1:2" x14ac:dyDescent="0.25">
      <c r="A22730" s="2">
        <v>22725</v>
      </c>
      <c r="B22730" s="3" t="str">
        <f>"01060976"</f>
        <v>01060976</v>
      </c>
    </row>
    <row r="22731" spans="1:2" x14ac:dyDescent="0.25">
      <c r="A22731" s="2">
        <v>22726</v>
      </c>
      <c r="B22731" s="3" t="str">
        <f>"01060978"</f>
        <v>01060978</v>
      </c>
    </row>
    <row r="22732" spans="1:2" x14ac:dyDescent="0.25">
      <c r="A22732" s="2">
        <v>22727</v>
      </c>
      <c r="B22732" s="3" t="str">
        <f>"01060980"</f>
        <v>01060980</v>
      </c>
    </row>
    <row r="22733" spans="1:2" x14ac:dyDescent="0.25">
      <c r="A22733" s="2">
        <v>22728</v>
      </c>
      <c r="B22733" s="3" t="str">
        <f>"01060982"</f>
        <v>01060982</v>
      </c>
    </row>
    <row r="22734" spans="1:2" x14ac:dyDescent="0.25">
      <c r="A22734" s="2">
        <v>22729</v>
      </c>
      <c r="B22734" s="3" t="str">
        <f>"01060987"</f>
        <v>01060987</v>
      </c>
    </row>
    <row r="22735" spans="1:2" x14ac:dyDescent="0.25">
      <c r="A22735" s="2">
        <v>22730</v>
      </c>
      <c r="B22735" s="3" t="str">
        <f>"01060992"</f>
        <v>01060992</v>
      </c>
    </row>
    <row r="22736" spans="1:2" x14ac:dyDescent="0.25">
      <c r="A22736" s="2">
        <v>22731</v>
      </c>
      <c r="B22736" s="3" t="str">
        <f>"01060994"</f>
        <v>01060994</v>
      </c>
    </row>
    <row r="22737" spans="1:2" x14ac:dyDescent="0.25">
      <c r="A22737" s="2">
        <v>22732</v>
      </c>
      <c r="B22737" s="3" t="str">
        <f>"01061000"</f>
        <v>01061000</v>
      </c>
    </row>
    <row r="22738" spans="1:2" x14ac:dyDescent="0.25">
      <c r="A22738" s="2">
        <v>22733</v>
      </c>
      <c r="B22738" s="3" t="str">
        <f>"01061004"</f>
        <v>01061004</v>
      </c>
    </row>
    <row r="22739" spans="1:2" x14ac:dyDescent="0.25">
      <c r="A22739" s="2">
        <v>22734</v>
      </c>
      <c r="B22739" s="3" t="str">
        <f>"01061005"</f>
        <v>01061005</v>
      </c>
    </row>
    <row r="22740" spans="1:2" x14ac:dyDescent="0.25">
      <c r="A22740" s="2">
        <v>22735</v>
      </c>
      <c r="B22740" s="3" t="str">
        <f>"01061019"</f>
        <v>01061019</v>
      </c>
    </row>
    <row r="22741" spans="1:2" x14ac:dyDescent="0.25">
      <c r="A22741" s="2">
        <v>22736</v>
      </c>
      <c r="B22741" s="3" t="str">
        <f>"01061021"</f>
        <v>01061021</v>
      </c>
    </row>
    <row r="22742" spans="1:2" x14ac:dyDescent="0.25">
      <c r="A22742" s="2">
        <v>22737</v>
      </c>
      <c r="B22742" s="3" t="str">
        <f>"01061026"</f>
        <v>01061026</v>
      </c>
    </row>
    <row r="22743" spans="1:2" x14ac:dyDescent="0.25">
      <c r="A22743" s="2">
        <v>22738</v>
      </c>
      <c r="B22743" s="3" t="str">
        <f>"01061031"</f>
        <v>01061031</v>
      </c>
    </row>
    <row r="22744" spans="1:2" x14ac:dyDescent="0.25">
      <c r="A22744" s="2">
        <v>22739</v>
      </c>
      <c r="B22744" s="3" t="str">
        <f>"01061033"</f>
        <v>01061033</v>
      </c>
    </row>
    <row r="22745" spans="1:2" x14ac:dyDescent="0.25">
      <c r="A22745" s="2">
        <v>22740</v>
      </c>
      <c r="B22745" s="3" t="str">
        <f>"01061040"</f>
        <v>01061040</v>
      </c>
    </row>
    <row r="22746" spans="1:2" x14ac:dyDescent="0.25">
      <c r="A22746" s="2">
        <v>22741</v>
      </c>
      <c r="B22746" s="3" t="str">
        <f>"01061051"</f>
        <v>01061051</v>
      </c>
    </row>
    <row r="22747" spans="1:2" x14ac:dyDescent="0.25">
      <c r="A22747" s="2">
        <v>22742</v>
      </c>
      <c r="B22747" s="3" t="str">
        <f>"01061060"</f>
        <v>01061060</v>
      </c>
    </row>
    <row r="22748" spans="1:2" x14ac:dyDescent="0.25">
      <c r="A22748" s="2">
        <v>22743</v>
      </c>
      <c r="B22748" s="3" t="str">
        <f>"01061063"</f>
        <v>01061063</v>
      </c>
    </row>
    <row r="22749" spans="1:2" x14ac:dyDescent="0.25">
      <c r="A22749" s="2">
        <v>22744</v>
      </c>
      <c r="B22749" s="3" t="str">
        <f>"01061070"</f>
        <v>01061070</v>
      </c>
    </row>
    <row r="22750" spans="1:2" x14ac:dyDescent="0.25">
      <c r="A22750" s="2">
        <v>22745</v>
      </c>
      <c r="B22750" s="3" t="str">
        <f>"01061079"</f>
        <v>01061079</v>
      </c>
    </row>
    <row r="22751" spans="1:2" x14ac:dyDescent="0.25">
      <c r="A22751" s="2">
        <v>22746</v>
      </c>
      <c r="B22751" s="3" t="str">
        <f>"01061080"</f>
        <v>01061080</v>
      </c>
    </row>
    <row r="22752" spans="1:2" x14ac:dyDescent="0.25">
      <c r="A22752" s="2">
        <v>22747</v>
      </c>
      <c r="B22752" s="3" t="str">
        <f>"01061090"</f>
        <v>01061090</v>
      </c>
    </row>
    <row r="22753" spans="1:2" x14ac:dyDescent="0.25">
      <c r="A22753" s="2">
        <v>22748</v>
      </c>
      <c r="B22753" s="3" t="str">
        <f>"01061092"</f>
        <v>01061092</v>
      </c>
    </row>
    <row r="22754" spans="1:2" x14ac:dyDescent="0.25">
      <c r="A22754" s="2">
        <v>22749</v>
      </c>
      <c r="B22754" s="3" t="str">
        <f>"01061101"</f>
        <v>01061101</v>
      </c>
    </row>
    <row r="22755" spans="1:2" x14ac:dyDescent="0.25">
      <c r="A22755" s="2">
        <v>22750</v>
      </c>
      <c r="B22755" s="3" t="str">
        <f>"01061106"</f>
        <v>01061106</v>
      </c>
    </row>
    <row r="22756" spans="1:2" x14ac:dyDescent="0.25">
      <c r="A22756" s="2">
        <v>22751</v>
      </c>
      <c r="B22756" s="3" t="str">
        <f>"01061108"</f>
        <v>01061108</v>
      </c>
    </row>
    <row r="22757" spans="1:2" x14ac:dyDescent="0.25">
      <c r="A22757" s="2">
        <v>22752</v>
      </c>
      <c r="B22757" s="3" t="str">
        <f>"01061111"</f>
        <v>01061111</v>
      </c>
    </row>
    <row r="22758" spans="1:2" x14ac:dyDescent="0.25">
      <c r="A22758" s="2">
        <v>22753</v>
      </c>
      <c r="B22758" s="3" t="str">
        <f>"01061119"</f>
        <v>01061119</v>
      </c>
    </row>
    <row r="22759" spans="1:2" x14ac:dyDescent="0.25">
      <c r="A22759" s="2">
        <v>22754</v>
      </c>
      <c r="B22759" s="3" t="str">
        <f>"01061133"</f>
        <v>01061133</v>
      </c>
    </row>
    <row r="22760" spans="1:2" x14ac:dyDescent="0.25">
      <c r="A22760" s="2">
        <v>22755</v>
      </c>
      <c r="B22760" s="3" t="str">
        <f>"01061135"</f>
        <v>01061135</v>
      </c>
    </row>
    <row r="22761" spans="1:2" x14ac:dyDescent="0.25">
      <c r="A22761" s="2">
        <v>22756</v>
      </c>
      <c r="B22761" s="3" t="str">
        <f>"01061142"</f>
        <v>01061142</v>
      </c>
    </row>
    <row r="22762" spans="1:2" x14ac:dyDescent="0.25">
      <c r="A22762" s="2">
        <v>22757</v>
      </c>
      <c r="B22762" s="3" t="str">
        <f>"01061144"</f>
        <v>01061144</v>
      </c>
    </row>
    <row r="22763" spans="1:2" x14ac:dyDescent="0.25">
      <c r="A22763" s="2">
        <v>22758</v>
      </c>
      <c r="B22763" s="3" t="str">
        <f>"01061157"</f>
        <v>01061157</v>
      </c>
    </row>
    <row r="22764" spans="1:2" x14ac:dyDescent="0.25">
      <c r="A22764" s="2">
        <v>22759</v>
      </c>
      <c r="B22764" s="3" t="str">
        <f>"01061161"</f>
        <v>01061161</v>
      </c>
    </row>
    <row r="22765" spans="1:2" x14ac:dyDescent="0.25">
      <c r="A22765" s="2">
        <v>22760</v>
      </c>
      <c r="B22765" s="3" t="str">
        <f>"01061164"</f>
        <v>01061164</v>
      </c>
    </row>
    <row r="22766" spans="1:2" x14ac:dyDescent="0.25">
      <c r="A22766" s="2">
        <v>22761</v>
      </c>
      <c r="B22766" s="3" t="str">
        <f>"01061167"</f>
        <v>01061167</v>
      </c>
    </row>
    <row r="22767" spans="1:2" x14ac:dyDescent="0.25">
      <c r="A22767" s="2">
        <v>22762</v>
      </c>
      <c r="B22767" s="3" t="str">
        <f>"01061175"</f>
        <v>01061175</v>
      </c>
    </row>
    <row r="22768" spans="1:2" x14ac:dyDescent="0.25">
      <c r="A22768" s="2">
        <v>22763</v>
      </c>
      <c r="B22768" s="3" t="str">
        <f>"01061189"</f>
        <v>01061189</v>
      </c>
    </row>
    <row r="22769" spans="1:2" x14ac:dyDescent="0.25">
      <c r="A22769" s="2">
        <v>22764</v>
      </c>
      <c r="B22769" s="3" t="str">
        <f>"01061196"</f>
        <v>01061196</v>
      </c>
    </row>
    <row r="22770" spans="1:2" x14ac:dyDescent="0.25">
      <c r="A22770" s="2">
        <v>22765</v>
      </c>
      <c r="B22770" s="3" t="str">
        <f>"01061208"</f>
        <v>01061208</v>
      </c>
    </row>
    <row r="22771" spans="1:2" x14ac:dyDescent="0.25">
      <c r="A22771" s="2">
        <v>22766</v>
      </c>
      <c r="B22771" s="3" t="str">
        <f>"01061209"</f>
        <v>01061209</v>
      </c>
    </row>
    <row r="22772" spans="1:2" x14ac:dyDescent="0.25">
      <c r="A22772" s="2">
        <v>22767</v>
      </c>
      <c r="B22772" s="3" t="str">
        <f>"01061215"</f>
        <v>01061215</v>
      </c>
    </row>
    <row r="22773" spans="1:2" x14ac:dyDescent="0.25">
      <c r="A22773" s="2">
        <v>22768</v>
      </c>
      <c r="B22773" s="3" t="str">
        <f>"01061220"</f>
        <v>01061220</v>
      </c>
    </row>
    <row r="22774" spans="1:2" x14ac:dyDescent="0.25">
      <c r="A22774" s="2">
        <v>22769</v>
      </c>
      <c r="B22774" s="3" t="str">
        <f>"01061223"</f>
        <v>01061223</v>
      </c>
    </row>
    <row r="22775" spans="1:2" x14ac:dyDescent="0.25">
      <c r="A22775" s="2">
        <v>22770</v>
      </c>
      <c r="B22775" s="3" t="str">
        <f>"01061234"</f>
        <v>01061234</v>
      </c>
    </row>
    <row r="22776" spans="1:2" x14ac:dyDescent="0.25">
      <c r="A22776" s="2">
        <v>22771</v>
      </c>
      <c r="B22776" s="3" t="str">
        <f>"01061237"</f>
        <v>01061237</v>
      </c>
    </row>
    <row r="22777" spans="1:2" x14ac:dyDescent="0.25">
      <c r="A22777" s="2">
        <v>22772</v>
      </c>
      <c r="B22777" s="3" t="str">
        <f>"01061238"</f>
        <v>01061238</v>
      </c>
    </row>
    <row r="22778" spans="1:2" x14ac:dyDescent="0.25">
      <c r="A22778" s="2">
        <v>22773</v>
      </c>
      <c r="B22778" s="3" t="str">
        <f>"01061243"</f>
        <v>01061243</v>
      </c>
    </row>
    <row r="22779" spans="1:2" x14ac:dyDescent="0.25">
      <c r="A22779" s="2">
        <v>22774</v>
      </c>
      <c r="B22779" s="3" t="str">
        <f>"01061245"</f>
        <v>01061245</v>
      </c>
    </row>
    <row r="22780" spans="1:2" x14ac:dyDescent="0.25">
      <c r="A22780" s="2">
        <v>22775</v>
      </c>
      <c r="B22780" s="3" t="str">
        <f>"01061248"</f>
        <v>01061248</v>
      </c>
    </row>
    <row r="22781" spans="1:2" x14ac:dyDescent="0.25">
      <c r="A22781" s="2">
        <v>22776</v>
      </c>
      <c r="B22781" s="3" t="str">
        <f>"01061254"</f>
        <v>01061254</v>
      </c>
    </row>
    <row r="22782" spans="1:2" x14ac:dyDescent="0.25">
      <c r="A22782" s="2">
        <v>22777</v>
      </c>
      <c r="B22782" s="3" t="str">
        <f>"01061256"</f>
        <v>01061256</v>
      </c>
    </row>
    <row r="22783" spans="1:2" x14ac:dyDescent="0.25">
      <c r="A22783" s="2">
        <v>22778</v>
      </c>
      <c r="B22783" s="3" t="str">
        <f>"01061258"</f>
        <v>01061258</v>
      </c>
    </row>
    <row r="22784" spans="1:2" x14ac:dyDescent="0.25">
      <c r="A22784" s="2">
        <v>22779</v>
      </c>
      <c r="B22784" s="3" t="str">
        <f>"01061271"</f>
        <v>01061271</v>
      </c>
    </row>
    <row r="22785" spans="1:2" x14ac:dyDescent="0.25">
      <c r="A22785" s="2">
        <v>22780</v>
      </c>
      <c r="B22785" s="3" t="str">
        <f>"01061272"</f>
        <v>01061272</v>
      </c>
    </row>
    <row r="22786" spans="1:2" x14ac:dyDescent="0.25">
      <c r="A22786" s="2">
        <v>22781</v>
      </c>
      <c r="B22786" s="3" t="str">
        <f>"01061275"</f>
        <v>01061275</v>
      </c>
    </row>
    <row r="22787" spans="1:2" x14ac:dyDescent="0.25">
      <c r="A22787" s="2">
        <v>22782</v>
      </c>
      <c r="B22787" s="3" t="str">
        <f>"01061280"</f>
        <v>01061280</v>
      </c>
    </row>
    <row r="22788" spans="1:2" x14ac:dyDescent="0.25">
      <c r="A22788" s="2">
        <v>22783</v>
      </c>
      <c r="B22788" s="3" t="str">
        <f>"01061282"</f>
        <v>01061282</v>
      </c>
    </row>
    <row r="22789" spans="1:2" x14ac:dyDescent="0.25">
      <c r="A22789" s="2">
        <v>22784</v>
      </c>
      <c r="B22789" s="3" t="str">
        <f>"01061289"</f>
        <v>01061289</v>
      </c>
    </row>
    <row r="22790" spans="1:2" x14ac:dyDescent="0.25">
      <c r="A22790" s="2">
        <v>22785</v>
      </c>
      <c r="B22790" s="3" t="str">
        <f>"01061299"</f>
        <v>01061299</v>
      </c>
    </row>
    <row r="22791" spans="1:2" x14ac:dyDescent="0.25">
      <c r="A22791" s="2">
        <v>22786</v>
      </c>
      <c r="B22791" s="3" t="str">
        <f>"01061304"</f>
        <v>01061304</v>
      </c>
    </row>
    <row r="22792" spans="1:2" x14ac:dyDescent="0.25">
      <c r="A22792" s="2">
        <v>22787</v>
      </c>
      <c r="B22792" s="3" t="str">
        <f>"01061309"</f>
        <v>01061309</v>
      </c>
    </row>
    <row r="22793" spans="1:2" x14ac:dyDescent="0.25">
      <c r="A22793" s="2">
        <v>22788</v>
      </c>
      <c r="B22793" s="3" t="str">
        <f>"01061313"</f>
        <v>01061313</v>
      </c>
    </row>
    <row r="22794" spans="1:2" x14ac:dyDescent="0.25">
      <c r="A22794" s="2">
        <v>22789</v>
      </c>
      <c r="B22794" s="3" t="str">
        <f>"01061316"</f>
        <v>01061316</v>
      </c>
    </row>
    <row r="22795" spans="1:2" x14ac:dyDescent="0.25">
      <c r="A22795" s="2">
        <v>22790</v>
      </c>
      <c r="B22795" s="3" t="str">
        <f>"01061317"</f>
        <v>01061317</v>
      </c>
    </row>
    <row r="22796" spans="1:2" x14ac:dyDescent="0.25">
      <c r="A22796" s="2">
        <v>22791</v>
      </c>
      <c r="B22796" s="3" t="str">
        <f>"01061318"</f>
        <v>01061318</v>
      </c>
    </row>
    <row r="22797" spans="1:2" x14ac:dyDescent="0.25">
      <c r="A22797" s="2">
        <v>22792</v>
      </c>
      <c r="B22797" s="3" t="str">
        <f>"01061320"</f>
        <v>01061320</v>
      </c>
    </row>
    <row r="22798" spans="1:2" x14ac:dyDescent="0.25">
      <c r="A22798" s="2">
        <v>22793</v>
      </c>
      <c r="B22798" s="3" t="str">
        <f>"01061322"</f>
        <v>01061322</v>
      </c>
    </row>
    <row r="22799" spans="1:2" x14ac:dyDescent="0.25">
      <c r="A22799" s="2">
        <v>22794</v>
      </c>
      <c r="B22799" s="3" t="str">
        <f>"01061323"</f>
        <v>01061323</v>
      </c>
    </row>
    <row r="22800" spans="1:2" x14ac:dyDescent="0.25">
      <c r="A22800" s="2">
        <v>22795</v>
      </c>
      <c r="B22800" s="3" t="str">
        <f>"01061325"</f>
        <v>01061325</v>
      </c>
    </row>
    <row r="22801" spans="1:2" x14ac:dyDescent="0.25">
      <c r="A22801" s="2">
        <v>22796</v>
      </c>
      <c r="B22801" s="3" t="str">
        <f>"01061328"</f>
        <v>01061328</v>
      </c>
    </row>
    <row r="22802" spans="1:2" x14ac:dyDescent="0.25">
      <c r="A22802" s="2">
        <v>22797</v>
      </c>
      <c r="B22802" s="3" t="str">
        <f>"01061331"</f>
        <v>01061331</v>
      </c>
    </row>
    <row r="22803" spans="1:2" x14ac:dyDescent="0.25">
      <c r="A22803" s="2">
        <v>22798</v>
      </c>
      <c r="B22803" s="3" t="str">
        <f>"01061338"</f>
        <v>01061338</v>
      </c>
    </row>
    <row r="22804" spans="1:2" x14ac:dyDescent="0.25">
      <c r="A22804" s="2">
        <v>22799</v>
      </c>
      <c r="B22804" s="3" t="str">
        <f>"01061340"</f>
        <v>01061340</v>
      </c>
    </row>
    <row r="22805" spans="1:2" x14ac:dyDescent="0.25">
      <c r="A22805" s="2">
        <v>22800</v>
      </c>
      <c r="B22805" s="3" t="str">
        <f>"01061341"</f>
        <v>01061341</v>
      </c>
    </row>
    <row r="22806" spans="1:2" x14ac:dyDescent="0.25">
      <c r="A22806" s="2">
        <v>22801</v>
      </c>
      <c r="B22806" s="3" t="str">
        <f>"01061345"</f>
        <v>01061345</v>
      </c>
    </row>
    <row r="22807" spans="1:2" x14ac:dyDescent="0.25">
      <c r="A22807" s="2">
        <v>22802</v>
      </c>
      <c r="B22807" s="3" t="str">
        <f>"01061347"</f>
        <v>01061347</v>
      </c>
    </row>
    <row r="22808" spans="1:2" x14ac:dyDescent="0.25">
      <c r="A22808" s="2">
        <v>22803</v>
      </c>
      <c r="B22808" s="3" t="str">
        <f>"01061348"</f>
        <v>01061348</v>
      </c>
    </row>
    <row r="22809" spans="1:2" x14ac:dyDescent="0.25">
      <c r="A22809" s="2">
        <v>22804</v>
      </c>
      <c r="B22809" s="3" t="str">
        <f>"01061350"</f>
        <v>01061350</v>
      </c>
    </row>
    <row r="22810" spans="1:2" x14ac:dyDescent="0.25">
      <c r="A22810" s="2">
        <v>22805</v>
      </c>
      <c r="B22810" s="3" t="str">
        <f>"01061356"</f>
        <v>01061356</v>
      </c>
    </row>
    <row r="22811" spans="1:2" x14ac:dyDescent="0.25">
      <c r="A22811" s="2">
        <v>22806</v>
      </c>
      <c r="B22811" s="3" t="str">
        <f>"01061358"</f>
        <v>01061358</v>
      </c>
    </row>
    <row r="22812" spans="1:2" x14ac:dyDescent="0.25">
      <c r="A22812" s="2">
        <v>22807</v>
      </c>
      <c r="B22812" s="3" t="str">
        <f>"01061367"</f>
        <v>01061367</v>
      </c>
    </row>
    <row r="22813" spans="1:2" x14ac:dyDescent="0.25">
      <c r="A22813" s="2">
        <v>22808</v>
      </c>
      <c r="B22813" s="3" t="str">
        <f>"01061377"</f>
        <v>01061377</v>
      </c>
    </row>
    <row r="22814" spans="1:2" x14ac:dyDescent="0.25">
      <c r="A22814" s="2">
        <v>22809</v>
      </c>
      <c r="B22814" s="3" t="str">
        <f>"01061387"</f>
        <v>01061387</v>
      </c>
    </row>
    <row r="22815" spans="1:2" x14ac:dyDescent="0.25">
      <c r="A22815" s="2">
        <v>22810</v>
      </c>
      <c r="B22815" s="3" t="str">
        <f>"01061388"</f>
        <v>01061388</v>
      </c>
    </row>
    <row r="22816" spans="1:2" x14ac:dyDescent="0.25">
      <c r="A22816" s="2">
        <v>22811</v>
      </c>
      <c r="B22816" s="3" t="str">
        <f>"01061389"</f>
        <v>01061389</v>
      </c>
    </row>
    <row r="22817" spans="1:2" x14ac:dyDescent="0.25">
      <c r="A22817" s="2">
        <v>22812</v>
      </c>
      <c r="B22817" s="3" t="str">
        <f>"01061399"</f>
        <v>01061399</v>
      </c>
    </row>
    <row r="22818" spans="1:2" x14ac:dyDescent="0.25">
      <c r="A22818" s="2">
        <v>22813</v>
      </c>
      <c r="B22818" s="3" t="str">
        <f>"01061409"</f>
        <v>01061409</v>
      </c>
    </row>
    <row r="22819" spans="1:2" x14ac:dyDescent="0.25">
      <c r="A22819" s="2">
        <v>22814</v>
      </c>
      <c r="B22819" s="3" t="str">
        <f>"01061412"</f>
        <v>01061412</v>
      </c>
    </row>
    <row r="22820" spans="1:2" x14ac:dyDescent="0.25">
      <c r="A22820" s="2">
        <v>22815</v>
      </c>
      <c r="B22820" s="3" t="str">
        <f>"01061419"</f>
        <v>01061419</v>
      </c>
    </row>
    <row r="22821" spans="1:2" x14ac:dyDescent="0.25">
      <c r="A22821" s="2">
        <v>22816</v>
      </c>
      <c r="B22821" s="3" t="str">
        <f>"01061431"</f>
        <v>01061431</v>
      </c>
    </row>
    <row r="22822" spans="1:2" x14ac:dyDescent="0.25">
      <c r="A22822" s="2">
        <v>22817</v>
      </c>
      <c r="B22822" s="3" t="str">
        <f>"01061437"</f>
        <v>01061437</v>
      </c>
    </row>
    <row r="22823" spans="1:2" x14ac:dyDescent="0.25">
      <c r="A22823" s="2">
        <v>22818</v>
      </c>
      <c r="B22823" s="3" t="str">
        <f>"01061443"</f>
        <v>01061443</v>
      </c>
    </row>
    <row r="22824" spans="1:2" x14ac:dyDescent="0.25">
      <c r="A22824" s="2">
        <v>22819</v>
      </c>
      <c r="B22824" s="3" t="str">
        <f>"01061457"</f>
        <v>01061457</v>
      </c>
    </row>
    <row r="22825" spans="1:2" x14ac:dyDescent="0.25">
      <c r="A22825" s="2">
        <v>22820</v>
      </c>
      <c r="B22825" s="3" t="str">
        <f>"01061472"</f>
        <v>01061472</v>
      </c>
    </row>
    <row r="22826" spans="1:2" x14ac:dyDescent="0.25">
      <c r="A22826" s="2">
        <v>22821</v>
      </c>
      <c r="B22826" s="3" t="str">
        <f>"01061480"</f>
        <v>01061480</v>
      </c>
    </row>
    <row r="22827" spans="1:2" x14ac:dyDescent="0.25">
      <c r="A22827" s="2">
        <v>22822</v>
      </c>
      <c r="B22827" s="3" t="str">
        <f>"01061481"</f>
        <v>01061481</v>
      </c>
    </row>
    <row r="22828" spans="1:2" x14ac:dyDescent="0.25">
      <c r="A22828" s="2">
        <v>22823</v>
      </c>
      <c r="B22828" s="3" t="str">
        <f>"01061483"</f>
        <v>01061483</v>
      </c>
    </row>
    <row r="22829" spans="1:2" x14ac:dyDescent="0.25">
      <c r="A22829" s="2">
        <v>22824</v>
      </c>
      <c r="B22829" s="3" t="str">
        <f>"01061485"</f>
        <v>01061485</v>
      </c>
    </row>
    <row r="22830" spans="1:2" x14ac:dyDescent="0.25">
      <c r="A22830" s="2">
        <v>22825</v>
      </c>
      <c r="B22830" s="3" t="str">
        <f>"01061496"</f>
        <v>01061496</v>
      </c>
    </row>
    <row r="22831" spans="1:2" x14ac:dyDescent="0.25">
      <c r="A22831" s="2">
        <v>22826</v>
      </c>
      <c r="B22831" s="3" t="str">
        <f>"01061501"</f>
        <v>01061501</v>
      </c>
    </row>
    <row r="22832" spans="1:2" x14ac:dyDescent="0.25">
      <c r="A22832" s="2">
        <v>22827</v>
      </c>
      <c r="B22832" s="3" t="str">
        <f>"01061504"</f>
        <v>01061504</v>
      </c>
    </row>
    <row r="22833" spans="1:2" x14ac:dyDescent="0.25">
      <c r="A22833" s="2">
        <v>22828</v>
      </c>
      <c r="B22833" s="3" t="str">
        <f>"01061510"</f>
        <v>01061510</v>
      </c>
    </row>
    <row r="22834" spans="1:2" x14ac:dyDescent="0.25">
      <c r="A22834" s="2">
        <v>22829</v>
      </c>
      <c r="B22834" s="3" t="str">
        <f>"01061520"</f>
        <v>01061520</v>
      </c>
    </row>
    <row r="22835" spans="1:2" x14ac:dyDescent="0.25">
      <c r="A22835" s="2">
        <v>22830</v>
      </c>
      <c r="B22835" s="3" t="str">
        <f>"01061556"</f>
        <v>01061556</v>
      </c>
    </row>
    <row r="22836" spans="1:2" x14ac:dyDescent="0.25">
      <c r="A22836" s="2">
        <v>22831</v>
      </c>
      <c r="B22836" s="3" t="str">
        <f>"01061563"</f>
        <v>01061563</v>
      </c>
    </row>
    <row r="22837" spans="1:2" x14ac:dyDescent="0.25">
      <c r="A22837" s="2">
        <v>22832</v>
      </c>
      <c r="B22837" s="3" t="str">
        <f>"01061566"</f>
        <v>01061566</v>
      </c>
    </row>
    <row r="22838" spans="1:2" x14ac:dyDescent="0.25">
      <c r="A22838" s="2">
        <v>22833</v>
      </c>
      <c r="B22838" s="3" t="str">
        <f>"01061580"</f>
        <v>01061580</v>
      </c>
    </row>
    <row r="22839" spans="1:2" x14ac:dyDescent="0.25">
      <c r="A22839" s="2">
        <v>22834</v>
      </c>
      <c r="B22839" s="3" t="str">
        <f>"01061583"</f>
        <v>01061583</v>
      </c>
    </row>
    <row r="22840" spans="1:2" x14ac:dyDescent="0.25">
      <c r="A22840" s="2">
        <v>22835</v>
      </c>
      <c r="B22840" s="3" t="str">
        <f>"01061587"</f>
        <v>01061587</v>
      </c>
    </row>
    <row r="22841" spans="1:2" x14ac:dyDescent="0.25">
      <c r="A22841" s="2">
        <v>22836</v>
      </c>
      <c r="B22841" s="3" t="str">
        <f>"01061588"</f>
        <v>01061588</v>
      </c>
    </row>
    <row r="22842" spans="1:2" x14ac:dyDescent="0.25">
      <c r="A22842" s="2">
        <v>22837</v>
      </c>
      <c r="B22842" s="3" t="str">
        <f>"01061589"</f>
        <v>01061589</v>
      </c>
    </row>
    <row r="22843" spans="1:2" x14ac:dyDescent="0.25">
      <c r="A22843" s="2">
        <v>22838</v>
      </c>
      <c r="B22843" s="3" t="str">
        <f>"01061595"</f>
        <v>01061595</v>
      </c>
    </row>
    <row r="22844" spans="1:2" x14ac:dyDescent="0.25">
      <c r="A22844" s="2">
        <v>22839</v>
      </c>
      <c r="B22844" s="3" t="str">
        <f>"01061600"</f>
        <v>01061600</v>
      </c>
    </row>
    <row r="22845" spans="1:2" x14ac:dyDescent="0.25">
      <c r="A22845" s="2">
        <v>22840</v>
      </c>
      <c r="B22845" s="3" t="str">
        <f>"01061607"</f>
        <v>01061607</v>
      </c>
    </row>
    <row r="22846" spans="1:2" x14ac:dyDescent="0.25">
      <c r="A22846" s="2">
        <v>22841</v>
      </c>
      <c r="B22846" s="3" t="str">
        <f>"01061626"</f>
        <v>01061626</v>
      </c>
    </row>
    <row r="22847" spans="1:2" x14ac:dyDescent="0.25">
      <c r="A22847" s="2">
        <v>22842</v>
      </c>
      <c r="B22847" s="3" t="str">
        <f>"01061632"</f>
        <v>01061632</v>
      </c>
    </row>
    <row r="22848" spans="1:2" x14ac:dyDescent="0.25">
      <c r="A22848" s="2">
        <v>22843</v>
      </c>
      <c r="B22848" s="3" t="str">
        <f>"01061634"</f>
        <v>01061634</v>
      </c>
    </row>
    <row r="22849" spans="1:2" x14ac:dyDescent="0.25">
      <c r="A22849" s="2">
        <v>22844</v>
      </c>
      <c r="B22849" s="3" t="str">
        <f>"01061643"</f>
        <v>01061643</v>
      </c>
    </row>
    <row r="22850" spans="1:2" x14ac:dyDescent="0.25">
      <c r="A22850" s="2">
        <v>22845</v>
      </c>
      <c r="B22850" s="3" t="str">
        <f>"01061656"</f>
        <v>01061656</v>
      </c>
    </row>
    <row r="22851" spans="1:2" x14ac:dyDescent="0.25">
      <c r="A22851" s="2">
        <v>22846</v>
      </c>
      <c r="B22851" s="3" t="str">
        <f>"01061662"</f>
        <v>01061662</v>
      </c>
    </row>
    <row r="22852" spans="1:2" x14ac:dyDescent="0.25">
      <c r="A22852" s="2">
        <v>22847</v>
      </c>
      <c r="B22852" s="3" t="str">
        <f>"01061677"</f>
        <v>01061677</v>
      </c>
    </row>
    <row r="22853" spans="1:2" x14ac:dyDescent="0.25">
      <c r="A22853" s="2">
        <v>22848</v>
      </c>
      <c r="B22853" s="3" t="str">
        <f>"01061684"</f>
        <v>01061684</v>
      </c>
    </row>
    <row r="22854" spans="1:2" x14ac:dyDescent="0.25">
      <c r="A22854" s="2">
        <v>22849</v>
      </c>
      <c r="B22854" s="3" t="str">
        <f>"01061687"</f>
        <v>01061687</v>
      </c>
    </row>
    <row r="22855" spans="1:2" x14ac:dyDescent="0.25">
      <c r="A22855" s="2">
        <v>22850</v>
      </c>
      <c r="B22855" s="3" t="str">
        <f>"01061697"</f>
        <v>01061697</v>
      </c>
    </row>
    <row r="22856" spans="1:2" x14ac:dyDescent="0.25">
      <c r="A22856" s="2">
        <v>22851</v>
      </c>
      <c r="B22856" s="3" t="str">
        <f>"01061701"</f>
        <v>01061701</v>
      </c>
    </row>
    <row r="22857" spans="1:2" x14ac:dyDescent="0.25">
      <c r="A22857" s="2">
        <v>22852</v>
      </c>
      <c r="B22857" s="3" t="str">
        <f>"01061704"</f>
        <v>01061704</v>
      </c>
    </row>
    <row r="22858" spans="1:2" x14ac:dyDescent="0.25">
      <c r="A22858" s="2">
        <v>22853</v>
      </c>
      <c r="B22858" s="3" t="str">
        <f>"01061705"</f>
        <v>01061705</v>
      </c>
    </row>
    <row r="22859" spans="1:2" x14ac:dyDescent="0.25">
      <c r="A22859" s="2">
        <v>22854</v>
      </c>
      <c r="B22859" s="3" t="str">
        <f>"01061708"</f>
        <v>01061708</v>
      </c>
    </row>
    <row r="22860" spans="1:2" x14ac:dyDescent="0.25">
      <c r="A22860" s="2">
        <v>22855</v>
      </c>
      <c r="B22860" s="3" t="str">
        <f>"01061728"</f>
        <v>01061728</v>
      </c>
    </row>
    <row r="22861" spans="1:2" x14ac:dyDescent="0.25">
      <c r="A22861" s="2">
        <v>22856</v>
      </c>
      <c r="B22861" s="3" t="str">
        <f>"01061729"</f>
        <v>01061729</v>
      </c>
    </row>
    <row r="22862" spans="1:2" x14ac:dyDescent="0.25">
      <c r="A22862" s="2">
        <v>22857</v>
      </c>
      <c r="B22862" s="3" t="str">
        <f>"01061739"</f>
        <v>01061739</v>
      </c>
    </row>
    <row r="22863" spans="1:2" x14ac:dyDescent="0.25">
      <c r="A22863" s="2">
        <v>22858</v>
      </c>
      <c r="B22863" s="3" t="str">
        <f>"01061747"</f>
        <v>01061747</v>
      </c>
    </row>
    <row r="22864" spans="1:2" x14ac:dyDescent="0.25">
      <c r="A22864" s="2">
        <v>22859</v>
      </c>
      <c r="B22864" s="3" t="str">
        <f>"01061748"</f>
        <v>01061748</v>
      </c>
    </row>
    <row r="22865" spans="1:2" x14ac:dyDescent="0.25">
      <c r="A22865" s="2">
        <v>22860</v>
      </c>
      <c r="B22865" s="3" t="str">
        <f>"01061767"</f>
        <v>01061767</v>
      </c>
    </row>
    <row r="22866" spans="1:2" x14ac:dyDescent="0.25">
      <c r="A22866" s="2">
        <v>22861</v>
      </c>
      <c r="B22866" s="3" t="str">
        <f>"01061775"</f>
        <v>01061775</v>
      </c>
    </row>
    <row r="22867" spans="1:2" x14ac:dyDescent="0.25">
      <c r="A22867" s="2">
        <v>22862</v>
      </c>
      <c r="B22867" s="3" t="str">
        <f>"01061779"</f>
        <v>01061779</v>
      </c>
    </row>
    <row r="22868" spans="1:2" x14ac:dyDescent="0.25">
      <c r="A22868" s="2">
        <v>22863</v>
      </c>
      <c r="B22868" s="3" t="str">
        <f>"01061789"</f>
        <v>01061789</v>
      </c>
    </row>
    <row r="22869" spans="1:2" x14ac:dyDescent="0.25">
      <c r="A22869" s="2">
        <v>22864</v>
      </c>
      <c r="B22869" s="3" t="str">
        <f>"01061816"</f>
        <v>01061816</v>
      </c>
    </row>
    <row r="22870" spans="1:2" x14ac:dyDescent="0.25">
      <c r="A22870" s="2">
        <v>22865</v>
      </c>
      <c r="B22870" s="3" t="str">
        <f>"01061827"</f>
        <v>01061827</v>
      </c>
    </row>
    <row r="22871" spans="1:2" x14ac:dyDescent="0.25">
      <c r="A22871" s="2">
        <v>22866</v>
      </c>
      <c r="B22871" s="3" t="str">
        <f>"01061828"</f>
        <v>01061828</v>
      </c>
    </row>
    <row r="22872" spans="1:2" x14ac:dyDescent="0.25">
      <c r="A22872" s="2">
        <v>22867</v>
      </c>
      <c r="B22872" s="3" t="str">
        <f>"01061834"</f>
        <v>01061834</v>
      </c>
    </row>
    <row r="22873" spans="1:2" x14ac:dyDescent="0.25">
      <c r="A22873" s="2">
        <v>22868</v>
      </c>
      <c r="B22873" s="3" t="str">
        <f>"01061836"</f>
        <v>01061836</v>
      </c>
    </row>
    <row r="22874" spans="1:2" x14ac:dyDescent="0.25">
      <c r="A22874" s="2">
        <v>22869</v>
      </c>
      <c r="B22874" s="3" t="str">
        <f>"01061841"</f>
        <v>01061841</v>
      </c>
    </row>
    <row r="22875" spans="1:2" x14ac:dyDescent="0.25">
      <c r="A22875" s="2">
        <v>22870</v>
      </c>
      <c r="B22875" s="3" t="str">
        <f>"01061845"</f>
        <v>01061845</v>
      </c>
    </row>
    <row r="22876" spans="1:2" x14ac:dyDescent="0.25">
      <c r="A22876" s="2">
        <v>22871</v>
      </c>
      <c r="B22876" s="3" t="str">
        <f>"01061849"</f>
        <v>01061849</v>
      </c>
    </row>
    <row r="22877" spans="1:2" x14ac:dyDescent="0.25">
      <c r="A22877" s="2">
        <v>22872</v>
      </c>
      <c r="B22877" s="3" t="str">
        <f>"01061859"</f>
        <v>01061859</v>
      </c>
    </row>
    <row r="22878" spans="1:2" x14ac:dyDescent="0.25">
      <c r="A22878" s="2">
        <v>22873</v>
      </c>
      <c r="B22878" s="3" t="str">
        <f>"01061860"</f>
        <v>01061860</v>
      </c>
    </row>
    <row r="22879" spans="1:2" x14ac:dyDescent="0.25">
      <c r="A22879" s="2">
        <v>22874</v>
      </c>
      <c r="B22879" s="3" t="str">
        <f>"01061868"</f>
        <v>01061868</v>
      </c>
    </row>
    <row r="22880" spans="1:2" x14ac:dyDescent="0.25">
      <c r="A22880" s="2">
        <v>22875</v>
      </c>
      <c r="B22880" s="3" t="str">
        <f>"01061876"</f>
        <v>01061876</v>
      </c>
    </row>
    <row r="22881" spans="1:2" x14ac:dyDescent="0.25">
      <c r="A22881" s="2">
        <v>22876</v>
      </c>
      <c r="B22881" s="3" t="str">
        <f>"01061884"</f>
        <v>01061884</v>
      </c>
    </row>
    <row r="22882" spans="1:2" x14ac:dyDescent="0.25">
      <c r="A22882" s="2">
        <v>22877</v>
      </c>
      <c r="B22882" s="3" t="str">
        <f>"01061903"</f>
        <v>01061903</v>
      </c>
    </row>
    <row r="22883" spans="1:2" x14ac:dyDescent="0.25">
      <c r="A22883" s="2">
        <v>22878</v>
      </c>
      <c r="B22883" s="3" t="str">
        <f>"01061907"</f>
        <v>01061907</v>
      </c>
    </row>
    <row r="22884" spans="1:2" x14ac:dyDescent="0.25">
      <c r="A22884" s="2">
        <v>22879</v>
      </c>
      <c r="B22884" s="3" t="str">
        <f>"01061909"</f>
        <v>01061909</v>
      </c>
    </row>
    <row r="22885" spans="1:2" x14ac:dyDescent="0.25">
      <c r="A22885" s="2">
        <v>22880</v>
      </c>
      <c r="B22885" s="3" t="str">
        <f>"01061920"</f>
        <v>01061920</v>
      </c>
    </row>
    <row r="22886" spans="1:2" x14ac:dyDescent="0.25">
      <c r="A22886" s="2">
        <v>22881</v>
      </c>
      <c r="B22886" s="3" t="str">
        <f>"01061940"</f>
        <v>01061940</v>
      </c>
    </row>
    <row r="22887" spans="1:2" x14ac:dyDescent="0.25">
      <c r="A22887" s="2">
        <v>22882</v>
      </c>
      <c r="B22887" s="3" t="str">
        <f>"01061941"</f>
        <v>01061941</v>
      </c>
    </row>
    <row r="22888" spans="1:2" x14ac:dyDescent="0.25">
      <c r="A22888" s="2">
        <v>22883</v>
      </c>
      <c r="B22888" s="3" t="str">
        <f>"01061957"</f>
        <v>01061957</v>
      </c>
    </row>
    <row r="22889" spans="1:2" x14ac:dyDescent="0.25">
      <c r="A22889" s="2">
        <v>22884</v>
      </c>
      <c r="B22889" s="3" t="str">
        <f>"01061959"</f>
        <v>01061959</v>
      </c>
    </row>
    <row r="22890" spans="1:2" x14ac:dyDescent="0.25">
      <c r="A22890" s="2">
        <v>22885</v>
      </c>
      <c r="B22890" s="3" t="str">
        <f>"01061967"</f>
        <v>01061967</v>
      </c>
    </row>
    <row r="22891" spans="1:2" x14ac:dyDescent="0.25">
      <c r="A22891" s="2">
        <v>22886</v>
      </c>
      <c r="B22891" s="3" t="str">
        <f>"01061976"</f>
        <v>01061976</v>
      </c>
    </row>
    <row r="22892" spans="1:2" x14ac:dyDescent="0.25">
      <c r="A22892" s="2">
        <v>22887</v>
      </c>
      <c r="B22892" s="3" t="str">
        <f>"01061986"</f>
        <v>01061986</v>
      </c>
    </row>
    <row r="22893" spans="1:2" x14ac:dyDescent="0.25">
      <c r="A22893" s="2">
        <v>22888</v>
      </c>
      <c r="B22893" s="3" t="str">
        <f>"01062002"</f>
        <v>01062002</v>
      </c>
    </row>
    <row r="22894" spans="1:2" x14ac:dyDescent="0.25">
      <c r="A22894" s="2">
        <v>22889</v>
      </c>
      <c r="B22894" s="3" t="str">
        <f>"01062003"</f>
        <v>01062003</v>
      </c>
    </row>
    <row r="22895" spans="1:2" x14ac:dyDescent="0.25">
      <c r="A22895" s="2">
        <v>22890</v>
      </c>
      <c r="B22895" s="3" t="str">
        <f>"01062005"</f>
        <v>01062005</v>
      </c>
    </row>
    <row r="22896" spans="1:2" x14ac:dyDescent="0.25">
      <c r="A22896" s="2">
        <v>22891</v>
      </c>
      <c r="B22896" s="3" t="str">
        <f>"01062008"</f>
        <v>01062008</v>
      </c>
    </row>
    <row r="22897" spans="1:2" x14ac:dyDescent="0.25">
      <c r="A22897" s="2">
        <v>22892</v>
      </c>
      <c r="B22897" s="3" t="str">
        <f>"01062011"</f>
        <v>01062011</v>
      </c>
    </row>
    <row r="22898" spans="1:2" x14ac:dyDescent="0.25">
      <c r="A22898" s="2">
        <v>22893</v>
      </c>
      <c r="B22898" s="3" t="str">
        <f>"01062020"</f>
        <v>01062020</v>
      </c>
    </row>
    <row r="22899" spans="1:2" x14ac:dyDescent="0.25">
      <c r="A22899" s="2">
        <v>22894</v>
      </c>
      <c r="B22899" s="3" t="str">
        <f>"01062021"</f>
        <v>01062021</v>
      </c>
    </row>
    <row r="22900" spans="1:2" x14ac:dyDescent="0.25">
      <c r="A22900" s="2">
        <v>22895</v>
      </c>
      <c r="B22900" s="3" t="str">
        <f>"01062023"</f>
        <v>01062023</v>
      </c>
    </row>
    <row r="22901" spans="1:2" x14ac:dyDescent="0.25">
      <c r="A22901" s="2">
        <v>22896</v>
      </c>
      <c r="B22901" s="3" t="str">
        <f>"01062024"</f>
        <v>01062024</v>
      </c>
    </row>
    <row r="22902" spans="1:2" x14ac:dyDescent="0.25">
      <c r="A22902" s="2">
        <v>22897</v>
      </c>
      <c r="B22902" s="3" t="str">
        <f>"01062029"</f>
        <v>01062029</v>
      </c>
    </row>
    <row r="22903" spans="1:2" x14ac:dyDescent="0.25">
      <c r="A22903" s="2">
        <v>22898</v>
      </c>
      <c r="B22903" s="3" t="str">
        <f>"01062038"</f>
        <v>01062038</v>
      </c>
    </row>
    <row r="22904" spans="1:2" x14ac:dyDescent="0.25">
      <c r="A22904" s="2">
        <v>22899</v>
      </c>
      <c r="B22904" s="3" t="str">
        <f>"01062045"</f>
        <v>01062045</v>
      </c>
    </row>
    <row r="22905" spans="1:2" x14ac:dyDescent="0.25">
      <c r="A22905" s="2">
        <v>22900</v>
      </c>
      <c r="B22905" s="3" t="str">
        <f>"01062056"</f>
        <v>01062056</v>
      </c>
    </row>
    <row r="22906" spans="1:2" x14ac:dyDescent="0.25">
      <c r="A22906" s="2">
        <v>22901</v>
      </c>
      <c r="B22906" s="3" t="str">
        <f>"01062059"</f>
        <v>01062059</v>
      </c>
    </row>
    <row r="22907" spans="1:2" x14ac:dyDescent="0.25">
      <c r="A22907" s="2">
        <v>22902</v>
      </c>
      <c r="B22907" s="3" t="str">
        <f>"01062066"</f>
        <v>01062066</v>
      </c>
    </row>
    <row r="22908" spans="1:2" x14ac:dyDescent="0.25">
      <c r="A22908" s="2">
        <v>22903</v>
      </c>
      <c r="B22908" s="3" t="str">
        <f>"01062070"</f>
        <v>01062070</v>
      </c>
    </row>
    <row r="22909" spans="1:2" x14ac:dyDescent="0.25">
      <c r="A22909" s="2">
        <v>22904</v>
      </c>
      <c r="B22909" s="3" t="str">
        <f>"01062076"</f>
        <v>01062076</v>
      </c>
    </row>
    <row r="22910" spans="1:2" x14ac:dyDescent="0.25">
      <c r="A22910" s="2">
        <v>22905</v>
      </c>
      <c r="B22910" s="3" t="str">
        <f>"01062083"</f>
        <v>01062083</v>
      </c>
    </row>
    <row r="22911" spans="1:2" x14ac:dyDescent="0.25">
      <c r="A22911" s="2">
        <v>22906</v>
      </c>
      <c r="B22911" s="3" t="str">
        <f>"01062086"</f>
        <v>01062086</v>
      </c>
    </row>
    <row r="22912" spans="1:2" x14ac:dyDescent="0.25">
      <c r="A22912" s="2">
        <v>22907</v>
      </c>
      <c r="B22912" s="3" t="str">
        <f>"01062096"</f>
        <v>01062096</v>
      </c>
    </row>
    <row r="22913" spans="1:2" x14ac:dyDescent="0.25">
      <c r="A22913" s="2">
        <v>22908</v>
      </c>
      <c r="B22913" s="3" t="str">
        <f>"01062101"</f>
        <v>01062101</v>
      </c>
    </row>
    <row r="22914" spans="1:2" x14ac:dyDescent="0.25">
      <c r="A22914" s="2">
        <v>22909</v>
      </c>
      <c r="B22914" s="3" t="str">
        <f>"01062104"</f>
        <v>01062104</v>
      </c>
    </row>
    <row r="22915" spans="1:2" x14ac:dyDescent="0.25">
      <c r="A22915" s="2">
        <v>22910</v>
      </c>
      <c r="B22915" s="3" t="str">
        <f>"01062112"</f>
        <v>01062112</v>
      </c>
    </row>
    <row r="22916" spans="1:2" x14ac:dyDescent="0.25">
      <c r="A22916" s="2">
        <v>22911</v>
      </c>
      <c r="B22916" s="3" t="str">
        <f>"01062115"</f>
        <v>01062115</v>
      </c>
    </row>
    <row r="22917" spans="1:2" x14ac:dyDescent="0.25">
      <c r="A22917" s="2">
        <v>22912</v>
      </c>
      <c r="B22917" s="3" t="str">
        <f>"01062116"</f>
        <v>01062116</v>
      </c>
    </row>
    <row r="22918" spans="1:2" x14ac:dyDescent="0.25">
      <c r="A22918" s="2">
        <v>22913</v>
      </c>
      <c r="B22918" s="3" t="str">
        <f>"01062129"</f>
        <v>01062129</v>
      </c>
    </row>
    <row r="22919" spans="1:2" x14ac:dyDescent="0.25">
      <c r="A22919" s="2">
        <v>22914</v>
      </c>
      <c r="B22919" s="3" t="str">
        <f>"01062130"</f>
        <v>01062130</v>
      </c>
    </row>
    <row r="22920" spans="1:2" x14ac:dyDescent="0.25">
      <c r="A22920" s="2">
        <v>22915</v>
      </c>
      <c r="B22920" s="3" t="str">
        <f>"01062133"</f>
        <v>01062133</v>
      </c>
    </row>
    <row r="22921" spans="1:2" x14ac:dyDescent="0.25">
      <c r="A22921" s="2">
        <v>22916</v>
      </c>
      <c r="B22921" s="3" t="str">
        <f>"01062149"</f>
        <v>01062149</v>
      </c>
    </row>
    <row r="22922" spans="1:2" x14ac:dyDescent="0.25">
      <c r="A22922" s="2">
        <v>22917</v>
      </c>
      <c r="B22922" s="3" t="str">
        <f>"01062152"</f>
        <v>01062152</v>
      </c>
    </row>
    <row r="22923" spans="1:2" x14ac:dyDescent="0.25">
      <c r="A22923" s="2">
        <v>22918</v>
      </c>
      <c r="B22923" s="3" t="str">
        <f>"01062157"</f>
        <v>01062157</v>
      </c>
    </row>
    <row r="22924" spans="1:2" x14ac:dyDescent="0.25">
      <c r="A22924" s="2">
        <v>22919</v>
      </c>
      <c r="B22924" s="3" t="str">
        <f>"01062158"</f>
        <v>01062158</v>
      </c>
    </row>
    <row r="22925" spans="1:2" x14ac:dyDescent="0.25">
      <c r="A22925" s="2">
        <v>22920</v>
      </c>
      <c r="B22925" s="3" t="str">
        <f>"01062161"</f>
        <v>01062161</v>
      </c>
    </row>
    <row r="22926" spans="1:2" x14ac:dyDescent="0.25">
      <c r="A22926" s="2">
        <v>22921</v>
      </c>
      <c r="B22926" s="3" t="str">
        <f>"01062162"</f>
        <v>01062162</v>
      </c>
    </row>
    <row r="22927" spans="1:2" x14ac:dyDescent="0.25">
      <c r="A22927" s="2">
        <v>22922</v>
      </c>
      <c r="B22927" s="3" t="str">
        <f>"01062170"</f>
        <v>01062170</v>
      </c>
    </row>
    <row r="22928" spans="1:2" x14ac:dyDescent="0.25">
      <c r="A22928" s="2">
        <v>22923</v>
      </c>
      <c r="B22928" s="3" t="str">
        <f>"01062173"</f>
        <v>01062173</v>
      </c>
    </row>
    <row r="22929" spans="1:2" x14ac:dyDescent="0.25">
      <c r="A22929" s="2">
        <v>22924</v>
      </c>
      <c r="B22929" s="3" t="str">
        <f>"01062179"</f>
        <v>01062179</v>
      </c>
    </row>
    <row r="22930" spans="1:2" x14ac:dyDescent="0.25">
      <c r="A22930" s="2">
        <v>22925</v>
      </c>
      <c r="B22930" s="3" t="str">
        <f>"01062190"</f>
        <v>01062190</v>
      </c>
    </row>
    <row r="22931" spans="1:2" x14ac:dyDescent="0.25">
      <c r="A22931" s="2">
        <v>22926</v>
      </c>
      <c r="B22931" s="3" t="str">
        <f>"01062192"</f>
        <v>01062192</v>
      </c>
    </row>
    <row r="22932" spans="1:2" x14ac:dyDescent="0.25">
      <c r="A22932" s="2">
        <v>22927</v>
      </c>
      <c r="B22932" s="3" t="str">
        <f>"01062195"</f>
        <v>01062195</v>
      </c>
    </row>
    <row r="22933" spans="1:2" x14ac:dyDescent="0.25">
      <c r="A22933" s="2">
        <v>22928</v>
      </c>
      <c r="B22933" s="3" t="str">
        <f>"01062211"</f>
        <v>01062211</v>
      </c>
    </row>
    <row r="22934" spans="1:2" x14ac:dyDescent="0.25">
      <c r="A22934" s="2">
        <v>22929</v>
      </c>
      <c r="B22934" s="3" t="str">
        <f>"01062216"</f>
        <v>01062216</v>
      </c>
    </row>
    <row r="22935" spans="1:2" x14ac:dyDescent="0.25">
      <c r="A22935" s="2">
        <v>22930</v>
      </c>
      <c r="B22935" s="3" t="str">
        <f>"01062221"</f>
        <v>01062221</v>
      </c>
    </row>
    <row r="22936" spans="1:2" x14ac:dyDescent="0.25">
      <c r="A22936" s="2">
        <v>22931</v>
      </c>
      <c r="B22936" s="3" t="str">
        <f>"01062223"</f>
        <v>01062223</v>
      </c>
    </row>
    <row r="22937" spans="1:2" x14ac:dyDescent="0.25">
      <c r="A22937" s="2">
        <v>22932</v>
      </c>
      <c r="B22937" s="3" t="str">
        <f>"01062227"</f>
        <v>01062227</v>
      </c>
    </row>
    <row r="22938" spans="1:2" x14ac:dyDescent="0.25">
      <c r="A22938" s="2">
        <v>22933</v>
      </c>
      <c r="B22938" s="3" t="str">
        <f>"01062231"</f>
        <v>01062231</v>
      </c>
    </row>
    <row r="22939" spans="1:2" x14ac:dyDescent="0.25">
      <c r="A22939" s="2">
        <v>22934</v>
      </c>
      <c r="B22939" s="3" t="str">
        <f>"01062241"</f>
        <v>01062241</v>
      </c>
    </row>
    <row r="22940" spans="1:2" x14ac:dyDescent="0.25">
      <c r="A22940" s="2">
        <v>22935</v>
      </c>
      <c r="B22940" s="3" t="str">
        <f>"01062242"</f>
        <v>01062242</v>
      </c>
    </row>
    <row r="22941" spans="1:2" x14ac:dyDescent="0.25">
      <c r="A22941" s="2">
        <v>22936</v>
      </c>
      <c r="B22941" s="3" t="str">
        <f>"01062248"</f>
        <v>01062248</v>
      </c>
    </row>
    <row r="22942" spans="1:2" x14ac:dyDescent="0.25">
      <c r="A22942" s="2">
        <v>22937</v>
      </c>
      <c r="B22942" s="3" t="str">
        <f>"01062253"</f>
        <v>01062253</v>
      </c>
    </row>
    <row r="22943" spans="1:2" x14ac:dyDescent="0.25">
      <c r="A22943" s="2">
        <v>22938</v>
      </c>
      <c r="B22943" s="3" t="str">
        <f>"01062283"</f>
        <v>01062283</v>
      </c>
    </row>
    <row r="22944" spans="1:2" x14ac:dyDescent="0.25">
      <c r="A22944" s="2">
        <v>22939</v>
      </c>
      <c r="B22944" s="3" t="str">
        <f>"01062298"</f>
        <v>01062298</v>
      </c>
    </row>
    <row r="22945" spans="1:2" x14ac:dyDescent="0.25">
      <c r="A22945" s="2">
        <v>22940</v>
      </c>
      <c r="B22945" s="3" t="str">
        <f>"01062299"</f>
        <v>01062299</v>
      </c>
    </row>
    <row r="22946" spans="1:2" x14ac:dyDescent="0.25">
      <c r="A22946" s="2">
        <v>22941</v>
      </c>
      <c r="B22946" s="3" t="str">
        <f>"01062302"</f>
        <v>01062302</v>
      </c>
    </row>
    <row r="22947" spans="1:2" x14ac:dyDescent="0.25">
      <c r="A22947" s="2">
        <v>22942</v>
      </c>
      <c r="B22947" s="3" t="str">
        <f>"01062311"</f>
        <v>01062311</v>
      </c>
    </row>
    <row r="22948" spans="1:2" x14ac:dyDescent="0.25">
      <c r="A22948" s="2">
        <v>22943</v>
      </c>
      <c r="B22948" s="3" t="str">
        <f>"01062333"</f>
        <v>01062333</v>
      </c>
    </row>
    <row r="22949" spans="1:2" x14ac:dyDescent="0.25">
      <c r="A22949" s="2">
        <v>22944</v>
      </c>
      <c r="B22949" s="3" t="str">
        <f>"01062343"</f>
        <v>01062343</v>
      </c>
    </row>
    <row r="22950" spans="1:2" x14ac:dyDescent="0.25">
      <c r="A22950" s="2">
        <v>22945</v>
      </c>
      <c r="B22950" s="3" t="str">
        <f>"01062369"</f>
        <v>01062369</v>
      </c>
    </row>
    <row r="22951" spans="1:2" x14ac:dyDescent="0.25">
      <c r="A22951" s="2">
        <v>22946</v>
      </c>
      <c r="B22951" s="3" t="str">
        <f>"01062373"</f>
        <v>01062373</v>
      </c>
    </row>
    <row r="22952" spans="1:2" x14ac:dyDescent="0.25">
      <c r="A22952" s="2">
        <v>22947</v>
      </c>
      <c r="B22952" s="3" t="str">
        <f>"01062389"</f>
        <v>01062389</v>
      </c>
    </row>
    <row r="22953" spans="1:2" x14ac:dyDescent="0.25">
      <c r="A22953" s="2">
        <v>22948</v>
      </c>
      <c r="B22953" s="3" t="str">
        <f>"01062391"</f>
        <v>01062391</v>
      </c>
    </row>
    <row r="22954" spans="1:2" x14ac:dyDescent="0.25">
      <c r="A22954" s="2">
        <v>22949</v>
      </c>
      <c r="B22954" s="3" t="str">
        <f>"01062395"</f>
        <v>01062395</v>
      </c>
    </row>
    <row r="22955" spans="1:2" x14ac:dyDescent="0.25">
      <c r="A22955" s="2">
        <v>22950</v>
      </c>
      <c r="B22955" s="3" t="str">
        <f>"01062412"</f>
        <v>01062412</v>
      </c>
    </row>
    <row r="22956" spans="1:2" x14ac:dyDescent="0.25">
      <c r="A22956" s="2">
        <v>22951</v>
      </c>
      <c r="B22956" s="3" t="str">
        <f>"01062440"</f>
        <v>01062440</v>
      </c>
    </row>
    <row r="22957" spans="1:2" x14ac:dyDescent="0.25">
      <c r="A22957" s="2">
        <v>22952</v>
      </c>
      <c r="B22957" s="3" t="str">
        <f>"01062448"</f>
        <v>01062448</v>
      </c>
    </row>
    <row r="22958" spans="1:2" x14ac:dyDescent="0.25">
      <c r="A22958" s="2">
        <v>22953</v>
      </c>
      <c r="B22958" s="3" t="str">
        <f>"01062449"</f>
        <v>01062449</v>
      </c>
    </row>
    <row r="22959" spans="1:2" x14ac:dyDescent="0.25">
      <c r="A22959" s="2">
        <v>22954</v>
      </c>
      <c r="B22959" s="3" t="str">
        <f>"01062455"</f>
        <v>01062455</v>
      </c>
    </row>
    <row r="22960" spans="1:2" x14ac:dyDescent="0.25">
      <c r="A22960" s="2">
        <v>22955</v>
      </c>
      <c r="B22960" s="3" t="str">
        <f>"01062472"</f>
        <v>01062472</v>
      </c>
    </row>
    <row r="22961" spans="1:2" x14ac:dyDescent="0.25">
      <c r="A22961" s="2">
        <v>22956</v>
      </c>
      <c r="B22961" s="3" t="str">
        <f>"01062475"</f>
        <v>01062475</v>
      </c>
    </row>
    <row r="22962" spans="1:2" x14ac:dyDescent="0.25">
      <c r="A22962" s="2">
        <v>22957</v>
      </c>
      <c r="B22962" s="3" t="str">
        <f>"01062478"</f>
        <v>01062478</v>
      </c>
    </row>
    <row r="22963" spans="1:2" x14ac:dyDescent="0.25">
      <c r="A22963" s="2">
        <v>22958</v>
      </c>
      <c r="B22963" s="3" t="str">
        <f>"01062490"</f>
        <v>01062490</v>
      </c>
    </row>
    <row r="22964" spans="1:2" x14ac:dyDescent="0.25">
      <c r="A22964" s="2">
        <v>22959</v>
      </c>
      <c r="B22964" s="3" t="str">
        <f>"01062492"</f>
        <v>01062492</v>
      </c>
    </row>
    <row r="22965" spans="1:2" x14ac:dyDescent="0.25">
      <c r="A22965" s="2">
        <v>22960</v>
      </c>
      <c r="B22965" s="3" t="str">
        <f>"01062496"</f>
        <v>01062496</v>
      </c>
    </row>
    <row r="22966" spans="1:2" x14ac:dyDescent="0.25">
      <c r="A22966" s="2">
        <v>22961</v>
      </c>
      <c r="B22966" s="3" t="str">
        <f>"01062508"</f>
        <v>01062508</v>
      </c>
    </row>
    <row r="22967" spans="1:2" x14ac:dyDescent="0.25">
      <c r="A22967" s="2">
        <v>22962</v>
      </c>
      <c r="B22967" s="3" t="str">
        <f>"01062509"</f>
        <v>01062509</v>
      </c>
    </row>
    <row r="22968" spans="1:2" x14ac:dyDescent="0.25">
      <c r="A22968" s="2">
        <v>22963</v>
      </c>
      <c r="B22968" s="3" t="str">
        <f>"01062519"</f>
        <v>01062519</v>
      </c>
    </row>
    <row r="22969" spans="1:2" x14ac:dyDescent="0.25">
      <c r="A22969" s="2">
        <v>22964</v>
      </c>
      <c r="B22969" s="3" t="str">
        <f>"01062525"</f>
        <v>01062525</v>
      </c>
    </row>
    <row r="22970" spans="1:2" x14ac:dyDescent="0.25">
      <c r="A22970" s="2">
        <v>22965</v>
      </c>
      <c r="B22970" s="3" t="str">
        <f>"01062534"</f>
        <v>01062534</v>
      </c>
    </row>
    <row r="22971" spans="1:2" x14ac:dyDescent="0.25">
      <c r="A22971" s="2">
        <v>22966</v>
      </c>
      <c r="B22971" s="3" t="str">
        <f>"01062540"</f>
        <v>01062540</v>
      </c>
    </row>
    <row r="22972" spans="1:2" x14ac:dyDescent="0.25">
      <c r="A22972" s="2">
        <v>22967</v>
      </c>
      <c r="B22972" s="3" t="str">
        <f>"01062555"</f>
        <v>01062555</v>
      </c>
    </row>
    <row r="22973" spans="1:2" x14ac:dyDescent="0.25">
      <c r="A22973" s="2">
        <v>22968</v>
      </c>
      <c r="B22973" s="3" t="str">
        <f>"01062576"</f>
        <v>01062576</v>
      </c>
    </row>
    <row r="22974" spans="1:2" x14ac:dyDescent="0.25">
      <c r="A22974" s="2">
        <v>22969</v>
      </c>
      <c r="B22974" s="3" t="str">
        <f>"01062580"</f>
        <v>01062580</v>
      </c>
    </row>
    <row r="22975" spans="1:2" x14ac:dyDescent="0.25">
      <c r="A22975" s="2">
        <v>22970</v>
      </c>
      <c r="B22975" s="3" t="str">
        <f>"01062581"</f>
        <v>01062581</v>
      </c>
    </row>
    <row r="22976" spans="1:2" x14ac:dyDescent="0.25">
      <c r="A22976" s="2">
        <v>22971</v>
      </c>
      <c r="B22976" s="3" t="str">
        <f>"01062604"</f>
        <v>01062604</v>
      </c>
    </row>
    <row r="22977" spans="1:2" x14ac:dyDescent="0.25">
      <c r="A22977" s="2">
        <v>22972</v>
      </c>
      <c r="B22977" s="3" t="str">
        <f>"01062612"</f>
        <v>01062612</v>
      </c>
    </row>
    <row r="22978" spans="1:2" x14ac:dyDescent="0.25">
      <c r="A22978" s="2">
        <v>22973</v>
      </c>
      <c r="B22978" s="3" t="str">
        <f>"01062621"</f>
        <v>01062621</v>
      </c>
    </row>
    <row r="22979" spans="1:2" x14ac:dyDescent="0.25">
      <c r="A22979" s="2">
        <v>22974</v>
      </c>
      <c r="B22979" s="3" t="str">
        <f>"01062636"</f>
        <v>01062636</v>
      </c>
    </row>
    <row r="22980" spans="1:2" x14ac:dyDescent="0.25">
      <c r="A22980" s="2">
        <v>22975</v>
      </c>
      <c r="B22980" s="3" t="str">
        <f>"01062643"</f>
        <v>01062643</v>
      </c>
    </row>
    <row r="22981" spans="1:2" x14ac:dyDescent="0.25">
      <c r="A22981" s="2">
        <v>22976</v>
      </c>
      <c r="B22981" s="3" t="str">
        <f>"01062653"</f>
        <v>01062653</v>
      </c>
    </row>
    <row r="22982" spans="1:2" x14ac:dyDescent="0.25">
      <c r="A22982" s="2">
        <v>22977</v>
      </c>
      <c r="B22982" s="3" t="str">
        <f>"01062654"</f>
        <v>01062654</v>
      </c>
    </row>
    <row r="22983" spans="1:2" x14ac:dyDescent="0.25">
      <c r="A22983" s="2">
        <v>22978</v>
      </c>
      <c r="B22983" s="3" t="str">
        <f>"01062660"</f>
        <v>01062660</v>
      </c>
    </row>
    <row r="22984" spans="1:2" x14ac:dyDescent="0.25">
      <c r="A22984" s="2">
        <v>22979</v>
      </c>
      <c r="B22984" s="3" t="str">
        <f>"01062662"</f>
        <v>01062662</v>
      </c>
    </row>
    <row r="22985" spans="1:2" x14ac:dyDescent="0.25">
      <c r="A22985" s="2">
        <v>22980</v>
      </c>
      <c r="B22985" s="3" t="str">
        <f>"01062663"</f>
        <v>01062663</v>
      </c>
    </row>
    <row r="22986" spans="1:2" x14ac:dyDescent="0.25">
      <c r="A22986" s="2">
        <v>22981</v>
      </c>
      <c r="B22986" s="3" t="str">
        <f>"01062664"</f>
        <v>01062664</v>
      </c>
    </row>
    <row r="22987" spans="1:2" x14ac:dyDescent="0.25">
      <c r="A22987" s="2">
        <v>22982</v>
      </c>
      <c r="B22987" s="3" t="str">
        <f>"01062666"</f>
        <v>01062666</v>
      </c>
    </row>
    <row r="22988" spans="1:2" x14ac:dyDescent="0.25">
      <c r="A22988" s="2">
        <v>22983</v>
      </c>
      <c r="B22988" s="3" t="str">
        <f>"01062668"</f>
        <v>01062668</v>
      </c>
    </row>
    <row r="22989" spans="1:2" x14ac:dyDescent="0.25">
      <c r="A22989" s="2">
        <v>22984</v>
      </c>
      <c r="B22989" s="3" t="str">
        <f>"01062671"</f>
        <v>01062671</v>
      </c>
    </row>
    <row r="22990" spans="1:2" x14ac:dyDescent="0.25">
      <c r="A22990" s="2">
        <v>22985</v>
      </c>
      <c r="B22990" s="3" t="str">
        <f>"01062674"</f>
        <v>01062674</v>
      </c>
    </row>
    <row r="22991" spans="1:2" x14ac:dyDescent="0.25">
      <c r="A22991" s="2">
        <v>22986</v>
      </c>
      <c r="B22991" s="3" t="str">
        <f>"01062677"</f>
        <v>01062677</v>
      </c>
    </row>
    <row r="22992" spans="1:2" x14ac:dyDescent="0.25">
      <c r="A22992" s="2">
        <v>22987</v>
      </c>
      <c r="B22992" s="3" t="str">
        <f>"01062684"</f>
        <v>01062684</v>
      </c>
    </row>
    <row r="22993" spans="1:2" x14ac:dyDescent="0.25">
      <c r="A22993" s="2">
        <v>22988</v>
      </c>
      <c r="B22993" s="3" t="str">
        <f>"01062690"</f>
        <v>01062690</v>
      </c>
    </row>
    <row r="22994" spans="1:2" x14ac:dyDescent="0.25">
      <c r="A22994" s="2">
        <v>22989</v>
      </c>
      <c r="B22994" s="3" t="str">
        <f>"01062711"</f>
        <v>01062711</v>
      </c>
    </row>
    <row r="22995" spans="1:2" x14ac:dyDescent="0.25">
      <c r="A22995" s="2">
        <v>22990</v>
      </c>
      <c r="B22995" s="3" t="str">
        <f>"01062713"</f>
        <v>01062713</v>
      </c>
    </row>
    <row r="22996" spans="1:2" x14ac:dyDescent="0.25">
      <c r="A22996" s="2">
        <v>22991</v>
      </c>
      <c r="B22996" s="3" t="str">
        <f>"01062714"</f>
        <v>01062714</v>
      </c>
    </row>
    <row r="22997" spans="1:2" x14ac:dyDescent="0.25">
      <c r="A22997" s="2">
        <v>22992</v>
      </c>
      <c r="B22997" s="3" t="str">
        <f>"01062731"</f>
        <v>01062731</v>
      </c>
    </row>
    <row r="22998" spans="1:2" x14ac:dyDescent="0.25">
      <c r="A22998" s="2">
        <v>22993</v>
      </c>
      <c r="B22998" s="3" t="str">
        <f>"01062732"</f>
        <v>01062732</v>
      </c>
    </row>
    <row r="22999" spans="1:2" x14ac:dyDescent="0.25">
      <c r="A22999" s="2">
        <v>22994</v>
      </c>
      <c r="B22999" s="3" t="str">
        <f>"01062742"</f>
        <v>01062742</v>
      </c>
    </row>
    <row r="23000" spans="1:2" x14ac:dyDescent="0.25">
      <c r="A23000" s="2">
        <v>22995</v>
      </c>
      <c r="B23000" s="3" t="str">
        <f>"01062750"</f>
        <v>01062750</v>
      </c>
    </row>
    <row r="23001" spans="1:2" x14ac:dyDescent="0.25">
      <c r="A23001" s="2">
        <v>22996</v>
      </c>
      <c r="B23001" s="3" t="str">
        <f>"01062756"</f>
        <v>01062756</v>
      </c>
    </row>
    <row r="23002" spans="1:2" x14ac:dyDescent="0.25">
      <c r="A23002" s="2">
        <v>22997</v>
      </c>
      <c r="B23002" s="3" t="str">
        <f>"01062757"</f>
        <v>01062757</v>
      </c>
    </row>
    <row r="23003" spans="1:2" x14ac:dyDescent="0.25">
      <c r="A23003" s="2">
        <v>22998</v>
      </c>
      <c r="B23003" s="3" t="str">
        <f>"01062759"</f>
        <v>01062759</v>
      </c>
    </row>
    <row r="23004" spans="1:2" x14ac:dyDescent="0.25">
      <c r="A23004" s="2">
        <v>22999</v>
      </c>
      <c r="B23004" s="3" t="str">
        <f>"01062770"</f>
        <v>01062770</v>
      </c>
    </row>
    <row r="23005" spans="1:2" x14ac:dyDescent="0.25">
      <c r="A23005" s="2">
        <v>23000</v>
      </c>
      <c r="B23005" s="3" t="str">
        <f>"01062775"</f>
        <v>01062775</v>
      </c>
    </row>
    <row r="23006" spans="1:2" x14ac:dyDescent="0.25">
      <c r="A23006" s="2">
        <v>23001</v>
      </c>
      <c r="B23006" s="3" t="str">
        <f>"01062792"</f>
        <v>01062792</v>
      </c>
    </row>
    <row r="23007" spans="1:2" x14ac:dyDescent="0.25">
      <c r="A23007" s="2">
        <v>23002</v>
      </c>
      <c r="B23007" s="3" t="str">
        <f>"01062797"</f>
        <v>01062797</v>
      </c>
    </row>
    <row r="23008" spans="1:2" x14ac:dyDescent="0.25">
      <c r="A23008" s="2">
        <v>23003</v>
      </c>
      <c r="B23008" s="3" t="str">
        <f>"01062799"</f>
        <v>01062799</v>
      </c>
    </row>
    <row r="23009" spans="1:2" x14ac:dyDescent="0.25">
      <c r="A23009" s="2">
        <v>23004</v>
      </c>
      <c r="B23009" s="3" t="str">
        <f>"01062804"</f>
        <v>01062804</v>
      </c>
    </row>
    <row r="23010" spans="1:2" x14ac:dyDescent="0.25">
      <c r="A23010" s="2">
        <v>23005</v>
      </c>
      <c r="B23010" s="3" t="str">
        <f>"01062813"</f>
        <v>01062813</v>
      </c>
    </row>
    <row r="23011" spans="1:2" x14ac:dyDescent="0.25">
      <c r="A23011" s="2">
        <v>23006</v>
      </c>
      <c r="B23011" s="3" t="str">
        <f>"01062816"</f>
        <v>01062816</v>
      </c>
    </row>
    <row r="23012" spans="1:2" x14ac:dyDescent="0.25">
      <c r="A23012" s="2">
        <v>23007</v>
      </c>
      <c r="B23012" s="3" t="str">
        <f>"01062817"</f>
        <v>01062817</v>
      </c>
    </row>
    <row r="23013" spans="1:2" x14ac:dyDescent="0.25">
      <c r="A23013" s="2">
        <v>23008</v>
      </c>
      <c r="B23013" s="3" t="str">
        <f>"01062819"</f>
        <v>01062819</v>
      </c>
    </row>
    <row r="23014" spans="1:2" x14ac:dyDescent="0.25">
      <c r="A23014" s="2">
        <v>23009</v>
      </c>
      <c r="B23014" s="3" t="str">
        <f>"01062832"</f>
        <v>01062832</v>
      </c>
    </row>
    <row r="23015" spans="1:2" x14ac:dyDescent="0.25">
      <c r="A23015" s="2">
        <v>23010</v>
      </c>
      <c r="B23015" s="3" t="str">
        <f>"01062839"</f>
        <v>01062839</v>
      </c>
    </row>
    <row r="23016" spans="1:2" x14ac:dyDescent="0.25">
      <c r="A23016" s="2">
        <v>23011</v>
      </c>
      <c r="B23016" s="3" t="str">
        <f>"01062852"</f>
        <v>01062852</v>
      </c>
    </row>
    <row r="23017" spans="1:2" x14ac:dyDescent="0.25">
      <c r="A23017" s="2">
        <v>23012</v>
      </c>
      <c r="B23017" s="3" t="str">
        <f>"01062854"</f>
        <v>01062854</v>
      </c>
    </row>
    <row r="23018" spans="1:2" x14ac:dyDescent="0.25">
      <c r="A23018" s="2">
        <v>23013</v>
      </c>
      <c r="B23018" s="3" t="str">
        <f>"01062856"</f>
        <v>01062856</v>
      </c>
    </row>
    <row r="23019" spans="1:2" x14ac:dyDescent="0.25">
      <c r="A23019" s="2">
        <v>23014</v>
      </c>
      <c r="B23019" s="3" t="str">
        <f>"01062868"</f>
        <v>01062868</v>
      </c>
    </row>
    <row r="23020" spans="1:2" x14ac:dyDescent="0.25">
      <c r="A23020" s="2">
        <v>23015</v>
      </c>
      <c r="B23020" s="3" t="str">
        <f>"01062871"</f>
        <v>01062871</v>
      </c>
    </row>
    <row r="23021" spans="1:2" x14ac:dyDescent="0.25">
      <c r="A23021" s="2">
        <v>23016</v>
      </c>
      <c r="B23021" s="3" t="str">
        <f>"01062872"</f>
        <v>01062872</v>
      </c>
    </row>
    <row r="23022" spans="1:2" x14ac:dyDescent="0.25">
      <c r="A23022" s="2">
        <v>23017</v>
      </c>
      <c r="B23022" s="3" t="str">
        <f>"01062876"</f>
        <v>01062876</v>
      </c>
    </row>
    <row r="23023" spans="1:2" x14ac:dyDescent="0.25">
      <c r="A23023" s="2">
        <v>23018</v>
      </c>
      <c r="B23023" s="3" t="str">
        <f>"01062878"</f>
        <v>01062878</v>
      </c>
    </row>
    <row r="23024" spans="1:2" x14ac:dyDescent="0.25">
      <c r="A23024" s="2">
        <v>23019</v>
      </c>
      <c r="B23024" s="3" t="str">
        <f>"01062888"</f>
        <v>01062888</v>
      </c>
    </row>
    <row r="23025" spans="1:2" x14ac:dyDescent="0.25">
      <c r="A23025" s="2">
        <v>23020</v>
      </c>
      <c r="B23025" s="3" t="str">
        <f>"01062894"</f>
        <v>01062894</v>
      </c>
    </row>
    <row r="23026" spans="1:2" x14ac:dyDescent="0.25">
      <c r="A23026" s="2">
        <v>23021</v>
      </c>
      <c r="B23026" s="3" t="str">
        <f>"01062897"</f>
        <v>01062897</v>
      </c>
    </row>
    <row r="23027" spans="1:2" x14ac:dyDescent="0.25">
      <c r="A23027" s="2">
        <v>23022</v>
      </c>
      <c r="B23027" s="3" t="str">
        <f>"01062898"</f>
        <v>01062898</v>
      </c>
    </row>
    <row r="23028" spans="1:2" x14ac:dyDescent="0.25">
      <c r="A23028" s="2">
        <v>23023</v>
      </c>
      <c r="B23028" s="3" t="str">
        <f>"01062917"</f>
        <v>01062917</v>
      </c>
    </row>
    <row r="23029" spans="1:2" x14ac:dyDescent="0.25">
      <c r="A23029" s="2">
        <v>23024</v>
      </c>
      <c r="B23029" s="3" t="str">
        <f>"01062918"</f>
        <v>01062918</v>
      </c>
    </row>
    <row r="23030" spans="1:2" x14ac:dyDescent="0.25">
      <c r="A23030" s="2">
        <v>23025</v>
      </c>
      <c r="B23030" s="3" t="str">
        <f>"01062919"</f>
        <v>01062919</v>
      </c>
    </row>
    <row r="23031" spans="1:2" x14ac:dyDescent="0.25">
      <c r="A23031" s="2">
        <v>23026</v>
      </c>
      <c r="B23031" s="3" t="str">
        <f>"01062932"</f>
        <v>01062932</v>
      </c>
    </row>
    <row r="23032" spans="1:2" x14ac:dyDescent="0.25">
      <c r="A23032" s="2">
        <v>23027</v>
      </c>
      <c r="B23032" s="3" t="str">
        <f>"01062939"</f>
        <v>01062939</v>
      </c>
    </row>
    <row r="23033" spans="1:2" x14ac:dyDescent="0.25">
      <c r="A23033" s="2">
        <v>23028</v>
      </c>
      <c r="B23033" s="3" t="str">
        <f>"01062942"</f>
        <v>01062942</v>
      </c>
    </row>
    <row r="23034" spans="1:2" x14ac:dyDescent="0.25">
      <c r="A23034" s="2">
        <v>23029</v>
      </c>
      <c r="B23034" s="3" t="str">
        <f>"01062968"</f>
        <v>01062968</v>
      </c>
    </row>
    <row r="23035" spans="1:2" x14ac:dyDescent="0.25">
      <c r="A23035" s="2">
        <v>23030</v>
      </c>
      <c r="B23035" s="3" t="str">
        <f>"01062986"</f>
        <v>01062986</v>
      </c>
    </row>
    <row r="23036" spans="1:2" x14ac:dyDescent="0.25">
      <c r="A23036" s="2">
        <v>23031</v>
      </c>
      <c r="B23036" s="3" t="str">
        <f>"01062990"</f>
        <v>01062990</v>
      </c>
    </row>
    <row r="23037" spans="1:2" x14ac:dyDescent="0.25">
      <c r="A23037" s="2">
        <v>23032</v>
      </c>
      <c r="B23037" s="3" t="str">
        <f>"01062999"</f>
        <v>01062999</v>
      </c>
    </row>
    <row r="23038" spans="1:2" x14ac:dyDescent="0.25">
      <c r="A23038" s="2">
        <v>23033</v>
      </c>
      <c r="B23038" s="3" t="str">
        <f>"01063001"</f>
        <v>01063001</v>
      </c>
    </row>
    <row r="23039" spans="1:2" x14ac:dyDescent="0.25">
      <c r="A23039" s="2">
        <v>23034</v>
      </c>
      <c r="B23039" s="3" t="str">
        <f>"01063002"</f>
        <v>01063002</v>
      </c>
    </row>
    <row r="23040" spans="1:2" x14ac:dyDescent="0.25">
      <c r="A23040" s="2">
        <v>23035</v>
      </c>
      <c r="B23040" s="3" t="str">
        <f>"01063004"</f>
        <v>01063004</v>
      </c>
    </row>
    <row r="23041" spans="1:2" x14ac:dyDescent="0.25">
      <c r="A23041" s="2">
        <v>23036</v>
      </c>
      <c r="B23041" s="3" t="str">
        <f>"01063013"</f>
        <v>01063013</v>
      </c>
    </row>
    <row r="23042" spans="1:2" x14ac:dyDescent="0.25">
      <c r="A23042" s="2">
        <v>23037</v>
      </c>
      <c r="B23042" s="3" t="str">
        <f>"01063017"</f>
        <v>01063017</v>
      </c>
    </row>
    <row r="23043" spans="1:2" x14ac:dyDescent="0.25">
      <c r="A23043" s="2">
        <v>23038</v>
      </c>
      <c r="B23043" s="3" t="str">
        <f>"01063021"</f>
        <v>01063021</v>
      </c>
    </row>
    <row r="23044" spans="1:2" x14ac:dyDescent="0.25">
      <c r="A23044" s="2">
        <v>23039</v>
      </c>
      <c r="B23044" s="3" t="str">
        <f>"01063027"</f>
        <v>01063027</v>
      </c>
    </row>
    <row r="23045" spans="1:2" x14ac:dyDescent="0.25">
      <c r="A23045" s="2">
        <v>23040</v>
      </c>
      <c r="B23045" s="3" t="str">
        <f>"01063033"</f>
        <v>01063033</v>
      </c>
    </row>
    <row r="23046" spans="1:2" x14ac:dyDescent="0.25">
      <c r="A23046" s="2">
        <v>23041</v>
      </c>
      <c r="B23046" s="3" t="str">
        <f>"01063040"</f>
        <v>01063040</v>
      </c>
    </row>
    <row r="23047" spans="1:2" x14ac:dyDescent="0.25">
      <c r="A23047" s="2">
        <v>23042</v>
      </c>
      <c r="B23047" s="3" t="str">
        <f>"01063041"</f>
        <v>01063041</v>
      </c>
    </row>
    <row r="23048" spans="1:2" x14ac:dyDescent="0.25">
      <c r="A23048" s="2">
        <v>23043</v>
      </c>
      <c r="B23048" s="3" t="str">
        <f>"01063043"</f>
        <v>01063043</v>
      </c>
    </row>
    <row r="23049" spans="1:2" x14ac:dyDescent="0.25">
      <c r="A23049" s="2">
        <v>23044</v>
      </c>
      <c r="B23049" s="3" t="str">
        <f>"01063051"</f>
        <v>01063051</v>
      </c>
    </row>
    <row r="23050" spans="1:2" x14ac:dyDescent="0.25">
      <c r="A23050" s="2">
        <v>23045</v>
      </c>
      <c r="B23050" s="3" t="str">
        <f>"01063054"</f>
        <v>01063054</v>
      </c>
    </row>
    <row r="23051" spans="1:2" x14ac:dyDescent="0.25">
      <c r="A23051" s="2">
        <v>23046</v>
      </c>
      <c r="B23051" s="3" t="str">
        <f>"01063062"</f>
        <v>01063062</v>
      </c>
    </row>
    <row r="23052" spans="1:2" x14ac:dyDescent="0.25">
      <c r="A23052" s="2">
        <v>23047</v>
      </c>
      <c r="B23052" s="3" t="str">
        <f>"01063065"</f>
        <v>01063065</v>
      </c>
    </row>
    <row r="23053" spans="1:2" x14ac:dyDescent="0.25">
      <c r="A23053" s="2">
        <v>23048</v>
      </c>
      <c r="B23053" s="3" t="str">
        <f>"01063071"</f>
        <v>01063071</v>
      </c>
    </row>
    <row r="23054" spans="1:2" x14ac:dyDescent="0.25">
      <c r="A23054" s="2">
        <v>23049</v>
      </c>
      <c r="B23054" s="3" t="str">
        <f>"01063074"</f>
        <v>01063074</v>
      </c>
    </row>
    <row r="23055" spans="1:2" x14ac:dyDescent="0.25">
      <c r="A23055" s="2">
        <v>23050</v>
      </c>
      <c r="B23055" s="3" t="str">
        <f>"01063076"</f>
        <v>01063076</v>
      </c>
    </row>
    <row r="23056" spans="1:2" x14ac:dyDescent="0.25">
      <c r="A23056" s="2">
        <v>23051</v>
      </c>
      <c r="B23056" s="3" t="str">
        <f>"01063079"</f>
        <v>01063079</v>
      </c>
    </row>
    <row r="23057" spans="1:2" x14ac:dyDescent="0.25">
      <c r="A23057" s="2">
        <v>23052</v>
      </c>
      <c r="B23057" s="3" t="str">
        <f>"01063083"</f>
        <v>01063083</v>
      </c>
    </row>
    <row r="23058" spans="1:2" x14ac:dyDescent="0.25">
      <c r="A23058" s="2">
        <v>23053</v>
      </c>
      <c r="B23058" s="3" t="str">
        <f>"01063084"</f>
        <v>01063084</v>
      </c>
    </row>
    <row r="23059" spans="1:2" x14ac:dyDescent="0.25">
      <c r="A23059" s="2">
        <v>23054</v>
      </c>
      <c r="B23059" s="3" t="str">
        <f>"01063085"</f>
        <v>01063085</v>
      </c>
    </row>
    <row r="23060" spans="1:2" x14ac:dyDescent="0.25">
      <c r="A23060" s="2">
        <v>23055</v>
      </c>
      <c r="B23060" s="3" t="str">
        <f>"01063086"</f>
        <v>01063086</v>
      </c>
    </row>
    <row r="23061" spans="1:2" x14ac:dyDescent="0.25">
      <c r="A23061" s="2">
        <v>23056</v>
      </c>
      <c r="B23061" s="3" t="str">
        <f>"01063087"</f>
        <v>01063087</v>
      </c>
    </row>
    <row r="23062" spans="1:2" x14ac:dyDescent="0.25">
      <c r="A23062" s="2">
        <v>23057</v>
      </c>
      <c r="B23062" s="3" t="str">
        <f>"01063088"</f>
        <v>01063088</v>
      </c>
    </row>
    <row r="23063" spans="1:2" x14ac:dyDescent="0.25">
      <c r="A23063" s="2">
        <v>23058</v>
      </c>
      <c r="B23063" s="3" t="str">
        <f>"01063089"</f>
        <v>01063089</v>
      </c>
    </row>
    <row r="23064" spans="1:2" x14ac:dyDescent="0.25">
      <c r="A23064" s="2">
        <v>23059</v>
      </c>
      <c r="B23064" s="3" t="str">
        <f>"01063094"</f>
        <v>01063094</v>
      </c>
    </row>
    <row r="23065" spans="1:2" x14ac:dyDescent="0.25">
      <c r="A23065" s="2">
        <v>23060</v>
      </c>
      <c r="B23065" s="3" t="str">
        <f>"01063095"</f>
        <v>01063095</v>
      </c>
    </row>
    <row r="23066" spans="1:2" x14ac:dyDescent="0.25">
      <c r="A23066" s="2">
        <v>23061</v>
      </c>
      <c r="B23066" s="3" t="str">
        <f>"01063096"</f>
        <v>01063096</v>
      </c>
    </row>
    <row r="23067" spans="1:2" x14ac:dyDescent="0.25">
      <c r="A23067" s="2">
        <v>23062</v>
      </c>
      <c r="B23067" s="3" t="str">
        <f>"01063101"</f>
        <v>01063101</v>
      </c>
    </row>
    <row r="23068" spans="1:2" x14ac:dyDescent="0.25">
      <c r="A23068" s="2">
        <v>23063</v>
      </c>
      <c r="B23068" s="3" t="str">
        <f>"01063103"</f>
        <v>01063103</v>
      </c>
    </row>
    <row r="23069" spans="1:2" x14ac:dyDescent="0.25">
      <c r="A23069" s="2">
        <v>23064</v>
      </c>
      <c r="B23069" s="3" t="str">
        <f>"01063112"</f>
        <v>01063112</v>
      </c>
    </row>
    <row r="23070" spans="1:2" x14ac:dyDescent="0.25">
      <c r="A23070" s="2">
        <v>23065</v>
      </c>
      <c r="B23070" s="3" t="str">
        <f>"01063125"</f>
        <v>01063125</v>
      </c>
    </row>
    <row r="23071" spans="1:2" x14ac:dyDescent="0.25">
      <c r="A23071" s="2">
        <v>23066</v>
      </c>
      <c r="B23071" s="3" t="str">
        <f>"01063131"</f>
        <v>01063131</v>
      </c>
    </row>
    <row r="23072" spans="1:2" x14ac:dyDescent="0.25">
      <c r="A23072" s="2">
        <v>23067</v>
      </c>
      <c r="B23072" s="3" t="str">
        <f>"01063138"</f>
        <v>01063138</v>
      </c>
    </row>
    <row r="23073" spans="1:2" x14ac:dyDescent="0.25">
      <c r="A23073" s="2">
        <v>23068</v>
      </c>
      <c r="B23073" s="3" t="str">
        <f>"01063141"</f>
        <v>01063141</v>
      </c>
    </row>
    <row r="23074" spans="1:2" x14ac:dyDescent="0.25">
      <c r="A23074" s="2">
        <v>23069</v>
      </c>
      <c r="B23074" s="3" t="str">
        <f>"01063150"</f>
        <v>01063150</v>
      </c>
    </row>
    <row r="23075" spans="1:2" x14ac:dyDescent="0.25">
      <c r="A23075" s="2">
        <v>23070</v>
      </c>
      <c r="B23075" s="3" t="str">
        <f>"01063153"</f>
        <v>01063153</v>
      </c>
    </row>
    <row r="23076" spans="1:2" x14ac:dyDescent="0.25">
      <c r="A23076" s="2">
        <v>23071</v>
      </c>
      <c r="B23076" s="3" t="str">
        <f>"01063157"</f>
        <v>01063157</v>
      </c>
    </row>
    <row r="23077" spans="1:2" x14ac:dyDescent="0.25">
      <c r="A23077" s="2">
        <v>23072</v>
      </c>
      <c r="B23077" s="3" t="str">
        <f>"01063158"</f>
        <v>01063158</v>
      </c>
    </row>
    <row r="23078" spans="1:2" x14ac:dyDescent="0.25">
      <c r="A23078" s="2">
        <v>23073</v>
      </c>
      <c r="B23078" s="3" t="str">
        <f>"01063164"</f>
        <v>01063164</v>
      </c>
    </row>
    <row r="23079" spans="1:2" x14ac:dyDescent="0.25">
      <c r="A23079" s="2">
        <v>23074</v>
      </c>
      <c r="B23079" s="3" t="str">
        <f>"01063173"</f>
        <v>01063173</v>
      </c>
    </row>
    <row r="23080" spans="1:2" x14ac:dyDescent="0.25">
      <c r="A23080" s="2">
        <v>23075</v>
      </c>
      <c r="B23080" s="3" t="str">
        <f>"01063175"</f>
        <v>01063175</v>
      </c>
    </row>
    <row r="23081" spans="1:2" x14ac:dyDescent="0.25">
      <c r="A23081" s="2">
        <v>23076</v>
      </c>
      <c r="B23081" s="3" t="str">
        <f>"01063177"</f>
        <v>01063177</v>
      </c>
    </row>
    <row r="23082" spans="1:2" x14ac:dyDescent="0.25">
      <c r="A23082" s="2">
        <v>23077</v>
      </c>
      <c r="B23082" s="3" t="str">
        <f>"01063184"</f>
        <v>01063184</v>
      </c>
    </row>
    <row r="23083" spans="1:2" x14ac:dyDescent="0.25">
      <c r="A23083" s="2">
        <v>23078</v>
      </c>
      <c r="B23083" s="3" t="str">
        <f>"01063192"</f>
        <v>01063192</v>
      </c>
    </row>
    <row r="23084" spans="1:2" x14ac:dyDescent="0.25">
      <c r="A23084" s="2">
        <v>23079</v>
      </c>
      <c r="B23084" s="3" t="str">
        <f>"01063193"</f>
        <v>01063193</v>
      </c>
    </row>
    <row r="23085" spans="1:2" x14ac:dyDescent="0.25">
      <c r="A23085" s="2">
        <v>23080</v>
      </c>
      <c r="B23085" s="3" t="str">
        <f>"01063210"</f>
        <v>01063210</v>
      </c>
    </row>
    <row r="23086" spans="1:2" x14ac:dyDescent="0.25">
      <c r="A23086" s="2">
        <v>23081</v>
      </c>
      <c r="B23086" s="3" t="str">
        <f>"01063213"</f>
        <v>01063213</v>
      </c>
    </row>
    <row r="23087" spans="1:2" x14ac:dyDescent="0.25">
      <c r="A23087" s="2">
        <v>23082</v>
      </c>
      <c r="B23087" s="3" t="str">
        <f>"01063218"</f>
        <v>01063218</v>
      </c>
    </row>
    <row r="23088" spans="1:2" x14ac:dyDescent="0.25">
      <c r="A23088" s="2">
        <v>23083</v>
      </c>
      <c r="B23088" s="3" t="str">
        <f>"01063220"</f>
        <v>01063220</v>
      </c>
    </row>
    <row r="23089" spans="1:2" x14ac:dyDescent="0.25">
      <c r="A23089" s="2">
        <v>23084</v>
      </c>
      <c r="B23089" s="3" t="str">
        <f>"01063231"</f>
        <v>01063231</v>
      </c>
    </row>
    <row r="23090" spans="1:2" x14ac:dyDescent="0.25">
      <c r="A23090" s="2">
        <v>23085</v>
      </c>
      <c r="B23090" s="3" t="str">
        <f>"01063270"</f>
        <v>01063270</v>
      </c>
    </row>
    <row r="23091" spans="1:2" x14ac:dyDescent="0.25">
      <c r="A23091" s="2">
        <v>23086</v>
      </c>
      <c r="B23091" s="3" t="str">
        <f>"01063274"</f>
        <v>01063274</v>
      </c>
    </row>
    <row r="23092" spans="1:2" x14ac:dyDescent="0.25">
      <c r="A23092" s="2">
        <v>23087</v>
      </c>
      <c r="B23092" s="3" t="str">
        <f>"01063281"</f>
        <v>01063281</v>
      </c>
    </row>
    <row r="23093" spans="1:2" x14ac:dyDescent="0.25">
      <c r="A23093" s="2">
        <v>23088</v>
      </c>
      <c r="B23093" s="3" t="str">
        <f>"01063283"</f>
        <v>01063283</v>
      </c>
    </row>
    <row r="23094" spans="1:2" x14ac:dyDescent="0.25">
      <c r="A23094" s="2">
        <v>23089</v>
      </c>
      <c r="B23094" s="3" t="str">
        <f>"01063292"</f>
        <v>01063292</v>
      </c>
    </row>
    <row r="23095" spans="1:2" x14ac:dyDescent="0.25">
      <c r="A23095" s="2">
        <v>23090</v>
      </c>
      <c r="B23095" s="3" t="str">
        <f>"01063297"</f>
        <v>01063297</v>
      </c>
    </row>
    <row r="23096" spans="1:2" x14ac:dyDescent="0.25">
      <c r="A23096" s="2">
        <v>23091</v>
      </c>
      <c r="B23096" s="3" t="str">
        <f>"01063302"</f>
        <v>01063302</v>
      </c>
    </row>
    <row r="23097" spans="1:2" x14ac:dyDescent="0.25">
      <c r="A23097" s="2">
        <v>23092</v>
      </c>
      <c r="B23097" s="3" t="str">
        <f>"01063306"</f>
        <v>01063306</v>
      </c>
    </row>
    <row r="23098" spans="1:2" x14ac:dyDescent="0.25">
      <c r="A23098" s="2">
        <v>23093</v>
      </c>
      <c r="B23098" s="3" t="str">
        <f>"01063310"</f>
        <v>01063310</v>
      </c>
    </row>
    <row r="23099" spans="1:2" x14ac:dyDescent="0.25">
      <c r="A23099" s="2">
        <v>23094</v>
      </c>
      <c r="B23099" s="3" t="str">
        <f>"01063312"</f>
        <v>01063312</v>
      </c>
    </row>
    <row r="23100" spans="1:2" x14ac:dyDescent="0.25">
      <c r="A23100" s="2">
        <v>23095</v>
      </c>
      <c r="B23100" s="3" t="str">
        <f>"01063315"</f>
        <v>01063315</v>
      </c>
    </row>
    <row r="23101" spans="1:2" x14ac:dyDescent="0.25">
      <c r="A23101" s="2">
        <v>23096</v>
      </c>
      <c r="B23101" s="3" t="str">
        <f>"01063318"</f>
        <v>01063318</v>
      </c>
    </row>
    <row r="23102" spans="1:2" x14ac:dyDescent="0.25">
      <c r="A23102" s="2">
        <v>23097</v>
      </c>
      <c r="B23102" s="3" t="str">
        <f>"01063324"</f>
        <v>01063324</v>
      </c>
    </row>
    <row r="23103" spans="1:2" x14ac:dyDescent="0.25">
      <c r="A23103" s="2">
        <v>23098</v>
      </c>
      <c r="B23103" s="3" t="str">
        <f>"01063325"</f>
        <v>01063325</v>
      </c>
    </row>
    <row r="23104" spans="1:2" x14ac:dyDescent="0.25">
      <c r="A23104" s="2">
        <v>23099</v>
      </c>
      <c r="B23104" s="3" t="str">
        <f>"01063329"</f>
        <v>01063329</v>
      </c>
    </row>
    <row r="23105" spans="1:2" x14ac:dyDescent="0.25">
      <c r="A23105" s="2">
        <v>23100</v>
      </c>
      <c r="B23105" s="3" t="str">
        <f>"01063331"</f>
        <v>01063331</v>
      </c>
    </row>
    <row r="23106" spans="1:2" x14ac:dyDescent="0.25">
      <c r="A23106" s="2">
        <v>23101</v>
      </c>
      <c r="B23106" s="3" t="str">
        <f>"01063337"</f>
        <v>01063337</v>
      </c>
    </row>
    <row r="23107" spans="1:2" x14ac:dyDescent="0.25">
      <c r="A23107" s="2">
        <v>23102</v>
      </c>
      <c r="B23107" s="3" t="str">
        <f>"01063340"</f>
        <v>01063340</v>
      </c>
    </row>
    <row r="23108" spans="1:2" x14ac:dyDescent="0.25">
      <c r="A23108" s="2">
        <v>23103</v>
      </c>
      <c r="B23108" s="3" t="str">
        <f>"01063345"</f>
        <v>01063345</v>
      </c>
    </row>
    <row r="23109" spans="1:2" x14ac:dyDescent="0.25">
      <c r="A23109" s="2">
        <v>23104</v>
      </c>
      <c r="B23109" s="3" t="str">
        <f>"01063358"</f>
        <v>01063358</v>
      </c>
    </row>
    <row r="23110" spans="1:2" x14ac:dyDescent="0.25">
      <c r="A23110" s="2">
        <v>23105</v>
      </c>
      <c r="B23110" s="3" t="str">
        <f>"01063360"</f>
        <v>01063360</v>
      </c>
    </row>
    <row r="23111" spans="1:2" x14ac:dyDescent="0.25">
      <c r="A23111" s="2">
        <v>23106</v>
      </c>
      <c r="B23111" s="3" t="str">
        <f>"01063361"</f>
        <v>01063361</v>
      </c>
    </row>
    <row r="23112" spans="1:2" x14ac:dyDescent="0.25">
      <c r="A23112" s="2">
        <v>23107</v>
      </c>
      <c r="B23112" s="3" t="str">
        <f>"01063364"</f>
        <v>01063364</v>
      </c>
    </row>
    <row r="23113" spans="1:2" x14ac:dyDescent="0.25">
      <c r="A23113" s="2">
        <v>23108</v>
      </c>
      <c r="B23113" s="3" t="str">
        <f>"01063377"</f>
        <v>01063377</v>
      </c>
    </row>
    <row r="23114" spans="1:2" x14ac:dyDescent="0.25">
      <c r="A23114" s="2">
        <v>23109</v>
      </c>
      <c r="B23114" s="3" t="str">
        <f>"01063378"</f>
        <v>01063378</v>
      </c>
    </row>
    <row r="23115" spans="1:2" x14ac:dyDescent="0.25">
      <c r="A23115" s="2">
        <v>23110</v>
      </c>
      <c r="B23115" s="3" t="str">
        <f>"01063382"</f>
        <v>01063382</v>
      </c>
    </row>
    <row r="23116" spans="1:2" x14ac:dyDescent="0.25">
      <c r="A23116" s="2">
        <v>23111</v>
      </c>
      <c r="B23116" s="3" t="str">
        <f>"01063395"</f>
        <v>01063395</v>
      </c>
    </row>
    <row r="23117" spans="1:2" x14ac:dyDescent="0.25">
      <c r="A23117" s="2">
        <v>23112</v>
      </c>
      <c r="B23117" s="3" t="str">
        <f>"01063416"</f>
        <v>01063416</v>
      </c>
    </row>
    <row r="23118" spans="1:2" x14ac:dyDescent="0.25">
      <c r="A23118" s="2">
        <v>23113</v>
      </c>
      <c r="B23118" s="3" t="str">
        <f>"01063423"</f>
        <v>01063423</v>
      </c>
    </row>
    <row r="23119" spans="1:2" x14ac:dyDescent="0.25">
      <c r="A23119" s="2">
        <v>23114</v>
      </c>
      <c r="B23119" s="3" t="str">
        <f>"01063428"</f>
        <v>01063428</v>
      </c>
    </row>
    <row r="23120" spans="1:2" x14ac:dyDescent="0.25">
      <c r="A23120" s="2">
        <v>23115</v>
      </c>
      <c r="B23120" s="3" t="str">
        <f>"01063431"</f>
        <v>01063431</v>
      </c>
    </row>
    <row r="23121" spans="1:2" x14ac:dyDescent="0.25">
      <c r="A23121" s="2">
        <v>23116</v>
      </c>
      <c r="B23121" s="3" t="str">
        <f>"01063433"</f>
        <v>01063433</v>
      </c>
    </row>
    <row r="23122" spans="1:2" x14ac:dyDescent="0.25">
      <c r="A23122" s="2">
        <v>23117</v>
      </c>
      <c r="B23122" s="3" t="str">
        <f>"01063434"</f>
        <v>01063434</v>
      </c>
    </row>
    <row r="23123" spans="1:2" x14ac:dyDescent="0.25">
      <c r="A23123" s="2">
        <v>23118</v>
      </c>
      <c r="B23123" s="3" t="str">
        <f>"01063445"</f>
        <v>01063445</v>
      </c>
    </row>
    <row r="23124" spans="1:2" x14ac:dyDescent="0.25">
      <c r="A23124" s="2">
        <v>23119</v>
      </c>
      <c r="B23124" s="3" t="str">
        <f>"01063446"</f>
        <v>01063446</v>
      </c>
    </row>
    <row r="23125" spans="1:2" x14ac:dyDescent="0.25">
      <c r="A23125" s="2">
        <v>23120</v>
      </c>
      <c r="B23125" s="3" t="str">
        <f>"01063448"</f>
        <v>01063448</v>
      </c>
    </row>
    <row r="23126" spans="1:2" x14ac:dyDescent="0.25">
      <c r="A23126" s="2">
        <v>23121</v>
      </c>
      <c r="B23126" s="3" t="str">
        <f>"01063456"</f>
        <v>01063456</v>
      </c>
    </row>
    <row r="23127" spans="1:2" x14ac:dyDescent="0.25">
      <c r="A23127" s="2">
        <v>23122</v>
      </c>
      <c r="B23127" s="3" t="str">
        <f>"01063458"</f>
        <v>01063458</v>
      </c>
    </row>
    <row r="23128" spans="1:2" x14ac:dyDescent="0.25">
      <c r="A23128" s="2">
        <v>23123</v>
      </c>
      <c r="B23128" s="3" t="str">
        <f>"01063461"</f>
        <v>01063461</v>
      </c>
    </row>
    <row r="23129" spans="1:2" x14ac:dyDescent="0.25">
      <c r="A23129" s="2">
        <v>23124</v>
      </c>
      <c r="B23129" s="3" t="str">
        <f>"01063467"</f>
        <v>01063467</v>
      </c>
    </row>
    <row r="23130" spans="1:2" x14ac:dyDescent="0.25">
      <c r="A23130" s="2">
        <v>23125</v>
      </c>
      <c r="B23130" s="3" t="str">
        <f>"01063468"</f>
        <v>01063468</v>
      </c>
    </row>
    <row r="23131" spans="1:2" x14ac:dyDescent="0.25">
      <c r="A23131" s="2">
        <v>23126</v>
      </c>
      <c r="B23131" s="3" t="str">
        <f>"01063477"</f>
        <v>01063477</v>
      </c>
    </row>
    <row r="23132" spans="1:2" x14ac:dyDescent="0.25">
      <c r="A23132" s="2">
        <v>23127</v>
      </c>
      <c r="B23132" s="3" t="str">
        <f>"01063480"</f>
        <v>01063480</v>
      </c>
    </row>
    <row r="23133" spans="1:2" x14ac:dyDescent="0.25">
      <c r="A23133" s="2">
        <v>23128</v>
      </c>
      <c r="B23133" s="3" t="str">
        <f>"01063481"</f>
        <v>01063481</v>
      </c>
    </row>
    <row r="23134" spans="1:2" x14ac:dyDescent="0.25">
      <c r="A23134" s="2">
        <v>23129</v>
      </c>
      <c r="B23134" s="3" t="str">
        <f>"01063482"</f>
        <v>01063482</v>
      </c>
    </row>
    <row r="23135" spans="1:2" x14ac:dyDescent="0.25">
      <c r="A23135" s="2">
        <v>23130</v>
      </c>
      <c r="B23135" s="3" t="str">
        <f>"01063495"</f>
        <v>01063495</v>
      </c>
    </row>
    <row r="23136" spans="1:2" x14ac:dyDescent="0.25">
      <c r="A23136" s="2">
        <v>23131</v>
      </c>
      <c r="B23136" s="3" t="str">
        <f>"01063497"</f>
        <v>01063497</v>
      </c>
    </row>
    <row r="23137" spans="1:2" x14ac:dyDescent="0.25">
      <c r="A23137" s="2">
        <v>23132</v>
      </c>
      <c r="B23137" s="3" t="str">
        <f>"01063498"</f>
        <v>01063498</v>
      </c>
    </row>
    <row r="23138" spans="1:2" x14ac:dyDescent="0.25">
      <c r="A23138" s="2">
        <v>23133</v>
      </c>
      <c r="B23138" s="3" t="str">
        <f>"01063502"</f>
        <v>01063502</v>
      </c>
    </row>
    <row r="23139" spans="1:2" x14ac:dyDescent="0.25">
      <c r="A23139" s="2">
        <v>23134</v>
      </c>
      <c r="B23139" s="3" t="str">
        <f>"01063509"</f>
        <v>01063509</v>
      </c>
    </row>
    <row r="23140" spans="1:2" x14ac:dyDescent="0.25">
      <c r="A23140" s="2">
        <v>23135</v>
      </c>
      <c r="B23140" s="3" t="str">
        <f>"01063510"</f>
        <v>01063510</v>
      </c>
    </row>
    <row r="23141" spans="1:2" x14ac:dyDescent="0.25">
      <c r="A23141" s="2">
        <v>23136</v>
      </c>
      <c r="B23141" s="3" t="str">
        <f>"01063512"</f>
        <v>01063512</v>
      </c>
    </row>
    <row r="23142" spans="1:2" x14ac:dyDescent="0.25">
      <c r="A23142" s="2">
        <v>23137</v>
      </c>
      <c r="B23142" s="3" t="str">
        <f>"01063519"</f>
        <v>01063519</v>
      </c>
    </row>
    <row r="23143" spans="1:2" x14ac:dyDescent="0.25">
      <c r="A23143" s="2">
        <v>23138</v>
      </c>
      <c r="B23143" s="3" t="str">
        <f>"01063524"</f>
        <v>01063524</v>
      </c>
    </row>
    <row r="23144" spans="1:2" x14ac:dyDescent="0.25">
      <c r="A23144" s="2">
        <v>23139</v>
      </c>
      <c r="B23144" s="3" t="str">
        <f>"01063528"</f>
        <v>01063528</v>
      </c>
    </row>
    <row r="23145" spans="1:2" x14ac:dyDescent="0.25">
      <c r="A23145" s="2">
        <v>23140</v>
      </c>
      <c r="B23145" s="3" t="str">
        <f>"01063529"</f>
        <v>01063529</v>
      </c>
    </row>
    <row r="23146" spans="1:2" x14ac:dyDescent="0.25">
      <c r="A23146" s="2">
        <v>23141</v>
      </c>
      <c r="B23146" s="3" t="str">
        <f>"01063541"</f>
        <v>01063541</v>
      </c>
    </row>
    <row r="23147" spans="1:2" x14ac:dyDescent="0.25">
      <c r="A23147" s="2">
        <v>23142</v>
      </c>
      <c r="B23147" s="3" t="str">
        <f>"01063545"</f>
        <v>01063545</v>
      </c>
    </row>
    <row r="23148" spans="1:2" x14ac:dyDescent="0.25">
      <c r="A23148" s="2">
        <v>23143</v>
      </c>
      <c r="B23148" s="3" t="str">
        <f>"01063546"</f>
        <v>01063546</v>
      </c>
    </row>
    <row r="23149" spans="1:2" x14ac:dyDescent="0.25">
      <c r="A23149" s="2">
        <v>23144</v>
      </c>
      <c r="B23149" s="3" t="str">
        <f>"01063548"</f>
        <v>01063548</v>
      </c>
    </row>
    <row r="23150" spans="1:2" x14ac:dyDescent="0.25">
      <c r="A23150" s="2">
        <v>23145</v>
      </c>
      <c r="B23150" s="3" t="str">
        <f>"01063554"</f>
        <v>01063554</v>
      </c>
    </row>
    <row r="23151" spans="1:2" x14ac:dyDescent="0.25">
      <c r="A23151" s="2">
        <v>23146</v>
      </c>
      <c r="B23151" s="3" t="str">
        <f>"01063558"</f>
        <v>01063558</v>
      </c>
    </row>
    <row r="23152" spans="1:2" x14ac:dyDescent="0.25">
      <c r="A23152" s="2">
        <v>23147</v>
      </c>
      <c r="B23152" s="3" t="str">
        <f>"01063561"</f>
        <v>01063561</v>
      </c>
    </row>
    <row r="23153" spans="1:2" x14ac:dyDescent="0.25">
      <c r="A23153" s="2">
        <v>23148</v>
      </c>
      <c r="B23153" s="3" t="str">
        <f>"01063567"</f>
        <v>01063567</v>
      </c>
    </row>
    <row r="23154" spans="1:2" x14ac:dyDescent="0.25">
      <c r="A23154" s="2">
        <v>23149</v>
      </c>
      <c r="B23154" s="3" t="str">
        <f>"01063569"</f>
        <v>01063569</v>
      </c>
    </row>
    <row r="23155" spans="1:2" x14ac:dyDescent="0.25">
      <c r="A23155" s="2">
        <v>23150</v>
      </c>
      <c r="B23155" s="3" t="str">
        <f>"01063570"</f>
        <v>01063570</v>
      </c>
    </row>
    <row r="23156" spans="1:2" x14ac:dyDescent="0.25">
      <c r="A23156" s="2">
        <v>23151</v>
      </c>
      <c r="B23156" s="3" t="str">
        <f>"01063575"</f>
        <v>01063575</v>
      </c>
    </row>
    <row r="23157" spans="1:2" x14ac:dyDescent="0.25">
      <c r="A23157" s="2">
        <v>23152</v>
      </c>
      <c r="B23157" s="3" t="str">
        <f>"01063592"</f>
        <v>01063592</v>
      </c>
    </row>
    <row r="23158" spans="1:2" x14ac:dyDescent="0.25">
      <c r="A23158" s="2">
        <v>23153</v>
      </c>
      <c r="B23158" s="3" t="str">
        <f>"01063593"</f>
        <v>01063593</v>
      </c>
    </row>
    <row r="23159" spans="1:2" x14ac:dyDescent="0.25">
      <c r="A23159" s="2">
        <v>23154</v>
      </c>
      <c r="B23159" s="3" t="str">
        <f>"01063597"</f>
        <v>01063597</v>
      </c>
    </row>
    <row r="23160" spans="1:2" x14ac:dyDescent="0.25">
      <c r="A23160" s="2">
        <v>23155</v>
      </c>
      <c r="B23160" s="3" t="str">
        <f>"01063600"</f>
        <v>01063600</v>
      </c>
    </row>
    <row r="23161" spans="1:2" x14ac:dyDescent="0.25">
      <c r="A23161" s="2">
        <v>23156</v>
      </c>
      <c r="B23161" s="3" t="str">
        <f>"01063603"</f>
        <v>01063603</v>
      </c>
    </row>
    <row r="23162" spans="1:2" x14ac:dyDescent="0.25">
      <c r="A23162" s="2">
        <v>23157</v>
      </c>
      <c r="B23162" s="3" t="str">
        <f>"01063605"</f>
        <v>01063605</v>
      </c>
    </row>
    <row r="23163" spans="1:2" x14ac:dyDescent="0.25">
      <c r="A23163" s="2">
        <v>23158</v>
      </c>
      <c r="B23163" s="3" t="str">
        <f>"01063606"</f>
        <v>01063606</v>
      </c>
    </row>
    <row r="23164" spans="1:2" x14ac:dyDescent="0.25">
      <c r="A23164" s="2">
        <v>23159</v>
      </c>
      <c r="B23164" s="3" t="str">
        <f>"01063607"</f>
        <v>01063607</v>
      </c>
    </row>
    <row r="23165" spans="1:2" x14ac:dyDescent="0.25">
      <c r="A23165" s="2">
        <v>23160</v>
      </c>
      <c r="B23165" s="3" t="str">
        <f>"01063623"</f>
        <v>01063623</v>
      </c>
    </row>
    <row r="23166" spans="1:2" x14ac:dyDescent="0.25">
      <c r="A23166" s="2">
        <v>23161</v>
      </c>
      <c r="B23166" s="3" t="str">
        <f>"01063625"</f>
        <v>01063625</v>
      </c>
    </row>
    <row r="23167" spans="1:2" x14ac:dyDescent="0.25">
      <c r="A23167" s="2">
        <v>23162</v>
      </c>
      <c r="B23167" s="3" t="str">
        <f>"01063628"</f>
        <v>01063628</v>
      </c>
    </row>
    <row r="23168" spans="1:2" x14ac:dyDescent="0.25">
      <c r="A23168" s="2">
        <v>23163</v>
      </c>
      <c r="B23168" s="3" t="str">
        <f>"01063629"</f>
        <v>01063629</v>
      </c>
    </row>
    <row r="23169" spans="1:2" x14ac:dyDescent="0.25">
      <c r="A23169" s="2">
        <v>23164</v>
      </c>
      <c r="B23169" s="3" t="str">
        <f>"01063650"</f>
        <v>01063650</v>
      </c>
    </row>
    <row r="23170" spans="1:2" x14ac:dyDescent="0.25">
      <c r="A23170" s="2">
        <v>23165</v>
      </c>
      <c r="B23170" s="3" t="str">
        <f>"01063652"</f>
        <v>01063652</v>
      </c>
    </row>
    <row r="23171" spans="1:2" x14ac:dyDescent="0.25">
      <c r="A23171" s="2">
        <v>23166</v>
      </c>
      <c r="B23171" s="3" t="str">
        <f>"01063664"</f>
        <v>01063664</v>
      </c>
    </row>
    <row r="23172" spans="1:2" x14ac:dyDescent="0.25">
      <c r="A23172" s="2">
        <v>23167</v>
      </c>
      <c r="B23172" s="3" t="str">
        <f>"01063674"</f>
        <v>01063674</v>
      </c>
    </row>
    <row r="23173" spans="1:2" x14ac:dyDescent="0.25">
      <c r="A23173" s="2">
        <v>23168</v>
      </c>
      <c r="B23173" s="3" t="str">
        <f>"01063675"</f>
        <v>01063675</v>
      </c>
    </row>
    <row r="23174" spans="1:2" x14ac:dyDescent="0.25">
      <c r="A23174" s="2">
        <v>23169</v>
      </c>
      <c r="B23174" s="3" t="str">
        <f>"01063682"</f>
        <v>01063682</v>
      </c>
    </row>
    <row r="23175" spans="1:2" x14ac:dyDescent="0.25">
      <c r="A23175" s="2">
        <v>23170</v>
      </c>
      <c r="B23175" s="3" t="str">
        <f>"01063683"</f>
        <v>01063683</v>
      </c>
    </row>
    <row r="23176" spans="1:2" x14ac:dyDescent="0.25">
      <c r="A23176" s="2">
        <v>23171</v>
      </c>
      <c r="B23176" s="3" t="str">
        <f>"01063687"</f>
        <v>01063687</v>
      </c>
    </row>
    <row r="23177" spans="1:2" x14ac:dyDescent="0.25">
      <c r="A23177" s="2">
        <v>23172</v>
      </c>
      <c r="B23177" s="3" t="str">
        <f>"01063693"</f>
        <v>01063693</v>
      </c>
    </row>
    <row r="23178" spans="1:2" x14ac:dyDescent="0.25">
      <c r="A23178" s="2">
        <v>23173</v>
      </c>
      <c r="B23178" s="3" t="str">
        <f>"01063694"</f>
        <v>01063694</v>
      </c>
    </row>
    <row r="23179" spans="1:2" x14ac:dyDescent="0.25">
      <c r="A23179" s="2">
        <v>23174</v>
      </c>
      <c r="B23179" s="3" t="str">
        <f>"01063713"</f>
        <v>01063713</v>
      </c>
    </row>
    <row r="23180" spans="1:2" x14ac:dyDescent="0.25">
      <c r="A23180" s="2">
        <v>23175</v>
      </c>
      <c r="B23180" s="3" t="str">
        <f>"01063715"</f>
        <v>01063715</v>
      </c>
    </row>
    <row r="23181" spans="1:2" x14ac:dyDescent="0.25">
      <c r="A23181" s="2">
        <v>23176</v>
      </c>
      <c r="B23181" s="3" t="str">
        <f>"01063719"</f>
        <v>01063719</v>
      </c>
    </row>
    <row r="23182" spans="1:2" x14ac:dyDescent="0.25">
      <c r="A23182" s="2">
        <v>23177</v>
      </c>
      <c r="B23182" s="3" t="str">
        <f>"01063720"</f>
        <v>01063720</v>
      </c>
    </row>
    <row r="23183" spans="1:2" x14ac:dyDescent="0.25">
      <c r="A23183" s="2">
        <v>23178</v>
      </c>
      <c r="B23183" s="3" t="str">
        <f>"01063725"</f>
        <v>01063725</v>
      </c>
    </row>
    <row r="23184" spans="1:2" x14ac:dyDescent="0.25">
      <c r="A23184" s="2">
        <v>23179</v>
      </c>
      <c r="B23184" s="3" t="str">
        <f>"01063728"</f>
        <v>01063728</v>
      </c>
    </row>
    <row r="23185" spans="1:2" x14ac:dyDescent="0.25">
      <c r="A23185" s="2">
        <v>23180</v>
      </c>
      <c r="B23185" s="3" t="str">
        <f>"01063731"</f>
        <v>01063731</v>
      </c>
    </row>
    <row r="23186" spans="1:2" x14ac:dyDescent="0.25">
      <c r="A23186" s="2">
        <v>23181</v>
      </c>
      <c r="B23186" s="3" t="str">
        <f>"01063737"</f>
        <v>01063737</v>
      </c>
    </row>
    <row r="23187" spans="1:2" x14ac:dyDescent="0.25">
      <c r="A23187" s="2">
        <v>23182</v>
      </c>
      <c r="B23187" s="3" t="str">
        <f>"01063742"</f>
        <v>01063742</v>
      </c>
    </row>
    <row r="23188" spans="1:2" x14ac:dyDescent="0.25">
      <c r="A23188" s="2">
        <v>23183</v>
      </c>
      <c r="B23188" s="3" t="str">
        <f>"01063747"</f>
        <v>01063747</v>
      </c>
    </row>
    <row r="23189" spans="1:2" x14ac:dyDescent="0.25">
      <c r="A23189" s="2">
        <v>23184</v>
      </c>
      <c r="B23189" s="3" t="str">
        <f>"01063755"</f>
        <v>01063755</v>
      </c>
    </row>
    <row r="23190" spans="1:2" x14ac:dyDescent="0.25">
      <c r="A23190" s="2">
        <v>23185</v>
      </c>
      <c r="B23190" s="3" t="str">
        <f>"01063762"</f>
        <v>01063762</v>
      </c>
    </row>
    <row r="23191" spans="1:2" x14ac:dyDescent="0.25">
      <c r="A23191" s="2">
        <v>23186</v>
      </c>
      <c r="B23191" s="3" t="str">
        <f>"01063765"</f>
        <v>01063765</v>
      </c>
    </row>
    <row r="23192" spans="1:2" x14ac:dyDescent="0.25">
      <c r="A23192" s="2">
        <v>23187</v>
      </c>
      <c r="B23192" s="3" t="str">
        <f>"01063788"</f>
        <v>01063788</v>
      </c>
    </row>
    <row r="23193" spans="1:2" x14ac:dyDescent="0.25">
      <c r="A23193" s="2">
        <v>23188</v>
      </c>
      <c r="B23193" s="3" t="str">
        <f>"01063789"</f>
        <v>01063789</v>
      </c>
    </row>
    <row r="23194" spans="1:2" x14ac:dyDescent="0.25">
      <c r="A23194" s="2">
        <v>23189</v>
      </c>
      <c r="B23194" s="3" t="str">
        <f>"01063790"</f>
        <v>01063790</v>
      </c>
    </row>
    <row r="23195" spans="1:2" x14ac:dyDescent="0.25">
      <c r="A23195" s="2">
        <v>23190</v>
      </c>
      <c r="B23195" s="3" t="str">
        <f>"01063818"</f>
        <v>01063818</v>
      </c>
    </row>
    <row r="23196" spans="1:2" x14ac:dyDescent="0.25">
      <c r="A23196" s="2">
        <v>23191</v>
      </c>
      <c r="B23196" s="3" t="str">
        <f>"01063821"</f>
        <v>01063821</v>
      </c>
    </row>
    <row r="23197" spans="1:2" x14ac:dyDescent="0.25">
      <c r="A23197" s="2">
        <v>23192</v>
      </c>
      <c r="B23197" s="3" t="str">
        <f>"01063822"</f>
        <v>01063822</v>
      </c>
    </row>
    <row r="23198" spans="1:2" x14ac:dyDescent="0.25">
      <c r="A23198" s="2">
        <v>23193</v>
      </c>
      <c r="B23198" s="3" t="str">
        <f>"01063823"</f>
        <v>01063823</v>
      </c>
    </row>
    <row r="23199" spans="1:2" x14ac:dyDescent="0.25">
      <c r="A23199" s="2">
        <v>23194</v>
      </c>
      <c r="B23199" s="3" t="str">
        <f>"01063832"</f>
        <v>01063832</v>
      </c>
    </row>
    <row r="23200" spans="1:2" x14ac:dyDescent="0.25">
      <c r="A23200" s="2">
        <v>23195</v>
      </c>
      <c r="B23200" s="3" t="str">
        <f>"01063835"</f>
        <v>01063835</v>
      </c>
    </row>
    <row r="23201" spans="1:2" x14ac:dyDescent="0.25">
      <c r="A23201" s="2">
        <v>23196</v>
      </c>
      <c r="B23201" s="3" t="str">
        <f>"01063852"</f>
        <v>01063852</v>
      </c>
    </row>
    <row r="23202" spans="1:2" x14ac:dyDescent="0.25">
      <c r="A23202" s="2">
        <v>23197</v>
      </c>
      <c r="B23202" s="3" t="str">
        <f>"01063859"</f>
        <v>01063859</v>
      </c>
    </row>
    <row r="23203" spans="1:2" x14ac:dyDescent="0.25">
      <c r="A23203" s="2">
        <v>23198</v>
      </c>
      <c r="B23203" s="3" t="str">
        <f>"01063864"</f>
        <v>01063864</v>
      </c>
    </row>
    <row r="23204" spans="1:2" x14ac:dyDescent="0.25">
      <c r="A23204" s="2">
        <v>23199</v>
      </c>
      <c r="B23204" s="3" t="str">
        <f>"01063870"</f>
        <v>01063870</v>
      </c>
    </row>
    <row r="23205" spans="1:2" x14ac:dyDescent="0.25">
      <c r="A23205" s="2">
        <v>23200</v>
      </c>
      <c r="B23205" s="3" t="str">
        <f>"01063888"</f>
        <v>01063888</v>
      </c>
    </row>
    <row r="23206" spans="1:2" x14ac:dyDescent="0.25">
      <c r="A23206" s="2">
        <v>23201</v>
      </c>
      <c r="B23206" s="3" t="str">
        <f>"01063890"</f>
        <v>01063890</v>
      </c>
    </row>
    <row r="23207" spans="1:2" x14ac:dyDescent="0.25">
      <c r="A23207" s="2">
        <v>23202</v>
      </c>
      <c r="B23207" s="3" t="str">
        <f>"01063895"</f>
        <v>01063895</v>
      </c>
    </row>
    <row r="23208" spans="1:2" x14ac:dyDescent="0.25">
      <c r="A23208" s="2">
        <v>23203</v>
      </c>
      <c r="B23208" s="3" t="str">
        <f>"01063898"</f>
        <v>01063898</v>
      </c>
    </row>
    <row r="23209" spans="1:2" x14ac:dyDescent="0.25">
      <c r="A23209" s="2">
        <v>23204</v>
      </c>
      <c r="B23209" s="3" t="str">
        <f>"01063899"</f>
        <v>01063899</v>
      </c>
    </row>
    <row r="23210" spans="1:2" x14ac:dyDescent="0.25">
      <c r="A23210" s="2">
        <v>23205</v>
      </c>
      <c r="B23210" s="3" t="str">
        <f>"01063905"</f>
        <v>01063905</v>
      </c>
    </row>
    <row r="23211" spans="1:2" x14ac:dyDescent="0.25">
      <c r="A23211" s="2">
        <v>23206</v>
      </c>
      <c r="B23211" s="3" t="str">
        <f>"01063910"</f>
        <v>01063910</v>
      </c>
    </row>
    <row r="23212" spans="1:2" x14ac:dyDescent="0.25">
      <c r="A23212" s="2">
        <v>23207</v>
      </c>
      <c r="B23212" s="3" t="str">
        <f>"01063913"</f>
        <v>01063913</v>
      </c>
    </row>
    <row r="23213" spans="1:2" x14ac:dyDescent="0.25">
      <c r="A23213" s="2">
        <v>23208</v>
      </c>
      <c r="B23213" s="3" t="str">
        <f>"01063914"</f>
        <v>01063914</v>
      </c>
    </row>
    <row r="23214" spans="1:2" x14ac:dyDescent="0.25">
      <c r="A23214" s="2">
        <v>23209</v>
      </c>
      <c r="B23214" s="3" t="str">
        <f>"01063920"</f>
        <v>01063920</v>
      </c>
    </row>
    <row r="23215" spans="1:2" x14ac:dyDescent="0.25">
      <c r="A23215" s="2">
        <v>23210</v>
      </c>
      <c r="B23215" s="3" t="str">
        <f>"01063921"</f>
        <v>01063921</v>
      </c>
    </row>
    <row r="23216" spans="1:2" x14ac:dyDescent="0.25">
      <c r="A23216" s="2">
        <v>23211</v>
      </c>
      <c r="B23216" s="3" t="str">
        <f>"01063937"</f>
        <v>01063937</v>
      </c>
    </row>
    <row r="23217" spans="1:2" x14ac:dyDescent="0.25">
      <c r="A23217" s="2">
        <v>23212</v>
      </c>
      <c r="B23217" s="3" t="str">
        <f>"01063940"</f>
        <v>01063940</v>
      </c>
    </row>
    <row r="23218" spans="1:2" x14ac:dyDescent="0.25">
      <c r="A23218" s="2">
        <v>23213</v>
      </c>
      <c r="B23218" s="3" t="str">
        <f>"01063946"</f>
        <v>01063946</v>
      </c>
    </row>
    <row r="23219" spans="1:2" x14ac:dyDescent="0.25">
      <c r="A23219" s="2">
        <v>23214</v>
      </c>
      <c r="B23219" s="3" t="str">
        <f>"01063953"</f>
        <v>01063953</v>
      </c>
    </row>
    <row r="23220" spans="1:2" x14ac:dyDescent="0.25">
      <c r="A23220" s="2">
        <v>23215</v>
      </c>
      <c r="B23220" s="3" t="str">
        <f>"01063957"</f>
        <v>01063957</v>
      </c>
    </row>
    <row r="23221" spans="1:2" x14ac:dyDescent="0.25">
      <c r="A23221" s="2">
        <v>23216</v>
      </c>
      <c r="B23221" s="3" t="str">
        <f>"01063959"</f>
        <v>01063959</v>
      </c>
    </row>
    <row r="23222" spans="1:2" x14ac:dyDescent="0.25">
      <c r="A23222" s="2">
        <v>23217</v>
      </c>
      <c r="B23222" s="3" t="str">
        <f>"01063981"</f>
        <v>01063981</v>
      </c>
    </row>
    <row r="23223" spans="1:2" x14ac:dyDescent="0.25">
      <c r="A23223" s="2">
        <v>23218</v>
      </c>
      <c r="B23223" s="3" t="str">
        <f>"01063998"</f>
        <v>01063998</v>
      </c>
    </row>
    <row r="23224" spans="1:2" x14ac:dyDescent="0.25">
      <c r="A23224" s="2">
        <v>23219</v>
      </c>
      <c r="B23224" s="3" t="str">
        <f>"01064000"</f>
        <v>01064000</v>
      </c>
    </row>
    <row r="23225" spans="1:2" x14ac:dyDescent="0.25">
      <c r="A23225" s="2">
        <v>23220</v>
      </c>
      <c r="B23225" s="3" t="str">
        <f>"01064008"</f>
        <v>01064008</v>
      </c>
    </row>
    <row r="23226" spans="1:2" x14ac:dyDescent="0.25">
      <c r="A23226" s="2">
        <v>23221</v>
      </c>
      <c r="B23226" s="3" t="str">
        <f>"01064010"</f>
        <v>01064010</v>
      </c>
    </row>
    <row r="23227" spans="1:2" x14ac:dyDescent="0.25">
      <c r="A23227" s="2">
        <v>23222</v>
      </c>
      <c r="B23227" s="3" t="str">
        <f>"01064013"</f>
        <v>01064013</v>
      </c>
    </row>
    <row r="23228" spans="1:2" x14ac:dyDescent="0.25">
      <c r="A23228" s="2">
        <v>23223</v>
      </c>
      <c r="B23228" s="3" t="str">
        <f>"01064017"</f>
        <v>01064017</v>
      </c>
    </row>
    <row r="23229" spans="1:2" x14ac:dyDescent="0.25">
      <c r="A23229" s="2">
        <v>23224</v>
      </c>
      <c r="B23229" s="3" t="str">
        <f>"01064018"</f>
        <v>01064018</v>
      </c>
    </row>
    <row r="23230" spans="1:2" x14ac:dyDescent="0.25">
      <c r="A23230" s="2">
        <v>23225</v>
      </c>
      <c r="B23230" s="3" t="str">
        <f>"01064025"</f>
        <v>01064025</v>
      </c>
    </row>
    <row r="23231" spans="1:2" x14ac:dyDescent="0.25">
      <c r="A23231" s="2">
        <v>23226</v>
      </c>
      <c r="B23231" s="3" t="str">
        <f>"01064028"</f>
        <v>01064028</v>
      </c>
    </row>
    <row r="23232" spans="1:2" x14ac:dyDescent="0.25">
      <c r="A23232" s="2">
        <v>23227</v>
      </c>
      <c r="B23232" s="3" t="str">
        <f>"01064039"</f>
        <v>01064039</v>
      </c>
    </row>
    <row r="23233" spans="1:2" x14ac:dyDescent="0.25">
      <c r="A23233" s="2">
        <v>23228</v>
      </c>
      <c r="B23233" s="3" t="str">
        <f>"01064045"</f>
        <v>01064045</v>
      </c>
    </row>
    <row r="23234" spans="1:2" x14ac:dyDescent="0.25">
      <c r="A23234" s="2">
        <v>23229</v>
      </c>
      <c r="B23234" s="3" t="str">
        <f>"01064056"</f>
        <v>01064056</v>
      </c>
    </row>
    <row r="23235" spans="1:2" x14ac:dyDescent="0.25">
      <c r="A23235" s="2">
        <v>23230</v>
      </c>
      <c r="B23235" s="3" t="str">
        <f>"01064068"</f>
        <v>01064068</v>
      </c>
    </row>
    <row r="23236" spans="1:2" x14ac:dyDescent="0.25">
      <c r="A23236" s="2">
        <v>23231</v>
      </c>
      <c r="B23236" s="3" t="str">
        <f>"01064072"</f>
        <v>01064072</v>
      </c>
    </row>
    <row r="23237" spans="1:2" x14ac:dyDescent="0.25">
      <c r="A23237" s="2">
        <v>23232</v>
      </c>
      <c r="B23237" s="3" t="str">
        <f>"01064083"</f>
        <v>01064083</v>
      </c>
    </row>
    <row r="23238" spans="1:2" x14ac:dyDescent="0.25">
      <c r="A23238" s="2">
        <v>23233</v>
      </c>
      <c r="B23238" s="3" t="str">
        <f>"01064093"</f>
        <v>01064093</v>
      </c>
    </row>
    <row r="23239" spans="1:2" x14ac:dyDescent="0.25">
      <c r="A23239" s="2">
        <v>23234</v>
      </c>
      <c r="B23239" s="3" t="str">
        <f>"01064111"</f>
        <v>01064111</v>
      </c>
    </row>
    <row r="23240" spans="1:2" x14ac:dyDescent="0.25">
      <c r="A23240" s="2">
        <v>23235</v>
      </c>
      <c r="B23240" s="3" t="str">
        <f>"01064113"</f>
        <v>01064113</v>
      </c>
    </row>
    <row r="23241" spans="1:2" x14ac:dyDescent="0.25">
      <c r="A23241" s="2">
        <v>23236</v>
      </c>
      <c r="B23241" s="3" t="str">
        <f>"01064119"</f>
        <v>01064119</v>
      </c>
    </row>
    <row r="23242" spans="1:2" x14ac:dyDescent="0.25">
      <c r="A23242" s="2">
        <v>23237</v>
      </c>
      <c r="B23242" s="3" t="str">
        <f>"01064120"</f>
        <v>01064120</v>
      </c>
    </row>
    <row r="23243" spans="1:2" x14ac:dyDescent="0.25">
      <c r="A23243" s="2">
        <v>23238</v>
      </c>
      <c r="B23243" s="3" t="str">
        <f>"01064127"</f>
        <v>01064127</v>
      </c>
    </row>
    <row r="23244" spans="1:2" x14ac:dyDescent="0.25">
      <c r="A23244" s="2">
        <v>23239</v>
      </c>
      <c r="B23244" s="3" t="str">
        <f>"01064133"</f>
        <v>01064133</v>
      </c>
    </row>
    <row r="23245" spans="1:2" x14ac:dyDescent="0.25">
      <c r="A23245" s="2">
        <v>23240</v>
      </c>
      <c r="B23245" s="3" t="str">
        <f>"01064135"</f>
        <v>01064135</v>
      </c>
    </row>
    <row r="23246" spans="1:2" x14ac:dyDescent="0.25">
      <c r="A23246" s="2">
        <v>23241</v>
      </c>
      <c r="B23246" s="3" t="str">
        <f>"01064136"</f>
        <v>01064136</v>
      </c>
    </row>
    <row r="23247" spans="1:2" x14ac:dyDescent="0.25">
      <c r="A23247" s="2">
        <v>23242</v>
      </c>
      <c r="B23247" s="3" t="str">
        <f>"01064148"</f>
        <v>01064148</v>
      </c>
    </row>
    <row r="23248" spans="1:2" x14ac:dyDescent="0.25">
      <c r="A23248" s="2">
        <v>23243</v>
      </c>
      <c r="B23248" s="3" t="str">
        <f>"01064162"</f>
        <v>01064162</v>
      </c>
    </row>
    <row r="23249" spans="1:2" x14ac:dyDescent="0.25">
      <c r="A23249" s="2">
        <v>23244</v>
      </c>
      <c r="B23249" s="3" t="str">
        <f>"01064175"</f>
        <v>01064175</v>
      </c>
    </row>
    <row r="23250" spans="1:2" x14ac:dyDescent="0.25">
      <c r="A23250" s="2">
        <v>23245</v>
      </c>
      <c r="B23250" s="3" t="str">
        <f>"01064181"</f>
        <v>01064181</v>
      </c>
    </row>
    <row r="23251" spans="1:2" x14ac:dyDescent="0.25">
      <c r="A23251" s="2">
        <v>23246</v>
      </c>
      <c r="B23251" s="3" t="str">
        <f>"01064187"</f>
        <v>01064187</v>
      </c>
    </row>
    <row r="23252" spans="1:2" x14ac:dyDescent="0.25">
      <c r="A23252" s="2">
        <v>23247</v>
      </c>
      <c r="B23252" s="3" t="str">
        <f>"01064188"</f>
        <v>01064188</v>
      </c>
    </row>
    <row r="23253" spans="1:2" x14ac:dyDescent="0.25">
      <c r="A23253" s="2">
        <v>23248</v>
      </c>
      <c r="B23253" s="3" t="str">
        <f>"01064195"</f>
        <v>01064195</v>
      </c>
    </row>
    <row r="23254" spans="1:2" x14ac:dyDescent="0.25">
      <c r="A23254" s="2">
        <v>23249</v>
      </c>
      <c r="B23254" s="3" t="str">
        <f>"01064196"</f>
        <v>01064196</v>
      </c>
    </row>
    <row r="23255" spans="1:2" x14ac:dyDescent="0.25">
      <c r="A23255" s="2">
        <v>23250</v>
      </c>
      <c r="B23255" s="3" t="str">
        <f>"01064198"</f>
        <v>01064198</v>
      </c>
    </row>
    <row r="23256" spans="1:2" x14ac:dyDescent="0.25">
      <c r="A23256" s="2">
        <v>23251</v>
      </c>
      <c r="B23256" s="3" t="str">
        <f>"01064204"</f>
        <v>01064204</v>
      </c>
    </row>
    <row r="23257" spans="1:2" x14ac:dyDescent="0.25">
      <c r="A23257" s="2">
        <v>23252</v>
      </c>
      <c r="B23257" s="3" t="str">
        <f>"01064216"</f>
        <v>01064216</v>
      </c>
    </row>
    <row r="23258" spans="1:2" x14ac:dyDescent="0.25">
      <c r="A23258" s="2">
        <v>23253</v>
      </c>
      <c r="B23258" s="3" t="str">
        <f>"01064222"</f>
        <v>01064222</v>
      </c>
    </row>
    <row r="23259" spans="1:2" x14ac:dyDescent="0.25">
      <c r="A23259" s="2">
        <v>23254</v>
      </c>
      <c r="B23259" s="3" t="str">
        <f>"01064223"</f>
        <v>01064223</v>
      </c>
    </row>
    <row r="23260" spans="1:2" x14ac:dyDescent="0.25">
      <c r="A23260" s="2">
        <v>23255</v>
      </c>
      <c r="B23260" s="3" t="str">
        <f>"01064227"</f>
        <v>01064227</v>
      </c>
    </row>
    <row r="23261" spans="1:2" x14ac:dyDescent="0.25">
      <c r="A23261" s="2">
        <v>23256</v>
      </c>
      <c r="B23261" s="3" t="str">
        <f>"01064229"</f>
        <v>01064229</v>
      </c>
    </row>
    <row r="23262" spans="1:2" x14ac:dyDescent="0.25">
      <c r="A23262" s="2">
        <v>23257</v>
      </c>
      <c r="B23262" s="3" t="str">
        <f>"01064237"</f>
        <v>01064237</v>
      </c>
    </row>
    <row r="23263" spans="1:2" x14ac:dyDescent="0.25">
      <c r="A23263" s="2">
        <v>23258</v>
      </c>
      <c r="B23263" s="3" t="str">
        <f>"01064240"</f>
        <v>01064240</v>
      </c>
    </row>
    <row r="23264" spans="1:2" x14ac:dyDescent="0.25">
      <c r="A23264" s="2">
        <v>23259</v>
      </c>
      <c r="B23264" s="3" t="str">
        <f>"01064243"</f>
        <v>01064243</v>
      </c>
    </row>
    <row r="23265" spans="1:2" x14ac:dyDescent="0.25">
      <c r="A23265" s="2">
        <v>23260</v>
      </c>
      <c r="B23265" s="3" t="str">
        <f>"01064244"</f>
        <v>01064244</v>
      </c>
    </row>
    <row r="23266" spans="1:2" x14ac:dyDescent="0.25">
      <c r="A23266" s="2">
        <v>23261</v>
      </c>
      <c r="B23266" s="3" t="str">
        <f>"01064251"</f>
        <v>01064251</v>
      </c>
    </row>
    <row r="23267" spans="1:2" x14ac:dyDescent="0.25">
      <c r="A23267" s="2">
        <v>23262</v>
      </c>
      <c r="B23267" s="3" t="str">
        <f>"01064275"</f>
        <v>01064275</v>
      </c>
    </row>
    <row r="23268" spans="1:2" x14ac:dyDescent="0.25">
      <c r="A23268" s="2">
        <v>23263</v>
      </c>
      <c r="B23268" s="3" t="str">
        <f>"01064279"</f>
        <v>01064279</v>
      </c>
    </row>
    <row r="23269" spans="1:2" x14ac:dyDescent="0.25">
      <c r="A23269" s="2">
        <v>23264</v>
      </c>
      <c r="B23269" s="3" t="str">
        <f>"01064280"</f>
        <v>01064280</v>
      </c>
    </row>
    <row r="23270" spans="1:2" x14ac:dyDescent="0.25">
      <c r="A23270" s="2">
        <v>23265</v>
      </c>
      <c r="B23270" s="3" t="str">
        <f>"01064287"</f>
        <v>01064287</v>
      </c>
    </row>
    <row r="23271" spans="1:2" x14ac:dyDescent="0.25">
      <c r="A23271" s="2">
        <v>23266</v>
      </c>
      <c r="B23271" s="3" t="str">
        <f>"01064295"</f>
        <v>01064295</v>
      </c>
    </row>
    <row r="23272" spans="1:2" x14ac:dyDescent="0.25">
      <c r="A23272" s="2">
        <v>23267</v>
      </c>
      <c r="B23272" s="3" t="str">
        <f>"01064296"</f>
        <v>01064296</v>
      </c>
    </row>
    <row r="23273" spans="1:2" x14ac:dyDescent="0.25">
      <c r="A23273" s="2">
        <v>23268</v>
      </c>
      <c r="B23273" s="3" t="str">
        <f>"01064305"</f>
        <v>01064305</v>
      </c>
    </row>
    <row r="23274" spans="1:2" x14ac:dyDescent="0.25">
      <c r="A23274" s="2">
        <v>23269</v>
      </c>
      <c r="B23274" s="3" t="str">
        <f>"01064306"</f>
        <v>01064306</v>
      </c>
    </row>
    <row r="23275" spans="1:2" x14ac:dyDescent="0.25">
      <c r="A23275" s="2">
        <v>23270</v>
      </c>
      <c r="B23275" s="3" t="str">
        <f>"01064309"</f>
        <v>01064309</v>
      </c>
    </row>
    <row r="23276" spans="1:2" x14ac:dyDescent="0.25">
      <c r="A23276" s="2">
        <v>23271</v>
      </c>
      <c r="B23276" s="3" t="str">
        <f>"01064321"</f>
        <v>01064321</v>
      </c>
    </row>
    <row r="23277" spans="1:2" x14ac:dyDescent="0.25">
      <c r="A23277" s="2">
        <v>23272</v>
      </c>
      <c r="B23277" s="3" t="str">
        <f>"01064329"</f>
        <v>01064329</v>
      </c>
    </row>
    <row r="23278" spans="1:2" x14ac:dyDescent="0.25">
      <c r="A23278" s="2">
        <v>23273</v>
      </c>
      <c r="B23278" s="3" t="str">
        <f>"01064352"</f>
        <v>01064352</v>
      </c>
    </row>
    <row r="23279" spans="1:2" x14ac:dyDescent="0.25">
      <c r="A23279" s="2">
        <v>23274</v>
      </c>
      <c r="B23279" s="3" t="str">
        <f>"01064353"</f>
        <v>01064353</v>
      </c>
    </row>
    <row r="23280" spans="1:2" x14ac:dyDescent="0.25">
      <c r="A23280" s="2">
        <v>23275</v>
      </c>
      <c r="B23280" s="3" t="str">
        <f>"01064354"</f>
        <v>01064354</v>
      </c>
    </row>
    <row r="23281" spans="1:2" x14ac:dyDescent="0.25">
      <c r="A23281" s="2">
        <v>23276</v>
      </c>
      <c r="B23281" s="3" t="str">
        <f>"01064361"</f>
        <v>01064361</v>
      </c>
    </row>
    <row r="23282" spans="1:2" x14ac:dyDescent="0.25">
      <c r="A23282" s="2">
        <v>23277</v>
      </c>
      <c r="B23282" s="3" t="str">
        <f>"01064366"</f>
        <v>01064366</v>
      </c>
    </row>
    <row r="23283" spans="1:2" x14ac:dyDescent="0.25">
      <c r="A23283" s="2">
        <v>23278</v>
      </c>
      <c r="B23283" s="3" t="str">
        <f>"01064383"</f>
        <v>01064383</v>
      </c>
    </row>
    <row r="23284" spans="1:2" x14ac:dyDescent="0.25">
      <c r="A23284" s="2">
        <v>23279</v>
      </c>
      <c r="B23284" s="3" t="str">
        <f>"01064400"</f>
        <v>01064400</v>
      </c>
    </row>
    <row r="23285" spans="1:2" x14ac:dyDescent="0.25">
      <c r="A23285" s="2">
        <v>23280</v>
      </c>
      <c r="B23285" s="3" t="str">
        <f>"01064404"</f>
        <v>01064404</v>
      </c>
    </row>
    <row r="23286" spans="1:2" x14ac:dyDescent="0.25">
      <c r="A23286" s="2">
        <v>23281</v>
      </c>
      <c r="B23286" s="3" t="str">
        <f>"01064405"</f>
        <v>01064405</v>
      </c>
    </row>
    <row r="23287" spans="1:2" x14ac:dyDescent="0.25">
      <c r="A23287" s="2">
        <v>23282</v>
      </c>
      <c r="B23287" s="3" t="str">
        <f>"01064409"</f>
        <v>01064409</v>
      </c>
    </row>
    <row r="23288" spans="1:2" x14ac:dyDescent="0.25">
      <c r="A23288" s="2">
        <v>23283</v>
      </c>
      <c r="B23288" s="3" t="str">
        <f>"01064415"</f>
        <v>01064415</v>
      </c>
    </row>
    <row r="23289" spans="1:2" x14ac:dyDescent="0.25">
      <c r="A23289" s="2">
        <v>23284</v>
      </c>
      <c r="B23289" s="3" t="str">
        <f>"01064433"</f>
        <v>01064433</v>
      </c>
    </row>
    <row r="23290" spans="1:2" x14ac:dyDescent="0.25">
      <c r="A23290" s="2">
        <v>23285</v>
      </c>
      <c r="B23290" s="3" t="str">
        <f>"01064436"</f>
        <v>01064436</v>
      </c>
    </row>
    <row r="23291" spans="1:2" x14ac:dyDescent="0.25">
      <c r="A23291" s="2">
        <v>23286</v>
      </c>
      <c r="B23291" s="3" t="str">
        <f>"01064439"</f>
        <v>01064439</v>
      </c>
    </row>
    <row r="23292" spans="1:2" x14ac:dyDescent="0.25">
      <c r="A23292" s="2">
        <v>23287</v>
      </c>
      <c r="B23292" s="3" t="str">
        <f>"01064451"</f>
        <v>01064451</v>
      </c>
    </row>
    <row r="23293" spans="1:2" x14ac:dyDescent="0.25">
      <c r="A23293" s="2">
        <v>23288</v>
      </c>
      <c r="B23293" s="3" t="str">
        <f>"01064461"</f>
        <v>01064461</v>
      </c>
    </row>
    <row r="23294" spans="1:2" x14ac:dyDescent="0.25">
      <c r="A23294" s="2">
        <v>23289</v>
      </c>
      <c r="B23294" s="3" t="str">
        <f>"01064465"</f>
        <v>01064465</v>
      </c>
    </row>
    <row r="23295" spans="1:2" x14ac:dyDescent="0.25">
      <c r="A23295" s="2">
        <v>23290</v>
      </c>
      <c r="B23295" s="3" t="str">
        <f>"01064472"</f>
        <v>01064472</v>
      </c>
    </row>
    <row r="23296" spans="1:2" x14ac:dyDescent="0.25">
      <c r="A23296" s="2">
        <v>23291</v>
      </c>
      <c r="B23296" s="3" t="str">
        <f>"01064477"</f>
        <v>01064477</v>
      </c>
    </row>
    <row r="23297" spans="1:2" x14ac:dyDescent="0.25">
      <c r="A23297" s="2">
        <v>23292</v>
      </c>
      <c r="B23297" s="3" t="str">
        <f>"01064484"</f>
        <v>01064484</v>
      </c>
    </row>
    <row r="23298" spans="1:2" x14ac:dyDescent="0.25">
      <c r="A23298" s="2">
        <v>23293</v>
      </c>
      <c r="B23298" s="3" t="str">
        <f>"01064504"</f>
        <v>01064504</v>
      </c>
    </row>
    <row r="23299" spans="1:2" x14ac:dyDescent="0.25">
      <c r="A23299" s="2">
        <v>23294</v>
      </c>
      <c r="B23299" s="3" t="str">
        <f>"01064507"</f>
        <v>01064507</v>
      </c>
    </row>
    <row r="23300" spans="1:2" x14ac:dyDescent="0.25">
      <c r="A23300" s="2">
        <v>23295</v>
      </c>
      <c r="B23300" s="3" t="str">
        <f>"01064511"</f>
        <v>01064511</v>
      </c>
    </row>
    <row r="23301" spans="1:2" x14ac:dyDescent="0.25">
      <c r="A23301" s="2">
        <v>23296</v>
      </c>
      <c r="B23301" s="3" t="str">
        <f>"01064519"</f>
        <v>01064519</v>
      </c>
    </row>
    <row r="23302" spans="1:2" x14ac:dyDescent="0.25">
      <c r="A23302" s="2">
        <v>23297</v>
      </c>
      <c r="B23302" s="3" t="str">
        <f>"01064521"</f>
        <v>01064521</v>
      </c>
    </row>
    <row r="23303" spans="1:2" x14ac:dyDescent="0.25">
      <c r="A23303" s="2">
        <v>23298</v>
      </c>
      <c r="B23303" s="3" t="str">
        <f>"01064525"</f>
        <v>01064525</v>
      </c>
    </row>
    <row r="23304" spans="1:2" x14ac:dyDescent="0.25">
      <c r="A23304" s="2">
        <v>23299</v>
      </c>
      <c r="B23304" s="3" t="str">
        <f>"01064529"</f>
        <v>01064529</v>
      </c>
    </row>
    <row r="23305" spans="1:2" x14ac:dyDescent="0.25">
      <c r="A23305" s="2">
        <v>23300</v>
      </c>
      <c r="B23305" s="3" t="str">
        <f>"01064533"</f>
        <v>01064533</v>
      </c>
    </row>
    <row r="23306" spans="1:2" x14ac:dyDescent="0.25">
      <c r="A23306" s="2">
        <v>23301</v>
      </c>
      <c r="B23306" s="3" t="str">
        <f>"01064534"</f>
        <v>01064534</v>
      </c>
    </row>
    <row r="23307" spans="1:2" x14ac:dyDescent="0.25">
      <c r="A23307" s="2">
        <v>23302</v>
      </c>
      <c r="B23307" s="3" t="str">
        <f>"01064536"</f>
        <v>01064536</v>
      </c>
    </row>
    <row r="23308" spans="1:2" x14ac:dyDescent="0.25">
      <c r="A23308" s="2">
        <v>23303</v>
      </c>
      <c r="B23308" s="3" t="str">
        <f>"01064543"</f>
        <v>01064543</v>
      </c>
    </row>
    <row r="23309" spans="1:2" x14ac:dyDescent="0.25">
      <c r="A23309" s="2">
        <v>23304</v>
      </c>
      <c r="B23309" s="3" t="str">
        <f>"01064548"</f>
        <v>01064548</v>
      </c>
    </row>
    <row r="23310" spans="1:2" x14ac:dyDescent="0.25">
      <c r="A23310" s="2">
        <v>23305</v>
      </c>
      <c r="B23310" s="3" t="str">
        <f>"01064549"</f>
        <v>01064549</v>
      </c>
    </row>
    <row r="23311" spans="1:2" x14ac:dyDescent="0.25">
      <c r="A23311" s="2">
        <v>23306</v>
      </c>
      <c r="B23311" s="3" t="str">
        <f>"01064551"</f>
        <v>01064551</v>
      </c>
    </row>
    <row r="23312" spans="1:2" x14ac:dyDescent="0.25">
      <c r="A23312" s="2">
        <v>23307</v>
      </c>
      <c r="B23312" s="3" t="str">
        <f>"01064552"</f>
        <v>01064552</v>
      </c>
    </row>
    <row r="23313" spans="1:2" x14ac:dyDescent="0.25">
      <c r="A23313" s="2">
        <v>23308</v>
      </c>
      <c r="B23313" s="3" t="str">
        <f>"01064556"</f>
        <v>01064556</v>
      </c>
    </row>
    <row r="23314" spans="1:2" x14ac:dyDescent="0.25">
      <c r="A23314" s="2">
        <v>23309</v>
      </c>
      <c r="B23314" s="3" t="str">
        <f>"01064557"</f>
        <v>01064557</v>
      </c>
    </row>
    <row r="23315" spans="1:2" x14ac:dyDescent="0.25">
      <c r="A23315" s="2">
        <v>23310</v>
      </c>
      <c r="B23315" s="3" t="str">
        <f>"01064576"</f>
        <v>01064576</v>
      </c>
    </row>
    <row r="23316" spans="1:2" x14ac:dyDescent="0.25">
      <c r="A23316" s="2">
        <v>23311</v>
      </c>
      <c r="B23316" s="3" t="str">
        <f>"01064577"</f>
        <v>01064577</v>
      </c>
    </row>
    <row r="23317" spans="1:2" x14ac:dyDescent="0.25">
      <c r="A23317" s="2">
        <v>23312</v>
      </c>
      <c r="B23317" s="3" t="str">
        <f>"01064578"</f>
        <v>01064578</v>
      </c>
    </row>
    <row r="23318" spans="1:2" x14ac:dyDescent="0.25">
      <c r="A23318" s="2">
        <v>23313</v>
      </c>
      <c r="B23318" s="3" t="str">
        <f>"01064584"</f>
        <v>01064584</v>
      </c>
    </row>
    <row r="23319" spans="1:2" x14ac:dyDescent="0.25">
      <c r="A23319" s="2">
        <v>23314</v>
      </c>
      <c r="B23319" s="3" t="str">
        <f>"01064590"</f>
        <v>01064590</v>
      </c>
    </row>
    <row r="23320" spans="1:2" x14ac:dyDescent="0.25">
      <c r="A23320" s="2">
        <v>23315</v>
      </c>
      <c r="B23320" s="3" t="str">
        <f>"01064602"</f>
        <v>01064602</v>
      </c>
    </row>
    <row r="23321" spans="1:2" x14ac:dyDescent="0.25">
      <c r="A23321" s="2">
        <v>23316</v>
      </c>
      <c r="B23321" s="3" t="str">
        <f>"01064604"</f>
        <v>01064604</v>
      </c>
    </row>
    <row r="23322" spans="1:2" x14ac:dyDescent="0.25">
      <c r="A23322" s="2">
        <v>23317</v>
      </c>
      <c r="B23322" s="3" t="str">
        <f>"01064607"</f>
        <v>01064607</v>
      </c>
    </row>
    <row r="23323" spans="1:2" x14ac:dyDescent="0.25">
      <c r="A23323" s="2">
        <v>23318</v>
      </c>
      <c r="B23323" s="3" t="str">
        <f>"01064621"</f>
        <v>01064621</v>
      </c>
    </row>
    <row r="23324" spans="1:2" x14ac:dyDescent="0.25">
      <c r="A23324" s="2">
        <v>23319</v>
      </c>
      <c r="B23324" s="3" t="str">
        <f>"01064627"</f>
        <v>01064627</v>
      </c>
    </row>
    <row r="23325" spans="1:2" x14ac:dyDescent="0.25">
      <c r="A23325" s="2">
        <v>23320</v>
      </c>
      <c r="B23325" s="3" t="str">
        <f>"01064629"</f>
        <v>01064629</v>
      </c>
    </row>
    <row r="23326" spans="1:2" x14ac:dyDescent="0.25">
      <c r="A23326" s="2">
        <v>23321</v>
      </c>
      <c r="B23326" s="3" t="str">
        <f>"01064632"</f>
        <v>01064632</v>
      </c>
    </row>
    <row r="23327" spans="1:2" x14ac:dyDescent="0.25">
      <c r="A23327" s="2">
        <v>23322</v>
      </c>
      <c r="B23327" s="3" t="str">
        <f>"01064637"</f>
        <v>01064637</v>
      </c>
    </row>
    <row r="23328" spans="1:2" x14ac:dyDescent="0.25">
      <c r="A23328" s="2">
        <v>23323</v>
      </c>
      <c r="B23328" s="3" t="str">
        <f>"01064644"</f>
        <v>01064644</v>
      </c>
    </row>
    <row r="23329" spans="1:2" x14ac:dyDescent="0.25">
      <c r="A23329" s="2">
        <v>23324</v>
      </c>
      <c r="B23329" s="3" t="str">
        <f>"01064645"</f>
        <v>01064645</v>
      </c>
    </row>
    <row r="23330" spans="1:2" x14ac:dyDescent="0.25">
      <c r="A23330" s="2">
        <v>23325</v>
      </c>
      <c r="B23330" s="3" t="str">
        <f>"01064670"</f>
        <v>01064670</v>
      </c>
    </row>
    <row r="23331" spans="1:2" x14ac:dyDescent="0.25">
      <c r="A23331" s="2">
        <v>23326</v>
      </c>
      <c r="B23331" s="3" t="str">
        <f>"01064673"</f>
        <v>01064673</v>
      </c>
    </row>
    <row r="23332" spans="1:2" x14ac:dyDescent="0.25">
      <c r="A23332" s="2">
        <v>23327</v>
      </c>
      <c r="B23332" s="3" t="str">
        <f>"01064674"</f>
        <v>01064674</v>
      </c>
    </row>
    <row r="23333" spans="1:2" x14ac:dyDescent="0.25">
      <c r="A23333" s="2">
        <v>23328</v>
      </c>
      <c r="B23333" s="3" t="str">
        <f>"01064677"</f>
        <v>01064677</v>
      </c>
    </row>
    <row r="23334" spans="1:2" x14ac:dyDescent="0.25">
      <c r="A23334" s="2">
        <v>23329</v>
      </c>
      <c r="B23334" s="3" t="str">
        <f>"01064680"</f>
        <v>01064680</v>
      </c>
    </row>
    <row r="23335" spans="1:2" x14ac:dyDescent="0.25">
      <c r="A23335" s="2">
        <v>23330</v>
      </c>
      <c r="B23335" s="3" t="str">
        <f>"01064684"</f>
        <v>01064684</v>
      </c>
    </row>
    <row r="23336" spans="1:2" x14ac:dyDescent="0.25">
      <c r="A23336" s="2">
        <v>23331</v>
      </c>
      <c r="B23336" s="3" t="str">
        <f>"01064688"</f>
        <v>01064688</v>
      </c>
    </row>
    <row r="23337" spans="1:2" x14ac:dyDescent="0.25">
      <c r="A23337" s="2">
        <v>23332</v>
      </c>
      <c r="B23337" s="3" t="str">
        <f>"01064690"</f>
        <v>01064690</v>
      </c>
    </row>
    <row r="23338" spans="1:2" x14ac:dyDescent="0.25">
      <c r="A23338" s="2">
        <v>23333</v>
      </c>
      <c r="B23338" s="3" t="str">
        <f>"01064698"</f>
        <v>01064698</v>
      </c>
    </row>
    <row r="23339" spans="1:2" x14ac:dyDescent="0.25">
      <c r="A23339" s="2">
        <v>23334</v>
      </c>
      <c r="B23339" s="3" t="str">
        <f>"01064706"</f>
        <v>01064706</v>
      </c>
    </row>
    <row r="23340" spans="1:2" x14ac:dyDescent="0.25">
      <c r="A23340" s="2">
        <v>23335</v>
      </c>
      <c r="B23340" s="3" t="str">
        <f>"01064707"</f>
        <v>01064707</v>
      </c>
    </row>
    <row r="23341" spans="1:2" x14ac:dyDescent="0.25">
      <c r="A23341" s="2">
        <v>23336</v>
      </c>
      <c r="B23341" s="3" t="str">
        <f>"01064709"</f>
        <v>01064709</v>
      </c>
    </row>
    <row r="23342" spans="1:2" x14ac:dyDescent="0.25">
      <c r="A23342" s="2">
        <v>23337</v>
      </c>
      <c r="B23342" s="3" t="str">
        <f>"01064713"</f>
        <v>01064713</v>
      </c>
    </row>
    <row r="23343" spans="1:2" x14ac:dyDescent="0.25">
      <c r="A23343" s="2">
        <v>23338</v>
      </c>
      <c r="B23343" s="3" t="str">
        <f>"01064717"</f>
        <v>01064717</v>
      </c>
    </row>
    <row r="23344" spans="1:2" x14ac:dyDescent="0.25">
      <c r="A23344" s="2">
        <v>23339</v>
      </c>
      <c r="B23344" s="3" t="str">
        <f>"01064727"</f>
        <v>01064727</v>
      </c>
    </row>
    <row r="23345" spans="1:2" x14ac:dyDescent="0.25">
      <c r="A23345" s="2">
        <v>23340</v>
      </c>
      <c r="B23345" s="3" t="str">
        <f>"01064730"</f>
        <v>01064730</v>
      </c>
    </row>
    <row r="23346" spans="1:2" x14ac:dyDescent="0.25">
      <c r="A23346" s="2">
        <v>23341</v>
      </c>
      <c r="B23346" s="3" t="str">
        <f>"01064748"</f>
        <v>01064748</v>
      </c>
    </row>
    <row r="23347" spans="1:2" x14ac:dyDescent="0.25">
      <c r="A23347" s="2">
        <v>23342</v>
      </c>
      <c r="B23347" s="3" t="str">
        <f>"01064750"</f>
        <v>01064750</v>
      </c>
    </row>
    <row r="23348" spans="1:2" x14ac:dyDescent="0.25">
      <c r="A23348" s="2">
        <v>23343</v>
      </c>
      <c r="B23348" s="3" t="str">
        <f>"01064751"</f>
        <v>01064751</v>
      </c>
    </row>
    <row r="23349" spans="1:2" x14ac:dyDescent="0.25">
      <c r="A23349" s="2">
        <v>23344</v>
      </c>
      <c r="B23349" s="3" t="str">
        <f>"01064752"</f>
        <v>01064752</v>
      </c>
    </row>
    <row r="23350" spans="1:2" x14ac:dyDescent="0.25">
      <c r="A23350" s="2">
        <v>23345</v>
      </c>
      <c r="B23350" s="3" t="str">
        <f>"01064763"</f>
        <v>01064763</v>
      </c>
    </row>
    <row r="23351" spans="1:2" x14ac:dyDescent="0.25">
      <c r="A23351" s="2">
        <v>23346</v>
      </c>
      <c r="B23351" s="3" t="str">
        <f>"01064764"</f>
        <v>01064764</v>
      </c>
    </row>
    <row r="23352" spans="1:2" x14ac:dyDescent="0.25">
      <c r="A23352" s="2">
        <v>23347</v>
      </c>
      <c r="B23352" s="3" t="str">
        <f>"01064767"</f>
        <v>01064767</v>
      </c>
    </row>
    <row r="23353" spans="1:2" x14ac:dyDescent="0.25">
      <c r="A23353" s="2">
        <v>23348</v>
      </c>
      <c r="B23353" s="3" t="str">
        <f>"01064770"</f>
        <v>01064770</v>
      </c>
    </row>
    <row r="23354" spans="1:2" x14ac:dyDescent="0.25">
      <c r="A23354" s="2">
        <v>23349</v>
      </c>
      <c r="B23354" s="3" t="str">
        <f>"01064791"</f>
        <v>01064791</v>
      </c>
    </row>
    <row r="23355" spans="1:2" x14ac:dyDescent="0.25">
      <c r="A23355" s="2">
        <v>23350</v>
      </c>
      <c r="B23355" s="3" t="str">
        <f>"01064798"</f>
        <v>01064798</v>
      </c>
    </row>
    <row r="23356" spans="1:2" x14ac:dyDescent="0.25">
      <c r="A23356" s="2">
        <v>23351</v>
      </c>
      <c r="B23356" s="3" t="str">
        <f>"01064813"</f>
        <v>01064813</v>
      </c>
    </row>
    <row r="23357" spans="1:2" x14ac:dyDescent="0.25">
      <c r="A23357" s="2">
        <v>23352</v>
      </c>
      <c r="B23357" s="3" t="str">
        <f>"01064818"</f>
        <v>01064818</v>
      </c>
    </row>
    <row r="23358" spans="1:2" x14ac:dyDescent="0.25">
      <c r="A23358" s="2">
        <v>23353</v>
      </c>
      <c r="B23358" s="3" t="str">
        <f>"01064821"</f>
        <v>01064821</v>
      </c>
    </row>
    <row r="23359" spans="1:2" x14ac:dyDescent="0.25">
      <c r="A23359" s="2">
        <v>23354</v>
      </c>
      <c r="B23359" s="3" t="str">
        <f>"01064822"</f>
        <v>01064822</v>
      </c>
    </row>
    <row r="23360" spans="1:2" x14ac:dyDescent="0.25">
      <c r="A23360" s="2">
        <v>23355</v>
      </c>
      <c r="B23360" s="3" t="str">
        <f>"01064837"</f>
        <v>01064837</v>
      </c>
    </row>
    <row r="23361" spans="1:2" x14ac:dyDescent="0.25">
      <c r="A23361" s="2">
        <v>23356</v>
      </c>
      <c r="B23361" s="3" t="str">
        <f>"01064839"</f>
        <v>01064839</v>
      </c>
    </row>
    <row r="23362" spans="1:2" x14ac:dyDescent="0.25">
      <c r="A23362" s="2">
        <v>23357</v>
      </c>
      <c r="B23362" s="3" t="str">
        <f>"01064844"</f>
        <v>01064844</v>
      </c>
    </row>
    <row r="23363" spans="1:2" x14ac:dyDescent="0.25">
      <c r="A23363" s="2">
        <v>23358</v>
      </c>
      <c r="B23363" s="3" t="str">
        <f>"01064848"</f>
        <v>01064848</v>
      </c>
    </row>
    <row r="23364" spans="1:2" x14ac:dyDescent="0.25">
      <c r="A23364" s="2">
        <v>23359</v>
      </c>
      <c r="B23364" s="3" t="str">
        <f>"01064849"</f>
        <v>01064849</v>
      </c>
    </row>
    <row r="23365" spans="1:2" x14ac:dyDescent="0.25">
      <c r="A23365" s="2">
        <v>23360</v>
      </c>
      <c r="B23365" s="3" t="str">
        <f>"01064855"</f>
        <v>01064855</v>
      </c>
    </row>
    <row r="23366" spans="1:2" x14ac:dyDescent="0.25">
      <c r="A23366" s="2">
        <v>23361</v>
      </c>
      <c r="B23366" s="3" t="str">
        <f>"01064856"</f>
        <v>01064856</v>
      </c>
    </row>
    <row r="23367" spans="1:2" x14ac:dyDescent="0.25">
      <c r="A23367" s="2">
        <v>23362</v>
      </c>
      <c r="B23367" s="3" t="str">
        <f>"01064857"</f>
        <v>01064857</v>
      </c>
    </row>
    <row r="23368" spans="1:2" x14ac:dyDescent="0.25">
      <c r="A23368" s="2">
        <v>23363</v>
      </c>
      <c r="B23368" s="3" t="str">
        <f>"01064858"</f>
        <v>01064858</v>
      </c>
    </row>
    <row r="23369" spans="1:2" x14ac:dyDescent="0.25">
      <c r="A23369" s="2">
        <v>23364</v>
      </c>
      <c r="B23369" s="3" t="str">
        <f>"01064867"</f>
        <v>01064867</v>
      </c>
    </row>
    <row r="23370" spans="1:2" x14ac:dyDescent="0.25">
      <c r="A23370" s="2">
        <v>23365</v>
      </c>
      <c r="B23370" s="3" t="str">
        <f>"01064869"</f>
        <v>01064869</v>
      </c>
    </row>
    <row r="23371" spans="1:2" x14ac:dyDescent="0.25">
      <c r="A23371" s="2">
        <v>23366</v>
      </c>
      <c r="B23371" s="3" t="str">
        <f>"01064880"</f>
        <v>01064880</v>
      </c>
    </row>
    <row r="23372" spans="1:2" x14ac:dyDescent="0.25">
      <c r="A23372" s="2">
        <v>23367</v>
      </c>
      <c r="B23372" s="3" t="str">
        <f>"01064884"</f>
        <v>01064884</v>
      </c>
    </row>
    <row r="23373" spans="1:2" x14ac:dyDescent="0.25">
      <c r="A23373" s="2">
        <v>23368</v>
      </c>
      <c r="B23373" s="3" t="str">
        <f>"01064886"</f>
        <v>01064886</v>
      </c>
    </row>
    <row r="23374" spans="1:2" x14ac:dyDescent="0.25">
      <c r="A23374" s="2">
        <v>23369</v>
      </c>
      <c r="B23374" s="3" t="str">
        <f>"01064893"</f>
        <v>01064893</v>
      </c>
    </row>
    <row r="23375" spans="1:2" x14ac:dyDescent="0.25">
      <c r="A23375" s="2">
        <v>23370</v>
      </c>
      <c r="B23375" s="3" t="str">
        <f>"01064908"</f>
        <v>01064908</v>
      </c>
    </row>
    <row r="23376" spans="1:2" x14ac:dyDescent="0.25">
      <c r="A23376" s="2">
        <v>23371</v>
      </c>
      <c r="B23376" s="3" t="str">
        <f>"01064910"</f>
        <v>01064910</v>
      </c>
    </row>
    <row r="23377" spans="1:2" x14ac:dyDescent="0.25">
      <c r="A23377" s="2">
        <v>23372</v>
      </c>
      <c r="B23377" s="3" t="str">
        <f>"01064911"</f>
        <v>01064911</v>
      </c>
    </row>
    <row r="23378" spans="1:2" x14ac:dyDescent="0.25">
      <c r="A23378" s="2">
        <v>23373</v>
      </c>
      <c r="B23378" s="3" t="str">
        <f>"01064914"</f>
        <v>01064914</v>
      </c>
    </row>
    <row r="23379" spans="1:2" x14ac:dyDescent="0.25">
      <c r="A23379" s="2">
        <v>23374</v>
      </c>
      <c r="B23379" s="3" t="str">
        <f>"01064920"</f>
        <v>01064920</v>
      </c>
    </row>
    <row r="23380" spans="1:2" x14ac:dyDescent="0.25">
      <c r="A23380" s="2">
        <v>23375</v>
      </c>
      <c r="B23380" s="3" t="str">
        <f>"01064924"</f>
        <v>01064924</v>
      </c>
    </row>
    <row r="23381" spans="1:2" x14ac:dyDescent="0.25">
      <c r="A23381" s="2">
        <v>23376</v>
      </c>
      <c r="B23381" s="3" t="str">
        <f>"01064925"</f>
        <v>01064925</v>
      </c>
    </row>
    <row r="23382" spans="1:2" x14ac:dyDescent="0.25">
      <c r="A23382" s="2">
        <v>23377</v>
      </c>
      <c r="B23382" s="3" t="str">
        <f>"01064928"</f>
        <v>01064928</v>
      </c>
    </row>
    <row r="23383" spans="1:2" x14ac:dyDescent="0.25">
      <c r="A23383" s="2">
        <v>23378</v>
      </c>
      <c r="B23383" s="3" t="str">
        <f>"01064929"</f>
        <v>01064929</v>
      </c>
    </row>
    <row r="23384" spans="1:2" x14ac:dyDescent="0.25">
      <c r="A23384" s="2">
        <v>23379</v>
      </c>
      <c r="B23384" s="3" t="str">
        <f>"01064935"</f>
        <v>01064935</v>
      </c>
    </row>
    <row r="23385" spans="1:2" x14ac:dyDescent="0.25">
      <c r="A23385" s="2">
        <v>23380</v>
      </c>
      <c r="B23385" s="3" t="str">
        <f>"01064936"</f>
        <v>01064936</v>
      </c>
    </row>
    <row r="23386" spans="1:2" x14ac:dyDescent="0.25">
      <c r="A23386" s="2">
        <v>23381</v>
      </c>
      <c r="B23386" s="3" t="str">
        <f>"01064942"</f>
        <v>01064942</v>
      </c>
    </row>
    <row r="23387" spans="1:2" x14ac:dyDescent="0.25">
      <c r="A23387" s="2">
        <v>23382</v>
      </c>
      <c r="B23387" s="3" t="str">
        <f>"01064943"</f>
        <v>01064943</v>
      </c>
    </row>
    <row r="23388" spans="1:2" x14ac:dyDescent="0.25">
      <c r="A23388" s="2">
        <v>23383</v>
      </c>
      <c r="B23388" s="3" t="str">
        <f>"01064950"</f>
        <v>01064950</v>
      </c>
    </row>
    <row r="23389" spans="1:2" x14ac:dyDescent="0.25">
      <c r="A23389" s="2">
        <v>23384</v>
      </c>
      <c r="B23389" s="3" t="str">
        <f>"01064953"</f>
        <v>01064953</v>
      </c>
    </row>
    <row r="23390" spans="1:2" x14ac:dyDescent="0.25">
      <c r="A23390" s="2">
        <v>23385</v>
      </c>
      <c r="B23390" s="3" t="str">
        <f>"01064957"</f>
        <v>01064957</v>
      </c>
    </row>
    <row r="23391" spans="1:2" x14ac:dyDescent="0.25">
      <c r="A23391" s="2">
        <v>23386</v>
      </c>
      <c r="B23391" s="3" t="str">
        <f>"01064961"</f>
        <v>01064961</v>
      </c>
    </row>
    <row r="23392" spans="1:2" x14ac:dyDescent="0.25">
      <c r="A23392" s="2">
        <v>23387</v>
      </c>
      <c r="B23392" s="3" t="str">
        <f>"01064977"</f>
        <v>01064977</v>
      </c>
    </row>
    <row r="23393" spans="1:2" x14ac:dyDescent="0.25">
      <c r="A23393" s="2">
        <v>23388</v>
      </c>
      <c r="B23393" s="3" t="str">
        <f>"01064980"</f>
        <v>01064980</v>
      </c>
    </row>
    <row r="23394" spans="1:2" x14ac:dyDescent="0.25">
      <c r="A23394" s="2">
        <v>23389</v>
      </c>
      <c r="B23394" s="3" t="str">
        <f>"01064986"</f>
        <v>01064986</v>
      </c>
    </row>
    <row r="23395" spans="1:2" x14ac:dyDescent="0.25">
      <c r="A23395" s="2">
        <v>23390</v>
      </c>
      <c r="B23395" s="3" t="str">
        <f>"01064993"</f>
        <v>01064993</v>
      </c>
    </row>
    <row r="23396" spans="1:2" x14ac:dyDescent="0.25">
      <c r="A23396" s="2">
        <v>23391</v>
      </c>
      <c r="B23396" s="3" t="str">
        <f>"01064996"</f>
        <v>01064996</v>
      </c>
    </row>
    <row r="23397" spans="1:2" x14ac:dyDescent="0.25">
      <c r="A23397" s="2">
        <v>23392</v>
      </c>
      <c r="B23397" s="3" t="str">
        <f>"01064999"</f>
        <v>01064999</v>
      </c>
    </row>
    <row r="23398" spans="1:2" x14ac:dyDescent="0.25">
      <c r="A23398" s="2">
        <v>23393</v>
      </c>
      <c r="B23398" s="3" t="str">
        <f>"01065002"</f>
        <v>01065002</v>
      </c>
    </row>
    <row r="23399" spans="1:2" x14ac:dyDescent="0.25">
      <c r="A23399" s="2">
        <v>23394</v>
      </c>
      <c r="B23399" s="3" t="str">
        <f>"01065013"</f>
        <v>01065013</v>
      </c>
    </row>
    <row r="23400" spans="1:2" x14ac:dyDescent="0.25">
      <c r="A23400" s="2">
        <v>23395</v>
      </c>
      <c r="B23400" s="3" t="str">
        <f>"01065025"</f>
        <v>01065025</v>
      </c>
    </row>
    <row r="23401" spans="1:2" x14ac:dyDescent="0.25">
      <c r="A23401" s="2">
        <v>23396</v>
      </c>
      <c r="B23401" s="3" t="str">
        <f>"01065029"</f>
        <v>01065029</v>
      </c>
    </row>
    <row r="23402" spans="1:2" x14ac:dyDescent="0.25">
      <c r="A23402" s="2">
        <v>23397</v>
      </c>
      <c r="B23402" s="3" t="str">
        <f>"01065032"</f>
        <v>01065032</v>
      </c>
    </row>
    <row r="23403" spans="1:2" x14ac:dyDescent="0.25">
      <c r="A23403" s="2">
        <v>23398</v>
      </c>
      <c r="B23403" s="3" t="str">
        <f>"01065042"</f>
        <v>01065042</v>
      </c>
    </row>
    <row r="23404" spans="1:2" x14ac:dyDescent="0.25">
      <c r="A23404" s="2">
        <v>23399</v>
      </c>
      <c r="B23404" s="3" t="str">
        <f>"01065043"</f>
        <v>01065043</v>
      </c>
    </row>
    <row r="23405" spans="1:2" x14ac:dyDescent="0.25">
      <c r="A23405" s="2">
        <v>23400</v>
      </c>
      <c r="B23405" s="3" t="str">
        <f>"01065049"</f>
        <v>01065049</v>
      </c>
    </row>
    <row r="23406" spans="1:2" x14ac:dyDescent="0.25">
      <c r="A23406" s="2">
        <v>23401</v>
      </c>
      <c r="B23406" s="3" t="str">
        <f>"01065062"</f>
        <v>01065062</v>
      </c>
    </row>
    <row r="23407" spans="1:2" x14ac:dyDescent="0.25">
      <c r="A23407" s="2">
        <v>23402</v>
      </c>
      <c r="B23407" s="3" t="str">
        <f>"01065066"</f>
        <v>01065066</v>
      </c>
    </row>
    <row r="23408" spans="1:2" x14ac:dyDescent="0.25">
      <c r="A23408" s="2">
        <v>23403</v>
      </c>
      <c r="B23408" s="3" t="str">
        <f>"01065069"</f>
        <v>01065069</v>
      </c>
    </row>
    <row r="23409" spans="1:2" x14ac:dyDescent="0.25">
      <c r="A23409" s="2">
        <v>23404</v>
      </c>
      <c r="B23409" s="3" t="str">
        <f>"01065078"</f>
        <v>01065078</v>
      </c>
    </row>
    <row r="23410" spans="1:2" x14ac:dyDescent="0.25">
      <c r="A23410" s="2">
        <v>23405</v>
      </c>
      <c r="B23410" s="3" t="str">
        <f>"01065079"</f>
        <v>01065079</v>
      </c>
    </row>
    <row r="23411" spans="1:2" x14ac:dyDescent="0.25">
      <c r="A23411" s="2">
        <v>23406</v>
      </c>
      <c r="B23411" s="3" t="str">
        <f>"01065083"</f>
        <v>01065083</v>
      </c>
    </row>
    <row r="23412" spans="1:2" x14ac:dyDescent="0.25">
      <c r="A23412" s="2">
        <v>23407</v>
      </c>
      <c r="B23412" s="3" t="str">
        <f>"01065087"</f>
        <v>01065087</v>
      </c>
    </row>
    <row r="23413" spans="1:2" x14ac:dyDescent="0.25">
      <c r="A23413" s="2">
        <v>23408</v>
      </c>
      <c r="B23413" s="3" t="str">
        <f>"01065091"</f>
        <v>01065091</v>
      </c>
    </row>
    <row r="23414" spans="1:2" x14ac:dyDescent="0.25">
      <c r="A23414" s="2">
        <v>23409</v>
      </c>
      <c r="B23414" s="3" t="str">
        <f>"01065092"</f>
        <v>01065092</v>
      </c>
    </row>
    <row r="23415" spans="1:2" x14ac:dyDescent="0.25">
      <c r="A23415" s="2">
        <v>23410</v>
      </c>
      <c r="B23415" s="3" t="str">
        <f>"01065094"</f>
        <v>01065094</v>
      </c>
    </row>
    <row r="23416" spans="1:2" x14ac:dyDescent="0.25">
      <c r="A23416" s="2">
        <v>23411</v>
      </c>
      <c r="B23416" s="3" t="str">
        <f>"01065096"</f>
        <v>01065096</v>
      </c>
    </row>
    <row r="23417" spans="1:2" x14ac:dyDescent="0.25">
      <c r="A23417" s="2">
        <v>23412</v>
      </c>
      <c r="B23417" s="3" t="str">
        <f>"01065098"</f>
        <v>01065098</v>
      </c>
    </row>
    <row r="23418" spans="1:2" x14ac:dyDescent="0.25">
      <c r="A23418" s="2">
        <v>23413</v>
      </c>
      <c r="B23418" s="3" t="str">
        <f>"01065101"</f>
        <v>01065101</v>
      </c>
    </row>
    <row r="23419" spans="1:2" x14ac:dyDescent="0.25">
      <c r="A23419" s="2">
        <v>23414</v>
      </c>
      <c r="B23419" s="3" t="str">
        <f>"01065105"</f>
        <v>01065105</v>
      </c>
    </row>
    <row r="23420" spans="1:2" x14ac:dyDescent="0.25">
      <c r="A23420" s="2">
        <v>23415</v>
      </c>
      <c r="B23420" s="3" t="str">
        <f>"01065110"</f>
        <v>01065110</v>
      </c>
    </row>
    <row r="23421" spans="1:2" x14ac:dyDescent="0.25">
      <c r="A23421" s="2">
        <v>23416</v>
      </c>
      <c r="B23421" s="3" t="str">
        <f>"01065121"</f>
        <v>01065121</v>
      </c>
    </row>
    <row r="23422" spans="1:2" x14ac:dyDescent="0.25">
      <c r="A23422" s="2">
        <v>23417</v>
      </c>
      <c r="B23422" s="3" t="str">
        <f>"01065127"</f>
        <v>01065127</v>
      </c>
    </row>
    <row r="23423" spans="1:2" x14ac:dyDescent="0.25">
      <c r="A23423" s="2">
        <v>23418</v>
      </c>
      <c r="B23423" s="3" t="str">
        <f>"01065129"</f>
        <v>01065129</v>
      </c>
    </row>
    <row r="23424" spans="1:2" x14ac:dyDescent="0.25">
      <c r="A23424" s="2">
        <v>23419</v>
      </c>
      <c r="B23424" s="3" t="str">
        <f>"01065131"</f>
        <v>01065131</v>
      </c>
    </row>
    <row r="23425" spans="1:2" x14ac:dyDescent="0.25">
      <c r="A23425" s="2">
        <v>23420</v>
      </c>
      <c r="B23425" s="3" t="str">
        <f>"01065132"</f>
        <v>01065132</v>
      </c>
    </row>
    <row r="23426" spans="1:2" x14ac:dyDescent="0.25">
      <c r="A23426" s="2">
        <v>23421</v>
      </c>
      <c r="B23426" s="3" t="str">
        <f>"01065134"</f>
        <v>01065134</v>
      </c>
    </row>
    <row r="23427" spans="1:2" x14ac:dyDescent="0.25">
      <c r="A23427" s="2">
        <v>23422</v>
      </c>
      <c r="B23427" s="3" t="str">
        <f>"01065137"</f>
        <v>01065137</v>
      </c>
    </row>
    <row r="23428" spans="1:2" x14ac:dyDescent="0.25">
      <c r="A23428" s="2">
        <v>23423</v>
      </c>
      <c r="B23428" s="3" t="str">
        <f>"01065140"</f>
        <v>01065140</v>
      </c>
    </row>
    <row r="23429" spans="1:2" x14ac:dyDescent="0.25">
      <c r="A23429" s="2">
        <v>23424</v>
      </c>
      <c r="B23429" s="3" t="str">
        <f>"01065141"</f>
        <v>01065141</v>
      </c>
    </row>
    <row r="23430" spans="1:2" x14ac:dyDescent="0.25">
      <c r="A23430" s="2">
        <v>23425</v>
      </c>
      <c r="B23430" s="3" t="str">
        <f>"01065144"</f>
        <v>01065144</v>
      </c>
    </row>
    <row r="23431" spans="1:2" x14ac:dyDescent="0.25">
      <c r="A23431" s="2">
        <v>23426</v>
      </c>
      <c r="B23431" s="3" t="str">
        <f>"01065149"</f>
        <v>01065149</v>
      </c>
    </row>
    <row r="23432" spans="1:2" x14ac:dyDescent="0.25">
      <c r="A23432" s="2">
        <v>23427</v>
      </c>
      <c r="B23432" s="3" t="str">
        <f>"01065158"</f>
        <v>01065158</v>
      </c>
    </row>
    <row r="23433" spans="1:2" x14ac:dyDescent="0.25">
      <c r="A23433" s="2">
        <v>23428</v>
      </c>
      <c r="B23433" s="3" t="str">
        <f>"01065163"</f>
        <v>01065163</v>
      </c>
    </row>
    <row r="23434" spans="1:2" x14ac:dyDescent="0.25">
      <c r="A23434" s="2">
        <v>23429</v>
      </c>
      <c r="B23434" s="3" t="str">
        <f>"01065166"</f>
        <v>01065166</v>
      </c>
    </row>
    <row r="23435" spans="1:2" x14ac:dyDescent="0.25">
      <c r="A23435" s="2">
        <v>23430</v>
      </c>
      <c r="B23435" s="3" t="str">
        <f>"01065170"</f>
        <v>01065170</v>
      </c>
    </row>
    <row r="23436" spans="1:2" x14ac:dyDescent="0.25">
      <c r="A23436" s="2">
        <v>23431</v>
      </c>
      <c r="B23436" s="3" t="str">
        <f>"01065178"</f>
        <v>01065178</v>
      </c>
    </row>
    <row r="23437" spans="1:2" x14ac:dyDescent="0.25">
      <c r="A23437" s="2">
        <v>23432</v>
      </c>
      <c r="B23437" s="3" t="str">
        <f>"01065179"</f>
        <v>01065179</v>
      </c>
    </row>
    <row r="23438" spans="1:2" x14ac:dyDescent="0.25">
      <c r="A23438" s="2">
        <v>23433</v>
      </c>
      <c r="B23438" s="3" t="str">
        <f>"01065180"</f>
        <v>01065180</v>
      </c>
    </row>
    <row r="23439" spans="1:2" x14ac:dyDescent="0.25">
      <c r="A23439" s="2">
        <v>23434</v>
      </c>
      <c r="B23439" s="3" t="str">
        <f>"01065188"</f>
        <v>01065188</v>
      </c>
    </row>
    <row r="23440" spans="1:2" x14ac:dyDescent="0.25">
      <c r="A23440" s="2">
        <v>23435</v>
      </c>
      <c r="B23440" s="3" t="str">
        <f>"01065196"</f>
        <v>01065196</v>
      </c>
    </row>
    <row r="23441" spans="1:2" x14ac:dyDescent="0.25">
      <c r="A23441" s="2">
        <v>23436</v>
      </c>
      <c r="B23441" s="3" t="str">
        <f>"01065197"</f>
        <v>01065197</v>
      </c>
    </row>
    <row r="23442" spans="1:2" x14ac:dyDescent="0.25">
      <c r="A23442" s="2">
        <v>23437</v>
      </c>
      <c r="B23442" s="3" t="str">
        <f>"01065199"</f>
        <v>01065199</v>
      </c>
    </row>
    <row r="23443" spans="1:2" x14ac:dyDescent="0.25">
      <c r="A23443" s="2">
        <v>23438</v>
      </c>
      <c r="B23443" s="3" t="str">
        <f>"01065201"</f>
        <v>01065201</v>
      </c>
    </row>
    <row r="23444" spans="1:2" x14ac:dyDescent="0.25">
      <c r="A23444" s="2">
        <v>23439</v>
      </c>
      <c r="B23444" s="3" t="str">
        <f>"01065202"</f>
        <v>01065202</v>
      </c>
    </row>
    <row r="23445" spans="1:2" x14ac:dyDescent="0.25">
      <c r="A23445" s="2">
        <v>23440</v>
      </c>
      <c r="B23445" s="3" t="str">
        <f>"01065213"</f>
        <v>01065213</v>
      </c>
    </row>
    <row r="23446" spans="1:2" x14ac:dyDescent="0.25">
      <c r="A23446" s="2">
        <v>23441</v>
      </c>
      <c r="B23446" s="3" t="str">
        <f>"01065249"</f>
        <v>01065249</v>
      </c>
    </row>
    <row r="23447" spans="1:2" x14ac:dyDescent="0.25">
      <c r="A23447" s="2">
        <v>23442</v>
      </c>
      <c r="B23447" s="3" t="str">
        <f>"01065264"</f>
        <v>01065264</v>
      </c>
    </row>
    <row r="23448" spans="1:2" x14ac:dyDescent="0.25">
      <c r="A23448" s="2">
        <v>23443</v>
      </c>
      <c r="B23448" s="3" t="str">
        <f>"01065265"</f>
        <v>01065265</v>
      </c>
    </row>
    <row r="23449" spans="1:2" x14ac:dyDescent="0.25">
      <c r="A23449" s="2">
        <v>23444</v>
      </c>
      <c r="B23449" s="3" t="str">
        <f>"01065266"</f>
        <v>01065266</v>
      </c>
    </row>
    <row r="23450" spans="1:2" x14ac:dyDescent="0.25">
      <c r="A23450" s="2">
        <v>23445</v>
      </c>
      <c r="B23450" s="3" t="str">
        <f>"01065267"</f>
        <v>01065267</v>
      </c>
    </row>
    <row r="23451" spans="1:2" x14ac:dyDescent="0.25">
      <c r="A23451" s="2">
        <v>23446</v>
      </c>
      <c r="B23451" s="3" t="str">
        <f>"01065274"</f>
        <v>01065274</v>
      </c>
    </row>
    <row r="23452" spans="1:2" x14ac:dyDescent="0.25">
      <c r="A23452" s="2">
        <v>23447</v>
      </c>
      <c r="B23452" s="3" t="str">
        <f>"01065275"</f>
        <v>01065275</v>
      </c>
    </row>
    <row r="23453" spans="1:2" x14ac:dyDescent="0.25">
      <c r="A23453" s="2">
        <v>23448</v>
      </c>
      <c r="B23453" s="3" t="str">
        <f>"01065277"</f>
        <v>01065277</v>
      </c>
    </row>
    <row r="23454" spans="1:2" x14ac:dyDescent="0.25">
      <c r="A23454" s="2">
        <v>23449</v>
      </c>
      <c r="B23454" s="3" t="str">
        <f>"01065280"</f>
        <v>01065280</v>
      </c>
    </row>
    <row r="23455" spans="1:2" x14ac:dyDescent="0.25">
      <c r="A23455" s="2">
        <v>23450</v>
      </c>
      <c r="B23455" s="3" t="str">
        <f>"01065287"</f>
        <v>01065287</v>
      </c>
    </row>
    <row r="23456" spans="1:2" x14ac:dyDescent="0.25">
      <c r="A23456" s="2">
        <v>23451</v>
      </c>
      <c r="B23456" s="3" t="str">
        <f>"01065289"</f>
        <v>01065289</v>
      </c>
    </row>
    <row r="23457" spans="1:2" x14ac:dyDescent="0.25">
      <c r="A23457" s="2">
        <v>23452</v>
      </c>
      <c r="B23457" s="3" t="str">
        <f>"01065290"</f>
        <v>01065290</v>
      </c>
    </row>
    <row r="23458" spans="1:2" x14ac:dyDescent="0.25">
      <c r="A23458" s="2">
        <v>23453</v>
      </c>
      <c r="B23458" s="3" t="str">
        <f>"01065303"</f>
        <v>01065303</v>
      </c>
    </row>
    <row r="23459" spans="1:2" x14ac:dyDescent="0.25">
      <c r="A23459" s="2">
        <v>23454</v>
      </c>
      <c r="B23459" s="3" t="str">
        <f>"01065306"</f>
        <v>01065306</v>
      </c>
    </row>
    <row r="23460" spans="1:2" x14ac:dyDescent="0.25">
      <c r="A23460" s="2">
        <v>23455</v>
      </c>
      <c r="B23460" s="3" t="str">
        <f>"01065309"</f>
        <v>01065309</v>
      </c>
    </row>
    <row r="23461" spans="1:2" x14ac:dyDescent="0.25">
      <c r="A23461" s="2">
        <v>23456</v>
      </c>
      <c r="B23461" s="3" t="str">
        <f>"01065310"</f>
        <v>01065310</v>
      </c>
    </row>
    <row r="23462" spans="1:2" x14ac:dyDescent="0.25">
      <c r="A23462" s="2">
        <v>23457</v>
      </c>
      <c r="B23462" s="3" t="str">
        <f>"01065320"</f>
        <v>01065320</v>
      </c>
    </row>
    <row r="23463" spans="1:2" x14ac:dyDescent="0.25">
      <c r="A23463" s="2">
        <v>23458</v>
      </c>
      <c r="B23463" s="3" t="str">
        <f>"01065323"</f>
        <v>01065323</v>
      </c>
    </row>
    <row r="23464" spans="1:2" x14ac:dyDescent="0.25">
      <c r="A23464" s="2">
        <v>23459</v>
      </c>
      <c r="B23464" s="3" t="str">
        <f>"01065338"</f>
        <v>01065338</v>
      </c>
    </row>
    <row r="23465" spans="1:2" x14ac:dyDescent="0.25">
      <c r="A23465" s="2">
        <v>23460</v>
      </c>
      <c r="B23465" s="3" t="str">
        <f>"01065342"</f>
        <v>01065342</v>
      </c>
    </row>
    <row r="23466" spans="1:2" x14ac:dyDescent="0.25">
      <c r="A23466" s="2">
        <v>23461</v>
      </c>
      <c r="B23466" s="3" t="str">
        <f>"01065344"</f>
        <v>01065344</v>
      </c>
    </row>
    <row r="23467" spans="1:2" x14ac:dyDescent="0.25">
      <c r="A23467" s="2">
        <v>23462</v>
      </c>
      <c r="B23467" s="3" t="str">
        <f>"01065350"</f>
        <v>01065350</v>
      </c>
    </row>
    <row r="23468" spans="1:2" x14ac:dyDescent="0.25">
      <c r="A23468" s="2">
        <v>23463</v>
      </c>
      <c r="B23468" s="3" t="str">
        <f>"01065352"</f>
        <v>01065352</v>
      </c>
    </row>
    <row r="23469" spans="1:2" x14ac:dyDescent="0.25">
      <c r="A23469" s="2">
        <v>23464</v>
      </c>
      <c r="B23469" s="3" t="str">
        <f>"01065357"</f>
        <v>01065357</v>
      </c>
    </row>
    <row r="23470" spans="1:2" x14ac:dyDescent="0.25">
      <c r="A23470" s="2">
        <v>23465</v>
      </c>
      <c r="B23470" s="3" t="str">
        <f>"01065362"</f>
        <v>01065362</v>
      </c>
    </row>
    <row r="23471" spans="1:2" x14ac:dyDescent="0.25">
      <c r="A23471" s="2">
        <v>23466</v>
      </c>
      <c r="B23471" s="3" t="str">
        <f>"01065369"</f>
        <v>01065369</v>
      </c>
    </row>
    <row r="23472" spans="1:2" x14ac:dyDescent="0.25">
      <c r="A23472" s="2">
        <v>23467</v>
      </c>
      <c r="B23472" s="3" t="str">
        <f>"01065376"</f>
        <v>01065376</v>
      </c>
    </row>
    <row r="23473" spans="1:2" x14ac:dyDescent="0.25">
      <c r="A23473" s="2">
        <v>23468</v>
      </c>
      <c r="B23473" s="3" t="str">
        <f>"01065378"</f>
        <v>01065378</v>
      </c>
    </row>
    <row r="23474" spans="1:2" x14ac:dyDescent="0.25">
      <c r="A23474" s="2">
        <v>23469</v>
      </c>
      <c r="B23474" s="3" t="str">
        <f>"01065397"</f>
        <v>01065397</v>
      </c>
    </row>
    <row r="23475" spans="1:2" x14ac:dyDescent="0.25">
      <c r="A23475" s="2">
        <v>23470</v>
      </c>
      <c r="B23475" s="3" t="str">
        <f>"01065399"</f>
        <v>01065399</v>
      </c>
    </row>
    <row r="23476" spans="1:2" x14ac:dyDescent="0.25">
      <c r="A23476" s="2">
        <v>23471</v>
      </c>
      <c r="B23476" s="3" t="str">
        <f>"01065409"</f>
        <v>01065409</v>
      </c>
    </row>
    <row r="23477" spans="1:2" x14ac:dyDescent="0.25">
      <c r="A23477" s="2">
        <v>23472</v>
      </c>
      <c r="B23477" s="3" t="str">
        <f>"01065426"</f>
        <v>01065426</v>
      </c>
    </row>
    <row r="23478" spans="1:2" x14ac:dyDescent="0.25">
      <c r="A23478" s="2">
        <v>23473</v>
      </c>
      <c r="B23478" s="3" t="str">
        <f>"01065427"</f>
        <v>01065427</v>
      </c>
    </row>
    <row r="23479" spans="1:2" x14ac:dyDescent="0.25">
      <c r="A23479" s="2">
        <v>23474</v>
      </c>
      <c r="B23479" s="3" t="str">
        <f>"01065430"</f>
        <v>01065430</v>
      </c>
    </row>
    <row r="23480" spans="1:2" x14ac:dyDescent="0.25">
      <c r="A23480" s="2">
        <v>23475</v>
      </c>
      <c r="B23480" s="3" t="str">
        <f>"01065435"</f>
        <v>01065435</v>
      </c>
    </row>
    <row r="23481" spans="1:2" x14ac:dyDescent="0.25">
      <c r="A23481" s="2">
        <v>23476</v>
      </c>
      <c r="B23481" s="3" t="str">
        <f>"01065438"</f>
        <v>01065438</v>
      </c>
    </row>
    <row r="23482" spans="1:2" x14ac:dyDescent="0.25">
      <c r="A23482" s="2">
        <v>23477</v>
      </c>
      <c r="B23482" s="3" t="str">
        <f>"01065443"</f>
        <v>01065443</v>
      </c>
    </row>
    <row r="23483" spans="1:2" x14ac:dyDescent="0.25">
      <c r="A23483" s="2">
        <v>23478</v>
      </c>
      <c r="B23483" s="3" t="str">
        <f>"01065446"</f>
        <v>01065446</v>
      </c>
    </row>
    <row r="23484" spans="1:2" x14ac:dyDescent="0.25">
      <c r="A23484" s="2">
        <v>23479</v>
      </c>
      <c r="B23484" s="3" t="str">
        <f>"01065461"</f>
        <v>01065461</v>
      </c>
    </row>
    <row r="23485" spans="1:2" x14ac:dyDescent="0.25">
      <c r="A23485" s="2">
        <v>23480</v>
      </c>
      <c r="B23485" s="3" t="str">
        <f>"01065462"</f>
        <v>01065462</v>
      </c>
    </row>
    <row r="23486" spans="1:2" x14ac:dyDescent="0.25">
      <c r="A23486" s="2">
        <v>23481</v>
      </c>
      <c r="B23486" s="3" t="str">
        <f>"01065467"</f>
        <v>01065467</v>
      </c>
    </row>
    <row r="23487" spans="1:2" x14ac:dyDescent="0.25">
      <c r="A23487" s="2">
        <v>23482</v>
      </c>
      <c r="B23487" s="3" t="str">
        <f>"01065469"</f>
        <v>01065469</v>
      </c>
    </row>
    <row r="23488" spans="1:2" x14ac:dyDescent="0.25">
      <c r="A23488" s="2">
        <v>23483</v>
      </c>
      <c r="B23488" s="3" t="str">
        <f>"01065477"</f>
        <v>01065477</v>
      </c>
    </row>
    <row r="23489" spans="1:2" x14ac:dyDescent="0.25">
      <c r="A23489" s="2">
        <v>23484</v>
      </c>
      <c r="B23489" s="3" t="str">
        <f>"01065500"</f>
        <v>01065500</v>
      </c>
    </row>
    <row r="23490" spans="1:2" x14ac:dyDescent="0.25">
      <c r="A23490" s="2">
        <v>23485</v>
      </c>
      <c r="B23490" s="3" t="str">
        <f>"01065503"</f>
        <v>01065503</v>
      </c>
    </row>
    <row r="23491" spans="1:2" x14ac:dyDescent="0.25">
      <c r="A23491" s="2">
        <v>23486</v>
      </c>
      <c r="B23491" s="3" t="str">
        <f>"01065510"</f>
        <v>01065510</v>
      </c>
    </row>
    <row r="23492" spans="1:2" x14ac:dyDescent="0.25">
      <c r="A23492" s="2">
        <v>23487</v>
      </c>
      <c r="B23492" s="3" t="str">
        <f>"01065516"</f>
        <v>01065516</v>
      </c>
    </row>
    <row r="23493" spans="1:2" x14ac:dyDescent="0.25">
      <c r="A23493" s="2">
        <v>23488</v>
      </c>
      <c r="B23493" s="3" t="str">
        <f>"01065534"</f>
        <v>01065534</v>
      </c>
    </row>
    <row r="23494" spans="1:2" x14ac:dyDescent="0.25">
      <c r="A23494" s="2">
        <v>23489</v>
      </c>
      <c r="B23494" s="3" t="str">
        <f>"01065552"</f>
        <v>01065552</v>
      </c>
    </row>
    <row r="23495" spans="1:2" x14ac:dyDescent="0.25">
      <c r="A23495" s="2">
        <v>23490</v>
      </c>
      <c r="B23495" s="3" t="str">
        <f>"01065559"</f>
        <v>01065559</v>
      </c>
    </row>
    <row r="23496" spans="1:2" x14ac:dyDescent="0.25">
      <c r="A23496" s="2">
        <v>23491</v>
      </c>
      <c r="B23496" s="3" t="str">
        <f>"01065563"</f>
        <v>01065563</v>
      </c>
    </row>
    <row r="23497" spans="1:2" x14ac:dyDescent="0.25">
      <c r="A23497" s="2">
        <v>23492</v>
      </c>
      <c r="B23497" s="3" t="str">
        <f>"01065568"</f>
        <v>01065568</v>
      </c>
    </row>
    <row r="23498" spans="1:2" x14ac:dyDescent="0.25">
      <c r="A23498" s="2">
        <v>23493</v>
      </c>
      <c r="B23498" s="3" t="str">
        <f>"01065580"</f>
        <v>01065580</v>
      </c>
    </row>
    <row r="23499" spans="1:2" x14ac:dyDescent="0.25">
      <c r="A23499" s="2">
        <v>23494</v>
      </c>
      <c r="B23499" s="3" t="str">
        <f>"01065585"</f>
        <v>01065585</v>
      </c>
    </row>
    <row r="23500" spans="1:2" x14ac:dyDescent="0.25">
      <c r="A23500" s="2">
        <v>23495</v>
      </c>
      <c r="B23500" s="3" t="str">
        <f>"01065603"</f>
        <v>01065603</v>
      </c>
    </row>
    <row r="23501" spans="1:2" x14ac:dyDescent="0.25">
      <c r="A23501" s="2">
        <v>23496</v>
      </c>
      <c r="B23501" s="3" t="str">
        <f>"01065606"</f>
        <v>01065606</v>
      </c>
    </row>
    <row r="23502" spans="1:2" x14ac:dyDescent="0.25">
      <c r="A23502" s="2">
        <v>23497</v>
      </c>
      <c r="B23502" s="3" t="str">
        <f>"01065607"</f>
        <v>01065607</v>
      </c>
    </row>
    <row r="23503" spans="1:2" x14ac:dyDescent="0.25">
      <c r="A23503" s="2">
        <v>23498</v>
      </c>
      <c r="B23503" s="3" t="str">
        <f>"01065608"</f>
        <v>01065608</v>
      </c>
    </row>
    <row r="23504" spans="1:2" x14ac:dyDescent="0.25">
      <c r="A23504" s="2">
        <v>23499</v>
      </c>
      <c r="B23504" s="3" t="str">
        <f>"01065623"</f>
        <v>01065623</v>
      </c>
    </row>
    <row r="23505" spans="1:2" x14ac:dyDescent="0.25">
      <c r="A23505" s="2">
        <v>23500</v>
      </c>
      <c r="B23505" s="3" t="str">
        <f>"01065627"</f>
        <v>01065627</v>
      </c>
    </row>
    <row r="23506" spans="1:2" x14ac:dyDescent="0.25">
      <c r="A23506" s="2">
        <v>23501</v>
      </c>
      <c r="B23506" s="3" t="str">
        <f>"01065637"</f>
        <v>01065637</v>
      </c>
    </row>
    <row r="23507" spans="1:2" x14ac:dyDescent="0.25">
      <c r="A23507" s="2">
        <v>23502</v>
      </c>
      <c r="B23507" s="3" t="str">
        <f>"01065641"</f>
        <v>01065641</v>
      </c>
    </row>
    <row r="23508" spans="1:2" x14ac:dyDescent="0.25">
      <c r="A23508" s="2">
        <v>23503</v>
      </c>
      <c r="B23508" s="3" t="str">
        <f>"01065642"</f>
        <v>01065642</v>
      </c>
    </row>
    <row r="23509" spans="1:2" x14ac:dyDescent="0.25">
      <c r="A23509" s="2">
        <v>23504</v>
      </c>
      <c r="B23509" s="3" t="str">
        <f>"01065647"</f>
        <v>01065647</v>
      </c>
    </row>
    <row r="23510" spans="1:2" x14ac:dyDescent="0.25">
      <c r="A23510" s="2">
        <v>23505</v>
      </c>
      <c r="B23510" s="3" t="str">
        <f>"01065650"</f>
        <v>01065650</v>
      </c>
    </row>
    <row r="23511" spans="1:2" x14ac:dyDescent="0.25">
      <c r="A23511" s="2">
        <v>23506</v>
      </c>
      <c r="B23511" s="3" t="str">
        <f>"01065652"</f>
        <v>01065652</v>
      </c>
    </row>
    <row r="23512" spans="1:2" x14ac:dyDescent="0.25">
      <c r="A23512" s="2">
        <v>23507</v>
      </c>
      <c r="B23512" s="3" t="str">
        <f>"01065656"</f>
        <v>01065656</v>
      </c>
    </row>
    <row r="23513" spans="1:2" x14ac:dyDescent="0.25">
      <c r="A23513" s="2">
        <v>23508</v>
      </c>
      <c r="B23513" s="3" t="str">
        <f>"01065661"</f>
        <v>01065661</v>
      </c>
    </row>
    <row r="23514" spans="1:2" x14ac:dyDescent="0.25">
      <c r="A23514" s="2">
        <v>23509</v>
      </c>
      <c r="B23514" s="3" t="str">
        <f>"01065669"</f>
        <v>01065669</v>
      </c>
    </row>
    <row r="23515" spans="1:2" x14ac:dyDescent="0.25">
      <c r="A23515" s="2">
        <v>23510</v>
      </c>
      <c r="B23515" s="3" t="str">
        <f>"01065674"</f>
        <v>01065674</v>
      </c>
    </row>
    <row r="23516" spans="1:2" x14ac:dyDescent="0.25">
      <c r="A23516" s="2">
        <v>23511</v>
      </c>
      <c r="B23516" s="3" t="str">
        <f>"01065683"</f>
        <v>01065683</v>
      </c>
    </row>
    <row r="23517" spans="1:2" x14ac:dyDescent="0.25">
      <c r="A23517" s="2">
        <v>23512</v>
      </c>
      <c r="B23517" s="3" t="str">
        <f>"01065696"</f>
        <v>01065696</v>
      </c>
    </row>
    <row r="23518" spans="1:2" x14ac:dyDescent="0.25">
      <c r="A23518" s="2">
        <v>23513</v>
      </c>
      <c r="B23518" s="3" t="str">
        <f>"01065698"</f>
        <v>01065698</v>
      </c>
    </row>
    <row r="23519" spans="1:2" x14ac:dyDescent="0.25">
      <c r="A23519" s="2">
        <v>23514</v>
      </c>
      <c r="B23519" s="3" t="str">
        <f>"01065699"</f>
        <v>01065699</v>
      </c>
    </row>
    <row r="23520" spans="1:2" x14ac:dyDescent="0.25">
      <c r="A23520" s="2">
        <v>23515</v>
      </c>
      <c r="B23520" s="3" t="str">
        <f>"01065706"</f>
        <v>01065706</v>
      </c>
    </row>
    <row r="23521" spans="1:2" x14ac:dyDescent="0.25">
      <c r="A23521" s="2">
        <v>23516</v>
      </c>
      <c r="B23521" s="3" t="str">
        <f>"01065708"</f>
        <v>01065708</v>
      </c>
    </row>
    <row r="23522" spans="1:2" x14ac:dyDescent="0.25">
      <c r="A23522" s="2">
        <v>23517</v>
      </c>
      <c r="B23522" s="3" t="str">
        <f>"01065722"</f>
        <v>01065722</v>
      </c>
    </row>
    <row r="23523" spans="1:2" x14ac:dyDescent="0.25">
      <c r="A23523" s="2">
        <v>23518</v>
      </c>
      <c r="B23523" s="3" t="str">
        <f>"01065728"</f>
        <v>01065728</v>
      </c>
    </row>
    <row r="23524" spans="1:2" x14ac:dyDescent="0.25">
      <c r="A23524" s="2">
        <v>23519</v>
      </c>
      <c r="B23524" s="3" t="str">
        <f>"01065731"</f>
        <v>01065731</v>
      </c>
    </row>
    <row r="23525" spans="1:2" x14ac:dyDescent="0.25">
      <c r="A23525" s="2">
        <v>23520</v>
      </c>
      <c r="B23525" s="3" t="str">
        <f>"01065733"</f>
        <v>01065733</v>
      </c>
    </row>
    <row r="23526" spans="1:2" x14ac:dyDescent="0.25">
      <c r="A23526" s="2">
        <v>23521</v>
      </c>
      <c r="B23526" s="3" t="str">
        <f>"01065734"</f>
        <v>01065734</v>
      </c>
    </row>
    <row r="23527" spans="1:2" x14ac:dyDescent="0.25">
      <c r="A23527" s="2">
        <v>23522</v>
      </c>
      <c r="B23527" s="3" t="str">
        <f>"01065742"</f>
        <v>01065742</v>
      </c>
    </row>
    <row r="23528" spans="1:2" x14ac:dyDescent="0.25">
      <c r="A23528" s="2">
        <v>23523</v>
      </c>
      <c r="B23528" s="3" t="str">
        <f>"01065752"</f>
        <v>01065752</v>
      </c>
    </row>
    <row r="23529" spans="1:2" x14ac:dyDescent="0.25">
      <c r="A23529" s="2">
        <v>23524</v>
      </c>
      <c r="B23529" s="3" t="str">
        <f>"01065753"</f>
        <v>01065753</v>
      </c>
    </row>
    <row r="23530" spans="1:2" x14ac:dyDescent="0.25">
      <c r="A23530" s="2">
        <v>23525</v>
      </c>
      <c r="B23530" s="3" t="str">
        <f>"01065764"</f>
        <v>01065764</v>
      </c>
    </row>
    <row r="23531" spans="1:2" x14ac:dyDescent="0.25">
      <c r="A23531" s="2">
        <v>23526</v>
      </c>
      <c r="B23531" s="3" t="str">
        <f>"01065768"</f>
        <v>01065768</v>
      </c>
    </row>
    <row r="23532" spans="1:2" x14ac:dyDescent="0.25">
      <c r="A23532" s="2">
        <v>23527</v>
      </c>
      <c r="B23532" s="3" t="str">
        <f>"01065770"</f>
        <v>01065770</v>
      </c>
    </row>
    <row r="23533" spans="1:2" x14ac:dyDescent="0.25">
      <c r="A23533" s="2">
        <v>23528</v>
      </c>
      <c r="B23533" s="3" t="str">
        <f>"01065773"</f>
        <v>01065773</v>
      </c>
    </row>
    <row r="23534" spans="1:2" x14ac:dyDescent="0.25">
      <c r="A23534" s="2">
        <v>23529</v>
      </c>
      <c r="B23534" s="3" t="str">
        <f>"01065790"</f>
        <v>01065790</v>
      </c>
    </row>
    <row r="23535" spans="1:2" x14ac:dyDescent="0.25">
      <c r="A23535" s="2">
        <v>23530</v>
      </c>
      <c r="B23535" s="3" t="str">
        <f>"01065793"</f>
        <v>01065793</v>
      </c>
    </row>
    <row r="23536" spans="1:2" x14ac:dyDescent="0.25">
      <c r="A23536" s="2">
        <v>23531</v>
      </c>
      <c r="B23536" s="3" t="str">
        <f>"01065795"</f>
        <v>01065795</v>
      </c>
    </row>
    <row r="23537" spans="1:2" x14ac:dyDescent="0.25">
      <c r="A23537" s="2">
        <v>23532</v>
      </c>
      <c r="B23537" s="3" t="str">
        <f>"01065796"</f>
        <v>01065796</v>
      </c>
    </row>
    <row r="23538" spans="1:2" x14ac:dyDescent="0.25">
      <c r="A23538" s="2">
        <v>23533</v>
      </c>
      <c r="B23538" s="3" t="str">
        <f>"01065801"</f>
        <v>01065801</v>
      </c>
    </row>
    <row r="23539" spans="1:2" x14ac:dyDescent="0.25">
      <c r="A23539" s="2">
        <v>23534</v>
      </c>
      <c r="B23539" s="3" t="str">
        <f>"01065813"</f>
        <v>01065813</v>
      </c>
    </row>
    <row r="23540" spans="1:2" x14ac:dyDescent="0.25">
      <c r="A23540" s="2">
        <v>23535</v>
      </c>
      <c r="B23540" s="3" t="str">
        <f>"01065816"</f>
        <v>01065816</v>
      </c>
    </row>
    <row r="23541" spans="1:2" x14ac:dyDescent="0.25">
      <c r="A23541" s="2">
        <v>23536</v>
      </c>
      <c r="B23541" s="3" t="str">
        <f>"01065825"</f>
        <v>01065825</v>
      </c>
    </row>
    <row r="23542" spans="1:2" x14ac:dyDescent="0.25">
      <c r="A23542" s="2">
        <v>23537</v>
      </c>
      <c r="B23542" s="3" t="str">
        <f>"01065838"</f>
        <v>01065838</v>
      </c>
    </row>
    <row r="23543" spans="1:2" x14ac:dyDescent="0.25">
      <c r="A23543" s="2">
        <v>23538</v>
      </c>
      <c r="B23543" s="3" t="str">
        <f>"01065840"</f>
        <v>01065840</v>
      </c>
    </row>
    <row r="23544" spans="1:2" x14ac:dyDescent="0.25">
      <c r="A23544" s="2">
        <v>23539</v>
      </c>
      <c r="B23544" s="3" t="str">
        <f>"01065848"</f>
        <v>01065848</v>
      </c>
    </row>
    <row r="23545" spans="1:2" x14ac:dyDescent="0.25">
      <c r="A23545" s="2">
        <v>23540</v>
      </c>
      <c r="B23545" s="3" t="str">
        <f>"01065850"</f>
        <v>01065850</v>
      </c>
    </row>
    <row r="23546" spans="1:2" x14ac:dyDescent="0.25">
      <c r="A23546" s="2">
        <v>23541</v>
      </c>
      <c r="B23546" s="3" t="str">
        <f>"01065856"</f>
        <v>01065856</v>
      </c>
    </row>
    <row r="23547" spans="1:2" x14ac:dyDescent="0.25">
      <c r="A23547" s="2">
        <v>23542</v>
      </c>
      <c r="B23547" s="3" t="str">
        <f>"01065858"</f>
        <v>01065858</v>
      </c>
    </row>
    <row r="23548" spans="1:2" x14ac:dyDescent="0.25">
      <c r="A23548" s="2">
        <v>23543</v>
      </c>
      <c r="B23548" s="3" t="str">
        <f>"01065863"</f>
        <v>01065863</v>
      </c>
    </row>
    <row r="23549" spans="1:2" x14ac:dyDescent="0.25">
      <c r="A23549" s="2">
        <v>23544</v>
      </c>
      <c r="B23549" s="3" t="str">
        <f>"01065865"</f>
        <v>01065865</v>
      </c>
    </row>
    <row r="23550" spans="1:2" x14ac:dyDescent="0.25">
      <c r="A23550" s="2">
        <v>23545</v>
      </c>
      <c r="B23550" s="3" t="str">
        <f>"01065867"</f>
        <v>01065867</v>
      </c>
    </row>
    <row r="23551" spans="1:2" x14ac:dyDescent="0.25">
      <c r="A23551" s="2">
        <v>23546</v>
      </c>
      <c r="B23551" s="3" t="str">
        <f>"01065871"</f>
        <v>01065871</v>
      </c>
    </row>
    <row r="23552" spans="1:2" x14ac:dyDescent="0.25">
      <c r="A23552" s="2">
        <v>23547</v>
      </c>
      <c r="B23552" s="3" t="str">
        <f>"01065872"</f>
        <v>01065872</v>
      </c>
    </row>
    <row r="23553" spans="1:2" x14ac:dyDescent="0.25">
      <c r="A23553" s="2">
        <v>23548</v>
      </c>
      <c r="B23553" s="3" t="str">
        <f>"01065881"</f>
        <v>01065881</v>
      </c>
    </row>
    <row r="23554" spans="1:2" x14ac:dyDescent="0.25">
      <c r="A23554" s="2">
        <v>23549</v>
      </c>
      <c r="B23554" s="3" t="str">
        <f>"01065897"</f>
        <v>01065897</v>
      </c>
    </row>
    <row r="23555" spans="1:2" x14ac:dyDescent="0.25">
      <c r="A23555" s="2">
        <v>23550</v>
      </c>
      <c r="B23555" s="3" t="str">
        <f>"01065906"</f>
        <v>01065906</v>
      </c>
    </row>
    <row r="23556" spans="1:2" x14ac:dyDescent="0.25">
      <c r="A23556" s="2">
        <v>23551</v>
      </c>
      <c r="B23556" s="3" t="str">
        <f>"01065908"</f>
        <v>01065908</v>
      </c>
    </row>
    <row r="23557" spans="1:2" x14ac:dyDescent="0.25">
      <c r="A23557" s="2">
        <v>23552</v>
      </c>
      <c r="B23557" s="3" t="str">
        <f>"01065912"</f>
        <v>01065912</v>
      </c>
    </row>
    <row r="23558" spans="1:2" x14ac:dyDescent="0.25">
      <c r="A23558" s="2">
        <v>23553</v>
      </c>
      <c r="B23558" s="3" t="str">
        <f>"01065913"</f>
        <v>01065913</v>
      </c>
    </row>
    <row r="23559" spans="1:2" x14ac:dyDescent="0.25">
      <c r="A23559" s="2">
        <v>23554</v>
      </c>
      <c r="B23559" s="3" t="str">
        <f>"01065914"</f>
        <v>01065914</v>
      </c>
    </row>
    <row r="23560" spans="1:2" x14ac:dyDescent="0.25">
      <c r="A23560" s="2">
        <v>23555</v>
      </c>
      <c r="B23560" s="3" t="str">
        <f>"01065917"</f>
        <v>01065917</v>
      </c>
    </row>
    <row r="23561" spans="1:2" x14ac:dyDescent="0.25">
      <c r="A23561" s="2">
        <v>23556</v>
      </c>
      <c r="B23561" s="3" t="str">
        <f>"01065920"</f>
        <v>01065920</v>
      </c>
    </row>
    <row r="23562" spans="1:2" x14ac:dyDescent="0.25">
      <c r="A23562" s="2">
        <v>23557</v>
      </c>
      <c r="B23562" s="3" t="str">
        <f>"01065925"</f>
        <v>01065925</v>
      </c>
    </row>
    <row r="23563" spans="1:2" x14ac:dyDescent="0.25">
      <c r="A23563" s="2">
        <v>23558</v>
      </c>
      <c r="B23563" s="3" t="str">
        <f>"01065927"</f>
        <v>01065927</v>
      </c>
    </row>
    <row r="23564" spans="1:2" x14ac:dyDescent="0.25">
      <c r="A23564" s="2">
        <v>23559</v>
      </c>
      <c r="B23564" s="3" t="str">
        <f>"01065929"</f>
        <v>01065929</v>
      </c>
    </row>
    <row r="23565" spans="1:2" x14ac:dyDescent="0.25">
      <c r="A23565" s="2">
        <v>23560</v>
      </c>
      <c r="B23565" s="3" t="str">
        <f>"01065931"</f>
        <v>01065931</v>
      </c>
    </row>
    <row r="23566" spans="1:2" x14ac:dyDescent="0.25">
      <c r="A23566" s="2">
        <v>23561</v>
      </c>
      <c r="B23566" s="3" t="str">
        <f>"01065941"</f>
        <v>01065941</v>
      </c>
    </row>
    <row r="23567" spans="1:2" x14ac:dyDescent="0.25">
      <c r="A23567" s="2">
        <v>23562</v>
      </c>
      <c r="B23567" s="3" t="str">
        <f>"01065942"</f>
        <v>01065942</v>
      </c>
    </row>
    <row r="23568" spans="1:2" x14ac:dyDescent="0.25">
      <c r="A23568" s="2">
        <v>23563</v>
      </c>
      <c r="B23568" s="3" t="str">
        <f>"01065946"</f>
        <v>01065946</v>
      </c>
    </row>
    <row r="23569" spans="1:2" x14ac:dyDescent="0.25">
      <c r="A23569" s="2">
        <v>23564</v>
      </c>
      <c r="B23569" s="3" t="str">
        <f>"01065950"</f>
        <v>01065950</v>
      </c>
    </row>
    <row r="23570" spans="1:2" x14ac:dyDescent="0.25">
      <c r="A23570" s="2">
        <v>23565</v>
      </c>
      <c r="B23570" s="3" t="str">
        <f>"01065961"</f>
        <v>01065961</v>
      </c>
    </row>
    <row r="23571" spans="1:2" x14ac:dyDescent="0.25">
      <c r="A23571" s="2">
        <v>23566</v>
      </c>
      <c r="B23571" s="3" t="str">
        <f>"01065964"</f>
        <v>01065964</v>
      </c>
    </row>
    <row r="23572" spans="1:2" x14ac:dyDescent="0.25">
      <c r="A23572" s="2">
        <v>23567</v>
      </c>
      <c r="B23572" s="3" t="str">
        <f>"01065965"</f>
        <v>01065965</v>
      </c>
    </row>
    <row r="23573" spans="1:2" x14ac:dyDescent="0.25">
      <c r="A23573" s="2">
        <v>23568</v>
      </c>
      <c r="B23573" s="3" t="str">
        <f>"01065968"</f>
        <v>01065968</v>
      </c>
    </row>
    <row r="23574" spans="1:2" x14ac:dyDescent="0.25">
      <c r="A23574" s="2">
        <v>23569</v>
      </c>
      <c r="B23574" s="3" t="str">
        <f>"01065977"</f>
        <v>01065977</v>
      </c>
    </row>
    <row r="23575" spans="1:2" x14ac:dyDescent="0.25">
      <c r="A23575" s="2">
        <v>23570</v>
      </c>
      <c r="B23575" s="3" t="str">
        <f>"01065979"</f>
        <v>01065979</v>
      </c>
    </row>
    <row r="23576" spans="1:2" x14ac:dyDescent="0.25">
      <c r="A23576" s="2">
        <v>23571</v>
      </c>
      <c r="B23576" s="3" t="str">
        <f>"01065981"</f>
        <v>01065981</v>
      </c>
    </row>
    <row r="23577" spans="1:2" x14ac:dyDescent="0.25">
      <c r="A23577" s="2">
        <v>23572</v>
      </c>
      <c r="B23577" s="3" t="str">
        <f>"01065982"</f>
        <v>01065982</v>
      </c>
    </row>
    <row r="23578" spans="1:2" x14ac:dyDescent="0.25">
      <c r="A23578" s="2">
        <v>23573</v>
      </c>
      <c r="B23578" s="3" t="str">
        <f>"01065987"</f>
        <v>01065987</v>
      </c>
    </row>
    <row r="23579" spans="1:2" x14ac:dyDescent="0.25">
      <c r="A23579" s="2">
        <v>23574</v>
      </c>
      <c r="B23579" s="3" t="str">
        <f>"01065989"</f>
        <v>01065989</v>
      </c>
    </row>
    <row r="23580" spans="1:2" x14ac:dyDescent="0.25">
      <c r="A23580" s="2">
        <v>23575</v>
      </c>
      <c r="B23580" s="3" t="str">
        <f>"01065998"</f>
        <v>01065998</v>
      </c>
    </row>
    <row r="23581" spans="1:2" x14ac:dyDescent="0.25">
      <c r="A23581" s="2">
        <v>23576</v>
      </c>
      <c r="B23581" s="3" t="str">
        <f>"01065999"</f>
        <v>01065999</v>
      </c>
    </row>
    <row r="23582" spans="1:2" x14ac:dyDescent="0.25">
      <c r="A23582" s="2">
        <v>23577</v>
      </c>
      <c r="B23582" s="3" t="str">
        <f>"01066005"</f>
        <v>01066005</v>
      </c>
    </row>
    <row r="23583" spans="1:2" x14ac:dyDescent="0.25">
      <c r="A23583" s="2">
        <v>23578</v>
      </c>
      <c r="B23583" s="3" t="str">
        <f>"01066008"</f>
        <v>01066008</v>
      </c>
    </row>
    <row r="23584" spans="1:2" x14ac:dyDescent="0.25">
      <c r="A23584" s="2">
        <v>23579</v>
      </c>
      <c r="B23584" s="3" t="str">
        <f>"01066015"</f>
        <v>01066015</v>
      </c>
    </row>
    <row r="23585" spans="1:2" x14ac:dyDescent="0.25">
      <c r="A23585" s="2">
        <v>23580</v>
      </c>
      <c r="B23585" s="3" t="str">
        <f>"01066017"</f>
        <v>01066017</v>
      </c>
    </row>
    <row r="23586" spans="1:2" x14ac:dyDescent="0.25">
      <c r="A23586" s="2">
        <v>23581</v>
      </c>
      <c r="B23586" s="3" t="str">
        <f>"01066023"</f>
        <v>01066023</v>
      </c>
    </row>
    <row r="23587" spans="1:2" x14ac:dyDescent="0.25">
      <c r="A23587" s="2">
        <v>23582</v>
      </c>
      <c r="B23587" s="3" t="str">
        <f>"01066028"</f>
        <v>01066028</v>
      </c>
    </row>
    <row r="23588" spans="1:2" x14ac:dyDescent="0.25">
      <c r="A23588" s="2">
        <v>23583</v>
      </c>
      <c r="B23588" s="3" t="str">
        <f>"01066029"</f>
        <v>01066029</v>
      </c>
    </row>
    <row r="23589" spans="1:2" x14ac:dyDescent="0.25">
      <c r="A23589" s="2">
        <v>23584</v>
      </c>
      <c r="B23589" s="3" t="str">
        <f>"01066031"</f>
        <v>01066031</v>
      </c>
    </row>
    <row r="23590" spans="1:2" x14ac:dyDescent="0.25">
      <c r="A23590" s="2">
        <v>23585</v>
      </c>
      <c r="B23590" s="3" t="str">
        <f>"01066036"</f>
        <v>01066036</v>
      </c>
    </row>
    <row r="23591" spans="1:2" x14ac:dyDescent="0.25">
      <c r="A23591" s="2">
        <v>23586</v>
      </c>
      <c r="B23591" s="3" t="str">
        <f>"01066045"</f>
        <v>01066045</v>
      </c>
    </row>
    <row r="23592" spans="1:2" x14ac:dyDescent="0.25">
      <c r="A23592" s="2">
        <v>23587</v>
      </c>
      <c r="B23592" s="3" t="str">
        <f>"01066048"</f>
        <v>01066048</v>
      </c>
    </row>
    <row r="23593" spans="1:2" x14ac:dyDescent="0.25">
      <c r="A23593" s="2">
        <v>23588</v>
      </c>
      <c r="B23593" s="3" t="str">
        <f>"01066050"</f>
        <v>01066050</v>
      </c>
    </row>
    <row r="23594" spans="1:2" x14ac:dyDescent="0.25">
      <c r="A23594" s="2">
        <v>23589</v>
      </c>
      <c r="B23594" s="3" t="str">
        <f>"01066058"</f>
        <v>01066058</v>
      </c>
    </row>
    <row r="23595" spans="1:2" x14ac:dyDescent="0.25">
      <c r="A23595" s="2">
        <v>23590</v>
      </c>
      <c r="B23595" s="3" t="str">
        <f>"01066063"</f>
        <v>01066063</v>
      </c>
    </row>
    <row r="23596" spans="1:2" x14ac:dyDescent="0.25">
      <c r="A23596" s="2">
        <v>23591</v>
      </c>
      <c r="B23596" s="3" t="str">
        <f>"01066071"</f>
        <v>01066071</v>
      </c>
    </row>
    <row r="23597" spans="1:2" x14ac:dyDescent="0.25">
      <c r="A23597" s="2">
        <v>23592</v>
      </c>
      <c r="B23597" s="3" t="str">
        <f>"01066072"</f>
        <v>01066072</v>
      </c>
    </row>
    <row r="23598" spans="1:2" x14ac:dyDescent="0.25">
      <c r="A23598" s="2">
        <v>23593</v>
      </c>
      <c r="B23598" s="3" t="str">
        <f>"01066073"</f>
        <v>01066073</v>
      </c>
    </row>
    <row r="23599" spans="1:2" x14ac:dyDescent="0.25">
      <c r="A23599" s="2">
        <v>23594</v>
      </c>
      <c r="B23599" s="3" t="str">
        <f>"01066076"</f>
        <v>01066076</v>
      </c>
    </row>
    <row r="23600" spans="1:2" x14ac:dyDescent="0.25">
      <c r="A23600" s="2">
        <v>23595</v>
      </c>
      <c r="B23600" s="3" t="str">
        <f>"01066078"</f>
        <v>01066078</v>
      </c>
    </row>
    <row r="23601" spans="1:2" x14ac:dyDescent="0.25">
      <c r="A23601" s="2">
        <v>23596</v>
      </c>
      <c r="B23601" s="3" t="str">
        <f>"01066079"</f>
        <v>01066079</v>
      </c>
    </row>
    <row r="23602" spans="1:2" x14ac:dyDescent="0.25">
      <c r="A23602" s="2">
        <v>23597</v>
      </c>
      <c r="B23602" s="3" t="str">
        <f>"01066080"</f>
        <v>01066080</v>
      </c>
    </row>
    <row r="23603" spans="1:2" x14ac:dyDescent="0.25">
      <c r="A23603" s="2">
        <v>23598</v>
      </c>
      <c r="B23603" s="3" t="str">
        <f>"01066082"</f>
        <v>01066082</v>
      </c>
    </row>
    <row r="23604" spans="1:2" x14ac:dyDescent="0.25">
      <c r="A23604" s="2">
        <v>23599</v>
      </c>
      <c r="B23604" s="3" t="str">
        <f>"01066099"</f>
        <v>01066099</v>
      </c>
    </row>
    <row r="23605" spans="1:2" x14ac:dyDescent="0.25">
      <c r="A23605" s="2">
        <v>23600</v>
      </c>
      <c r="B23605" s="3" t="str">
        <f>"01066100"</f>
        <v>01066100</v>
      </c>
    </row>
    <row r="23606" spans="1:2" x14ac:dyDescent="0.25">
      <c r="A23606" s="2">
        <v>23601</v>
      </c>
      <c r="B23606" s="3" t="str">
        <f>"01066101"</f>
        <v>01066101</v>
      </c>
    </row>
    <row r="23607" spans="1:2" x14ac:dyDescent="0.25">
      <c r="A23607" s="2">
        <v>23602</v>
      </c>
      <c r="B23607" s="3" t="str">
        <f>"01066109"</f>
        <v>01066109</v>
      </c>
    </row>
    <row r="23608" spans="1:2" x14ac:dyDescent="0.25">
      <c r="A23608" s="2">
        <v>23603</v>
      </c>
      <c r="B23608" s="3" t="str">
        <f>"01066112"</f>
        <v>01066112</v>
      </c>
    </row>
    <row r="23609" spans="1:2" x14ac:dyDescent="0.25">
      <c r="A23609" s="2">
        <v>23604</v>
      </c>
      <c r="B23609" s="3" t="str">
        <f>"01066120"</f>
        <v>01066120</v>
      </c>
    </row>
    <row r="23610" spans="1:2" x14ac:dyDescent="0.25">
      <c r="A23610" s="2">
        <v>23605</v>
      </c>
      <c r="B23610" s="3" t="str">
        <f>"01066123"</f>
        <v>01066123</v>
      </c>
    </row>
    <row r="23611" spans="1:2" x14ac:dyDescent="0.25">
      <c r="A23611" s="2">
        <v>23606</v>
      </c>
      <c r="B23611" s="3" t="str">
        <f>"01066131"</f>
        <v>01066131</v>
      </c>
    </row>
    <row r="23612" spans="1:2" x14ac:dyDescent="0.25">
      <c r="A23612" s="2">
        <v>23607</v>
      </c>
      <c r="B23612" s="3" t="str">
        <f>"01066138"</f>
        <v>01066138</v>
      </c>
    </row>
    <row r="23613" spans="1:2" x14ac:dyDescent="0.25">
      <c r="A23613" s="2">
        <v>23608</v>
      </c>
      <c r="B23613" s="3" t="str">
        <f>"01066144"</f>
        <v>01066144</v>
      </c>
    </row>
    <row r="23614" spans="1:2" x14ac:dyDescent="0.25">
      <c r="A23614" s="2">
        <v>23609</v>
      </c>
      <c r="B23614" s="3" t="str">
        <f>"01066149"</f>
        <v>01066149</v>
      </c>
    </row>
    <row r="23615" spans="1:2" x14ac:dyDescent="0.25">
      <c r="A23615" s="2">
        <v>23610</v>
      </c>
      <c r="B23615" s="3" t="str">
        <f>"01066151"</f>
        <v>01066151</v>
      </c>
    </row>
    <row r="23616" spans="1:2" x14ac:dyDescent="0.25">
      <c r="A23616" s="2">
        <v>23611</v>
      </c>
      <c r="B23616" s="3" t="str">
        <f>"01066158"</f>
        <v>01066158</v>
      </c>
    </row>
    <row r="23617" spans="1:2" x14ac:dyDescent="0.25">
      <c r="A23617" s="2">
        <v>23612</v>
      </c>
      <c r="B23617" s="3" t="str">
        <f>"01066170"</f>
        <v>01066170</v>
      </c>
    </row>
    <row r="23618" spans="1:2" x14ac:dyDescent="0.25">
      <c r="A23618" s="2">
        <v>23613</v>
      </c>
      <c r="B23618" s="3" t="str">
        <f>"01066172"</f>
        <v>01066172</v>
      </c>
    </row>
    <row r="23619" spans="1:2" x14ac:dyDescent="0.25">
      <c r="A23619" s="2">
        <v>23614</v>
      </c>
      <c r="B23619" s="3" t="str">
        <f>"01066173"</f>
        <v>01066173</v>
      </c>
    </row>
    <row r="23620" spans="1:2" x14ac:dyDescent="0.25">
      <c r="A23620" s="2">
        <v>23615</v>
      </c>
      <c r="B23620" s="3" t="str">
        <f>"01066189"</f>
        <v>01066189</v>
      </c>
    </row>
    <row r="23621" spans="1:2" x14ac:dyDescent="0.25">
      <c r="A23621" s="2">
        <v>23616</v>
      </c>
      <c r="B23621" s="3" t="str">
        <f>"01066191"</f>
        <v>01066191</v>
      </c>
    </row>
    <row r="23622" spans="1:2" x14ac:dyDescent="0.25">
      <c r="A23622" s="2">
        <v>23617</v>
      </c>
      <c r="B23622" s="3" t="str">
        <f>"01066192"</f>
        <v>01066192</v>
      </c>
    </row>
    <row r="23623" spans="1:2" x14ac:dyDescent="0.25">
      <c r="A23623" s="2">
        <v>23618</v>
      </c>
      <c r="B23623" s="3" t="str">
        <f>"01066195"</f>
        <v>01066195</v>
      </c>
    </row>
    <row r="23624" spans="1:2" x14ac:dyDescent="0.25">
      <c r="A23624" s="2">
        <v>23619</v>
      </c>
      <c r="B23624" s="3" t="str">
        <f>"01066196"</f>
        <v>01066196</v>
      </c>
    </row>
    <row r="23625" spans="1:2" x14ac:dyDescent="0.25">
      <c r="A23625" s="2">
        <v>23620</v>
      </c>
      <c r="B23625" s="3" t="str">
        <f>"01066198"</f>
        <v>01066198</v>
      </c>
    </row>
    <row r="23626" spans="1:2" x14ac:dyDescent="0.25">
      <c r="A23626" s="2">
        <v>23621</v>
      </c>
      <c r="B23626" s="3" t="str">
        <f>"01066201"</f>
        <v>01066201</v>
      </c>
    </row>
    <row r="23627" spans="1:2" x14ac:dyDescent="0.25">
      <c r="A23627" s="2">
        <v>23622</v>
      </c>
      <c r="B23627" s="3" t="str">
        <f>"01066203"</f>
        <v>01066203</v>
      </c>
    </row>
    <row r="23628" spans="1:2" x14ac:dyDescent="0.25">
      <c r="A23628" s="2">
        <v>23623</v>
      </c>
      <c r="B23628" s="3" t="str">
        <f>"01066207"</f>
        <v>01066207</v>
      </c>
    </row>
    <row r="23629" spans="1:2" x14ac:dyDescent="0.25">
      <c r="A23629" s="2">
        <v>23624</v>
      </c>
      <c r="B23629" s="3" t="str">
        <f>"01066210"</f>
        <v>01066210</v>
      </c>
    </row>
    <row r="23630" spans="1:2" x14ac:dyDescent="0.25">
      <c r="A23630" s="2">
        <v>23625</v>
      </c>
      <c r="B23630" s="3" t="str">
        <f>"01066219"</f>
        <v>01066219</v>
      </c>
    </row>
    <row r="23631" spans="1:2" x14ac:dyDescent="0.25">
      <c r="A23631" s="2">
        <v>23626</v>
      </c>
      <c r="B23631" s="3" t="str">
        <f>"01066223"</f>
        <v>01066223</v>
      </c>
    </row>
    <row r="23632" spans="1:2" x14ac:dyDescent="0.25">
      <c r="A23632" s="2">
        <v>23627</v>
      </c>
      <c r="B23632" s="3" t="str">
        <f>"01066224"</f>
        <v>01066224</v>
      </c>
    </row>
    <row r="23633" spans="1:2" x14ac:dyDescent="0.25">
      <c r="A23633" s="2">
        <v>23628</v>
      </c>
      <c r="B23633" s="3" t="str">
        <f>"01066229"</f>
        <v>01066229</v>
      </c>
    </row>
    <row r="23634" spans="1:2" x14ac:dyDescent="0.25">
      <c r="A23634" s="2">
        <v>23629</v>
      </c>
      <c r="B23634" s="3" t="str">
        <f>"01066231"</f>
        <v>01066231</v>
      </c>
    </row>
    <row r="23635" spans="1:2" x14ac:dyDescent="0.25">
      <c r="A23635" s="2">
        <v>23630</v>
      </c>
      <c r="B23635" s="3" t="str">
        <f>"01066233"</f>
        <v>01066233</v>
      </c>
    </row>
    <row r="23636" spans="1:2" x14ac:dyDescent="0.25">
      <c r="A23636" s="2">
        <v>23631</v>
      </c>
      <c r="B23636" s="3" t="str">
        <f>"01066234"</f>
        <v>01066234</v>
      </c>
    </row>
    <row r="23637" spans="1:2" x14ac:dyDescent="0.25">
      <c r="A23637" s="2">
        <v>23632</v>
      </c>
      <c r="B23637" s="3" t="str">
        <f>"01066237"</f>
        <v>01066237</v>
      </c>
    </row>
    <row r="23638" spans="1:2" x14ac:dyDescent="0.25">
      <c r="A23638" s="2">
        <v>23633</v>
      </c>
      <c r="B23638" s="3" t="str">
        <f>"01066238"</f>
        <v>01066238</v>
      </c>
    </row>
    <row r="23639" spans="1:2" x14ac:dyDescent="0.25">
      <c r="A23639" s="2">
        <v>23634</v>
      </c>
      <c r="B23639" s="3" t="str">
        <f>"01066239"</f>
        <v>01066239</v>
      </c>
    </row>
    <row r="23640" spans="1:2" x14ac:dyDescent="0.25">
      <c r="A23640" s="2">
        <v>23635</v>
      </c>
      <c r="B23640" s="3" t="str">
        <f>"01066244"</f>
        <v>01066244</v>
      </c>
    </row>
    <row r="23641" spans="1:2" x14ac:dyDescent="0.25">
      <c r="A23641" s="2">
        <v>23636</v>
      </c>
      <c r="B23641" s="3" t="str">
        <f>"01066247"</f>
        <v>01066247</v>
      </c>
    </row>
    <row r="23642" spans="1:2" x14ac:dyDescent="0.25">
      <c r="A23642" s="2">
        <v>23637</v>
      </c>
      <c r="B23642" s="3" t="str">
        <f>"01066248"</f>
        <v>01066248</v>
      </c>
    </row>
    <row r="23643" spans="1:2" x14ac:dyDescent="0.25">
      <c r="A23643" s="2">
        <v>23638</v>
      </c>
      <c r="B23643" s="3" t="str">
        <f>"01066249"</f>
        <v>01066249</v>
      </c>
    </row>
    <row r="23644" spans="1:2" x14ac:dyDescent="0.25">
      <c r="A23644" s="2">
        <v>23639</v>
      </c>
      <c r="B23644" s="3" t="str">
        <f>"01066250"</f>
        <v>01066250</v>
      </c>
    </row>
    <row r="23645" spans="1:2" x14ac:dyDescent="0.25">
      <c r="A23645" s="2">
        <v>23640</v>
      </c>
      <c r="B23645" s="3" t="str">
        <f>"01066251"</f>
        <v>01066251</v>
      </c>
    </row>
    <row r="23646" spans="1:2" x14ac:dyDescent="0.25">
      <c r="A23646" s="2">
        <v>23641</v>
      </c>
      <c r="B23646" s="3" t="str">
        <f>"01066254"</f>
        <v>01066254</v>
      </c>
    </row>
    <row r="23647" spans="1:2" x14ac:dyDescent="0.25">
      <c r="A23647" s="2">
        <v>23642</v>
      </c>
      <c r="B23647" s="3" t="str">
        <f>"01066255"</f>
        <v>01066255</v>
      </c>
    </row>
    <row r="23648" spans="1:2" x14ac:dyDescent="0.25">
      <c r="A23648" s="2">
        <v>23643</v>
      </c>
      <c r="B23648" s="3" t="str">
        <f>"01066257"</f>
        <v>01066257</v>
      </c>
    </row>
    <row r="23649" spans="1:2" x14ac:dyDescent="0.25">
      <c r="A23649" s="2">
        <v>23644</v>
      </c>
      <c r="B23649" s="3" t="str">
        <f>"01066258"</f>
        <v>01066258</v>
      </c>
    </row>
    <row r="23650" spans="1:2" x14ac:dyDescent="0.25">
      <c r="A23650" s="2">
        <v>23645</v>
      </c>
      <c r="B23650" s="3" t="str">
        <f>"01066262"</f>
        <v>01066262</v>
      </c>
    </row>
    <row r="23651" spans="1:2" x14ac:dyDescent="0.25">
      <c r="A23651" s="2">
        <v>23646</v>
      </c>
      <c r="B23651" s="3" t="str">
        <f>"01066264"</f>
        <v>01066264</v>
      </c>
    </row>
    <row r="23652" spans="1:2" x14ac:dyDescent="0.25">
      <c r="A23652" s="2">
        <v>23647</v>
      </c>
      <c r="B23652" s="3" t="str">
        <f>"01066271"</f>
        <v>01066271</v>
      </c>
    </row>
    <row r="23653" spans="1:2" x14ac:dyDescent="0.25">
      <c r="A23653" s="2">
        <v>23648</v>
      </c>
      <c r="B23653" s="3" t="str">
        <f>"01066274"</f>
        <v>01066274</v>
      </c>
    </row>
    <row r="23654" spans="1:2" x14ac:dyDescent="0.25">
      <c r="A23654" s="2">
        <v>23649</v>
      </c>
      <c r="B23654" s="3" t="str">
        <f>"01066275"</f>
        <v>01066275</v>
      </c>
    </row>
    <row r="23655" spans="1:2" x14ac:dyDescent="0.25">
      <c r="A23655" s="2">
        <v>23650</v>
      </c>
      <c r="B23655" s="3" t="str">
        <f>"01066277"</f>
        <v>01066277</v>
      </c>
    </row>
    <row r="23656" spans="1:2" x14ac:dyDescent="0.25">
      <c r="A23656" s="2">
        <v>23651</v>
      </c>
      <c r="B23656" s="3" t="str">
        <f>"01066287"</f>
        <v>01066287</v>
      </c>
    </row>
    <row r="23657" spans="1:2" x14ac:dyDescent="0.25">
      <c r="A23657" s="2">
        <v>23652</v>
      </c>
      <c r="B23657" s="3" t="str">
        <f>"01066300"</f>
        <v>01066300</v>
      </c>
    </row>
    <row r="23658" spans="1:2" x14ac:dyDescent="0.25">
      <c r="A23658" s="2">
        <v>23653</v>
      </c>
      <c r="B23658" s="3" t="str">
        <f>"01066301"</f>
        <v>01066301</v>
      </c>
    </row>
    <row r="23659" spans="1:2" x14ac:dyDescent="0.25">
      <c r="A23659" s="2">
        <v>23654</v>
      </c>
      <c r="B23659" s="3" t="str">
        <f>"01066302"</f>
        <v>01066302</v>
      </c>
    </row>
    <row r="23660" spans="1:2" x14ac:dyDescent="0.25">
      <c r="A23660" s="2">
        <v>23655</v>
      </c>
      <c r="B23660" s="3" t="str">
        <f>"01066308"</f>
        <v>01066308</v>
      </c>
    </row>
    <row r="23661" spans="1:2" x14ac:dyDescent="0.25">
      <c r="A23661" s="2">
        <v>23656</v>
      </c>
      <c r="B23661" s="3" t="str">
        <f>"01066309"</f>
        <v>01066309</v>
      </c>
    </row>
    <row r="23662" spans="1:2" x14ac:dyDescent="0.25">
      <c r="A23662" s="2">
        <v>23657</v>
      </c>
      <c r="B23662" s="3" t="str">
        <f>"01066311"</f>
        <v>01066311</v>
      </c>
    </row>
    <row r="23663" spans="1:2" x14ac:dyDescent="0.25">
      <c r="A23663" s="2">
        <v>23658</v>
      </c>
      <c r="B23663" s="3" t="str">
        <f>"01066316"</f>
        <v>01066316</v>
      </c>
    </row>
    <row r="23664" spans="1:2" x14ac:dyDescent="0.25">
      <c r="A23664" s="2">
        <v>23659</v>
      </c>
      <c r="B23664" s="3" t="str">
        <f>"01066319"</f>
        <v>01066319</v>
      </c>
    </row>
    <row r="23665" spans="1:2" x14ac:dyDescent="0.25">
      <c r="A23665" s="2">
        <v>23660</v>
      </c>
      <c r="B23665" s="3" t="str">
        <f>"01066322"</f>
        <v>01066322</v>
      </c>
    </row>
    <row r="23666" spans="1:2" x14ac:dyDescent="0.25">
      <c r="A23666" s="2">
        <v>23661</v>
      </c>
      <c r="B23666" s="3" t="str">
        <f>"01066326"</f>
        <v>01066326</v>
      </c>
    </row>
    <row r="23667" spans="1:2" x14ac:dyDescent="0.25">
      <c r="A23667" s="2">
        <v>23662</v>
      </c>
      <c r="B23667" s="3" t="str">
        <f>"01066328"</f>
        <v>01066328</v>
      </c>
    </row>
    <row r="23668" spans="1:2" x14ac:dyDescent="0.25">
      <c r="A23668" s="2">
        <v>23663</v>
      </c>
      <c r="B23668" s="3" t="str">
        <f>"01066329"</f>
        <v>01066329</v>
      </c>
    </row>
    <row r="23669" spans="1:2" x14ac:dyDescent="0.25">
      <c r="A23669" s="2">
        <v>23664</v>
      </c>
      <c r="B23669" s="3" t="str">
        <f>"01066339"</f>
        <v>01066339</v>
      </c>
    </row>
    <row r="23670" spans="1:2" x14ac:dyDescent="0.25">
      <c r="A23670" s="2">
        <v>23665</v>
      </c>
      <c r="B23670" s="3" t="str">
        <f>"01066346"</f>
        <v>01066346</v>
      </c>
    </row>
    <row r="23671" spans="1:2" x14ac:dyDescent="0.25">
      <c r="A23671" s="2">
        <v>23666</v>
      </c>
      <c r="B23671" s="3" t="str">
        <f>"01066348"</f>
        <v>01066348</v>
      </c>
    </row>
    <row r="23672" spans="1:2" x14ac:dyDescent="0.25">
      <c r="A23672" s="2">
        <v>23667</v>
      </c>
      <c r="B23672" s="3" t="str">
        <f>"01066349"</f>
        <v>01066349</v>
      </c>
    </row>
    <row r="23673" spans="1:2" x14ac:dyDescent="0.25">
      <c r="A23673" s="2">
        <v>23668</v>
      </c>
      <c r="B23673" s="3" t="str">
        <f>"01066386"</f>
        <v>01066386</v>
      </c>
    </row>
    <row r="23674" spans="1:2" x14ac:dyDescent="0.25">
      <c r="A23674" s="2">
        <v>23669</v>
      </c>
      <c r="B23674" s="3" t="str">
        <f>"01066388"</f>
        <v>01066388</v>
      </c>
    </row>
    <row r="23675" spans="1:2" x14ac:dyDescent="0.25">
      <c r="A23675" s="2">
        <v>23670</v>
      </c>
      <c r="B23675" s="3" t="str">
        <f>"01066397"</f>
        <v>01066397</v>
      </c>
    </row>
    <row r="23676" spans="1:2" x14ac:dyDescent="0.25">
      <c r="A23676" s="2">
        <v>23671</v>
      </c>
      <c r="B23676" s="3" t="str">
        <f>"01066398"</f>
        <v>01066398</v>
      </c>
    </row>
    <row r="23677" spans="1:2" x14ac:dyDescent="0.25">
      <c r="A23677" s="2">
        <v>23672</v>
      </c>
      <c r="B23677" s="3" t="str">
        <f>"01066399"</f>
        <v>01066399</v>
      </c>
    </row>
    <row r="23678" spans="1:2" x14ac:dyDescent="0.25">
      <c r="A23678" s="2">
        <v>23673</v>
      </c>
      <c r="B23678" s="3" t="str">
        <f>"01066402"</f>
        <v>01066402</v>
      </c>
    </row>
    <row r="23679" spans="1:2" x14ac:dyDescent="0.25">
      <c r="A23679" s="2">
        <v>23674</v>
      </c>
      <c r="B23679" s="3" t="str">
        <f>"01066405"</f>
        <v>01066405</v>
      </c>
    </row>
    <row r="23680" spans="1:2" x14ac:dyDescent="0.25">
      <c r="A23680" s="2">
        <v>23675</v>
      </c>
      <c r="B23680" s="3" t="str">
        <f>"01066408"</f>
        <v>01066408</v>
      </c>
    </row>
    <row r="23681" spans="1:2" x14ac:dyDescent="0.25">
      <c r="A23681" s="2">
        <v>23676</v>
      </c>
      <c r="B23681" s="3" t="str">
        <f>"01066419"</f>
        <v>01066419</v>
      </c>
    </row>
    <row r="23682" spans="1:2" x14ac:dyDescent="0.25">
      <c r="A23682" s="2">
        <v>23677</v>
      </c>
      <c r="B23682" s="3" t="str">
        <f>"01066429"</f>
        <v>01066429</v>
      </c>
    </row>
    <row r="23683" spans="1:2" x14ac:dyDescent="0.25">
      <c r="A23683" s="2">
        <v>23678</v>
      </c>
      <c r="B23683" s="3" t="str">
        <f>"01066433"</f>
        <v>01066433</v>
      </c>
    </row>
    <row r="23684" spans="1:2" x14ac:dyDescent="0.25">
      <c r="A23684" s="2">
        <v>23679</v>
      </c>
      <c r="B23684" s="3" t="str">
        <f>"01066438"</f>
        <v>01066438</v>
      </c>
    </row>
    <row r="23685" spans="1:2" x14ac:dyDescent="0.25">
      <c r="A23685" s="2">
        <v>23680</v>
      </c>
      <c r="B23685" s="3" t="str">
        <f>"01066441"</f>
        <v>01066441</v>
      </c>
    </row>
    <row r="23686" spans="1:2" x14ac:dyDescent="0.25">
      <c r="A23686" s="2">
        <v>23681</v>
      </c>
      <c r="B23686" s="3" t="str">
        <f>"01066452"</f>
        <v>01066452</v>
      </c>
    </row>
    <row r="23687" spans="1:2" x14ac:dyDescent="0.25">
      <c r="A23687" s="2">
        <v>23682</v>
      </c>
      <c r="B23687" s="3" t="str">
        <f>"01066457"</f>
        <v>01066457</v>
      </c>
    </row>
    <row r="23688" spans="1:2" x14ac:dyDescent="0.25">
      <c r="A23688" s="2">
        <v>23683</v>
      </c>
      <c r="B23688" s="3" t="str">
        <f>"01066465"</f>
        <v>01066465</v>
      </c>
    </row>
    <row r="23689" spans="1:2" x14ac:dyDescent="0.25">
      <c r="A23689" s="2">
        <v>23684</v>
      </c>
      <c r="B23689" s="3" t="str">
        <f>"01066470"</f>
        <v>01066470</v>
      </c>
    </row>
    <row r="23690" spans="1:2" x14ac:dyDescent="0.25">
      <c r="A23690" s="2">
        <v>23685</v>
      </c>
      <c r="B23690" s="3" t="str">
        <f>"01066471"</f>
        <v>01066471</v>
      </c>
    </row>
    <row r="23691" spans="1:2" x14ac:dyDescent="0.25">
      <c r="A23691" s="2">
        <v>23686</v>
      </c>
      <c r="B23691" s="3" t="str">
        <f>"01066474"</f>
        <v>01066474</v>
      </c>
    </row>
    <row r="23692" spans="1:2" x14ac:dyDescent="0.25">
      <c r="A23692" s="2">
        <v>23687</v>
      </c>
      <c r="B23692" s="3" t="str">
        <f>"01066475"</f>
        <v>01066475</v>
      </c>
    </row>
    <row r="23693" spans="1:2" x14ac:dyDescent="0.25">
      <c r="A23693" s="2">
        <v>23688</v>
      </c>
      <c r="B23693" s="3" t="str">
        <f>"01066478"</f>
        <v>01066478</v>
      </c>
    </row>
    <row r="23694" spans="1:2" x14ac:dyDescent="0.25">
      <c r="A23694" s="2">
        <v>23689</v>
      </c>
      <c r="B23694" s="3" t="str">
        <f>"01066482"</f>
        <v>01066482</v>
      </c>
    </row>
    <row r="23695" spans="1:2" x14ac:dyDescent="0.25">
      <c r="A23695" s="2">
        <v>23690</v>
      </c>
      <c r="B23695" s="3" t="str">
        <f>"01066492"</f>
        <v>01066492</v>
      </c>
    </row>
    <row r="23696" spans="1:2" x14ac:dyDescent="0.25">
      <c r="A23696" s="2">
        <v>23691</v>
      </c>
      <c r="B23696" s="3" t="str">
        <f>"01066495"</f>
        <v>01066495</v>
      </c>
    </row>
    <row r="23697" spans="1:2" x14ac:dyDescent="0.25">
      <c r="A23697" s="2">
        <v>23692</v>
      </c>
      <c r="B23697" s="3" t="str">
        <f>"01066501"</f>
        <v>01066501</v>
      </c>
    </row>
    <row r="23698" spans="1:2" x14ac:dyDescent="0.25">
      <c r="A23698" s="2">
        <v>23693</v>
      </c>
      <c r="B23698" s="3" t="str">
        <f>"01066502"</f>
        <v>01066502</v>
      </c>
    </row>
    <row r="23699" spans="1:2" x14ac:dyDescent="0.25">
      <c r="A23699" s="2">
        <v>23694</v>
      </c>
      <c r="B23699" s="3" t="str">
        <f>"01066505"</f>
        <v>01066505</v>
      </c>
    </row>
    <row r="23700" spans="1:2" x14ac:dyDescent="0.25">
      <c r="A23700" s="2">
        <v>23695</v>
      </c>
      <c r="B23700" s="3" t="str">
        <f>"01066507"</f>
        <v>01066507</v>
      </c>
    </row>
    <row r="23701" spans="1:2" x14ac:dyDescent="0.25">
      <c r="A23701" s="2">
        <v>23696</v>
      </c>
      <c r="B23701" s="3" t="str">
        <f>"01066512"</f>
        <v>01066512</v>
      </c>
    </row>
    <row r="23702" spans="1:2" x14ac:dyDescent="0.25">
      <c r="A23702" s="2">
        <v>23697</v>
      </c>
      <c r="B23702" s="3" t="str">
        <f>"01066513"</f>
        <v>01066513</v>
      </c>
    </row>
    <row r="23703" spans="1:2" x14ac:dyDescent="0.25">
      <c r="A23703" s="2">
        <v>23698</v>
      </c>
      <c r="B23703" s="3" t="str">
        <f>"01066514"</f>
        <v>01066514</v>
      </c>
    </row>
    <row r="23704" spans="1:2" x14ac:dyDescent="0.25">
      <c r="A23704" s="2">
        <v>23699</v>
      </c>
      <c r="B23704" s="3" t="str">
        <f>"01066517"</f>
        <v>01066517</v>
      </c>
    </row>
    <row r="23705" spans="1:2" x14ac:dyDescent="0.25">
      <c r="A23705" s="2">
        <v>23700</v>
      </c>
      <c r="B23705" s="3" t="str">
        <f>"01066518"</f>
        <v>01066518</v>
      </c>
    </row>
    <row r="23706" spans="1:2" x14ac:dyDescent="0.25">
      <c r="A23706" s="2">
        <v>23701</v>
      </c>
      <c r="B23706" s="3" t="str">
        <f>"01066528"</f>
        <v>01066528</v>
      </c>
    </row>
    <row r="23707" spans="1:2" x14ac:dyDescent="0.25">
      <c r="A23707" s="2">
        <v>23702</v>
      </c>
      <c r="B23707" s="3" t="str">
        <f>"01066530"</f>
        <v>01066530</v>
      </c>
    </row>
    <row r="23708" spans="1:2" x14ac:dyDescent="0.25">
      <c r="A23708" s="2">
        <v>23703</v>
      </c>
      <c r="B23708" s="3" t="str">
        <f>"01066532"</f>
        <v>01066532</v>
      </c>
    </row>
    <row r="23709" spans="1:2" x14ac:dyDescent="0.25">
      <c r="A23709" s="2">
        <v>23704</v>
      </c>
      <c r="B23709" s="3" t="str">
        <f>"01066534"</f>
        <v>01066534</v>
      </c>
    </row>
    <row r="23710" spans="1:2" x14ac:dyDescent="0.25">
      <c r="A23710" s="2">
        <v>23705</v>
      </c>
      <c r="B23710" s="3" t="str">
        <f>"01066540"</f>
        <v>01066540</v>
      </c>
    </row>
    <row r="23711" spans="1:2" x14ac:dyDescent="0.25">
      <c r="A23711" s="2">
        <v>23706</v>
      </c>
      <c r="B23711" s="3" t="str">
        <f>"01066544"</f>
        <v>01066544</v>
      </c>
    </row>
    <row r="23712" spans="1:2" x14ac:dyDescent="0.25">
      <c r="A23712" s="2">
        <v>23707</v>
      </c>
      <c r="B23712" s="3" t="str">
        <f>"01066549"</f>
        <v>01066549</v>
      </c>
    </row>
    <row r="23713" spans="1:2" x14ac:dyDescent="0.25">
      <c r="A23713" s="2">
        <v>23708</v>
      </c>
      <c r="B23713" s="3" t="str">
        <f>"01066552"</f>
        <v>01066552</v>
      </c>
    </row>
    <row r="23714" spans="1:2" x14ac:dyDescent="0.25">
      <c r="A23714" s="2">
        <v>23709</v>
      </c>
      <c r="B23714" s="3" t="str">
        <f>"01066555"</f>
        <v>01066555</v>
      </c>
    </row>
    <row r="23715" spans="1:2" x14ac:dyDescent="0.25">
      <c r="A23715" s="2">
        <v>23710</v>
      </c>
      <c r="B23715" s="3" t="str">
        <f>"01066560"</f>
        <v>01066560</v>
      </c>
    </row>
    <row r="23716" spans="1:2" x14ac:dyDescent="0.25">
      <c r="A23716" s="2">
        <v>23711</v>
      </c>
      <c r="B23716" s="3" t="str">
        <f>"01066562"</f>
        <v>01066562</v>
      </c>
    </row>
    <row r="23717" spans="1:2" x14ac:dyDescent="0.25">
      <c r="A23717" s="2">
        <v>23712</v>
      </c>
      <c r="B23717" s="3" t="str">
        <f>"01066566"</f>
        <v>01066566</v>
      </c>
    </row>
    <row r="23718" spans="1:2" x14ac:dyDescent="0.25">
      <c r="A23718" s="2">
        <v>23713</v>
      </c>
      <c r="B23718" s="3" t="str">
        <f>"01066572"</f>
        <v>01066572</v>
      </c>
    </row>
    <row r="23719" spans="1:2" x14ac:dyDescent="0.25">
      <c r="A23719" s="2">
        <v>23714</v>
      </c>
      <c r="B23719" s="3" t="str">
        <f>"01066575"</f>
        <v>01066575</v>
      </c>
    </row>
    <row r="23720" spans="1:2" x14ac:dyDescent="0.25">
      <c r="A23720" s="2">
        <v>23715</v>
      </c>
      <c r="B23720" s="3" t="str">
        <f>"01066592"</f>
        <v>01066592</v>
      </c>
    </row>
    <row r="23721" spans="1:2" x14ac:dyDescent="0.25">
      <c r="A23721" s="2">
        <v>23716</v>
      </c>
      <c r="B23721" s="3" t="str">
        <f>"01066593"</f>
        <v>01066593</v>
      </c>
    </row>
    <row r="23722" spans="1:2" x14ac:dyDescent="0.25">
      <c r="A23722" s="2">
        <v>23717</v>
      </c>
      <c r="B23722" s="3" t="str">
        <f>"01066595"</f>
        <v>01066595</v>
      </c>
    </row>
    <row r="23723" spans="1:2" x14ac:dyDescent="0.25">
      <c r="A23723" s="2">
        <v>23718</v>
      </c>
      <c r="B23723" s="3" t="str">
        <f>"01066601"</f>
        <v>01066601</v>
      </c>
    </row>
    <row r="23724" spans="1:2" x14ac:dyDescent="0.25">
      <c r="A23724" s="2">
        <v>23719</v>
      </c>
      <c r="B23724" s="3" t="str">
        <f>"01066602"</f>
        <v>01066602</v>
      </c>
    </row>
    <row r="23725" spans="1:2" x14ac:dyDescent="0.25">
      <c r="A23725" s="2">
        <v>23720</v>
      </c>
      <c r="B23725" s="3" t="str">
        <f>"01066605"</f>
        <v>01066605</v>
      </c>
    </row>
    <row r="23726" spans="1:2" x14ac:dyDescent="0.25">
      <c r="A23726" s="2">
        <v>23721</v>
      </c>
      <c r="B23726" s="3" t="str">
        <f>"01066606"</f>
        <v>01066606</v>
      </c>
    </row>
    <row r="23727" spans="1:2" x14ac:dyDescent="0.25">
      <c r="A23727" s="2">
        <v>23722</v>
      </c>
      <c r="B23727" s="3" t="str">
        <f>"01066607"</f>
        <v>01066607</v>
      </c>
    </row>
    <row r="23728" spans="1:2" x14ac:dyDescent="0.25">
      <c r="A23728" s="2">
        <v>23723</v>
      </c>
      <c r="B23728" s="3" t="str">
        <f>"01066608"</f>
        <v>01066608</v>
      </c>
    </row>
    <row r="23729" spans="1:2" x14ac:dyDescent="0.25">
      <c r="A23729" s="2">
        <v>23724</v>
      </c>
      <c r="B23729" s="3" t="str">
        <f>"01066611"</f>
        <v>01066611</v>
      </c>
    </row>
    <row r="23730" spans="1:2" x14ac:dyDescent="0.25">
      <c r="A23730" s="2">
        <v>23725</v>
      </c>
      <c r="B23730" s="3" t="str">
        <f>"01066613"</f>
        <v>01066613</v>
      </c>
    </row>
    <row r="23731" spans="1:2" x14ac:dyDescent="0.25">
      <c r="A23731" s="2">
        <v>23726</v>
      </c>
      <c r="B23731" s="3" t="str">
        <f>"01066614"</f>
        <v>01066614</v>
      </c>
    </row>
    <row r="23732" spans="1:2" x14ac:dyDescent="0.25">
      <c r="A23732" s="2">
        <v>23727</v>
      </c>
      <c r="B23732" s="3" t="str">
        <f>"01066619"</f>
        <v>01066619</v>
      </c>
    </row>
    <row r="23733" spans="1:2" x14ac:dyDescent="0.25">
      <c r="A23733" s="2">
        <v>23728</v>
      </c>
      <c r="B23733" s="3" t="str">
        <f>"01066621"</f>
        <v>01066621</v>
      </c>
    </row>
    <row r="23734" spans="1:2" x14ac:dyDescent="0.25">
      <c r="A23734" s="2">
        <v>23729</v>
      </c>
      <c r="B23734" s="3" t="str">
        <f>"01066628"</f>
        <v>01066628</v>
      </c>
    </row>
    <row r="23735" spans="1:2" x14ac:dyDescent="0.25">
      <c r="A23735" s="2">
        <v>23730</v>
      </c>
      <c r="B23735" s="3" t="str">
        <f>"01066635"</f>
        <v>01066635</v>
      </c>
    </row>
    <row r="23736" spans="1:2" x14ac:dyDescent="0.25">
      <c r="A23736" s="2">
        <v>23731</v>
      </c>
      <c r="B23736" s="3" t="str">
        <f>"01066637"</f>
        <v>01066637</v>
      </c>
    </row>
    <row r="23737" spans="1:2" x14ac:dyDescent="0.25">
      <c r="A23737" s="2">
        <v>23732</v>
      </c>
      <c r="B23737" s="3" t="str">
        <f>"01066639"</f>
        <v>01066639</v>
      </c>
    </row>
    <row r="23738" spans="1:2" x14ac:dyDescent="0.25">
      <c r="A23738" s="2">
        <v>23733</v>
      </c>
      <c r="B23738" s="3" t="str">
        <f>"01066641"</f>
        <v>01066641</v>
      </c>
    </row>
    <row r="23739" spans="1:2" x14ac:dyDescent="0.25">
      <c r="A23739" s="2">
        <v>23734</v>
      </c>
      <c r="B23739" s="3" t="str">
        <f>"01066644"</f>
        <v>01066644</v>
      </c>
    </row>
    <row r="23740" spans="1:2" x14ac:dyDescent="0.25">
      <c r="A23740" s="2">
        <v>23735</v>
      </c>
      <c r="B23740" s="3" t="str">
        <f>"01066652"</f>
        <v>01066652</v>
      </c>
    </row>
    <row r="23741" spans="1:2" x14ac:dyDescent="0.25">
      <c r="A23741" s="2">
        <v>23736</v>
      </c>
      <c r="B23741" s="3" t="str">
        <f>"01066664"</f>
        <v>01066664</v>
      </c>
    </row>
    <row r="23742" spans="1:2" x14ac:dyDescent="0.25">
      <c r="A23742" s="2">
        <v>23737</v>
      </c>
      <c r="B23742" s="3" t="str">
        <f>"01066667"</f>
        <v>01066667</v>
      </c>
    </row>
    <row r="23743" spans="1:2" x14ac:dyDescent="0.25">
      <c r="A23743" s="2">
        <v>23738</v>
      </c>
      <c r="B23743" s="3" t="str">
        <f>"01066677"</f>
        <v>01066677</v>
      </c>
    </row>
    <row r="23744" spans="1:2" x14ac:dyDescent="0.25">
      <c r="A23744" s="2">
        <v>23739</v>
      </c>
      <c r="B23744" s="3" t="str">
        <f>"01066678"</f>
        <v>01066678</v>
      </c>
    </row>
    <row r="23745" spans="1:2" x14ac:dyDescent="0.25">
      <c r="A23745" s="2">
        <v>23740</v>
      </c>
      <c r="B23745" s="3" t="str">
        <f>"01066681"</f>
        <v>01066681</v>
      </c>
    </row>
    <row r="23746" spans="1:2" x14ac:dyDescent="0.25">
      <c r="A23746" s="2">
        <v>23741</v>
      </c>
      <c r="B23746" s="3" t="str">
        <f>"01066685"</f>
        <v>01066685</v>
      </c>
    </row>
    <row r="23747" spans="1:2" x14ac:dyDescent="0.25">
      <c r="A23747" s="2">
        <v>23742</v>
      </c>
      <c r="B23747" s="3" t="str">
        <f>"01066689"</f>
        <v>01066689</v>
      </c>
    </row>
    <row r="23748" spans="1:2" x14ac:dyDescent="0.25">
      <c r="A23748" s="2">
        <v>23743</v>
      </c>
      <c r="B23748" s="3" t="str">
        <f>"01066694"</f>
        <v>01066694</v>
      </c>
    </row>
    <row r="23749" spans="1:2" x14ac:dyDescent="0.25">
      <c r="A23749" s="2">
        <v>23744</v>
      </c>
      <c r="B23749" s="3" t="str">
        <f>"01066700"</f>
        <v>01066700</v>
      </c>
    </row>
    <row r="23750" spans="1:2" x14ac:dyDescent="0.25">
      <c r="A23750" s="2">
        <v>23745</v>
      </c>
      <c r="B23750" s="3" t="str">
        <f>"01066707"</f>
        <v>01066707</v>
      </c>
    </row>
    <row r="23751" spans="1:2" x14ac:dyDescent="0.25">
      <c r="A23751" s="2">
        <v>23746</v>
      </c>
      <c r="B23751" s="3" t="str">
        <f>"01066708"</f>
        <v>01066708</v>
      </c>
    </row>
    <row r="23752" spans="1:2" x14ac:dyDescent="0.25">
      <c r="A23752" s="2">
        <v>23747</v>
      </c>
      <c r="B23752" s="3" t="str">
        <f>"01066713"</f>
        <v>01066713</v>
      </c>
    </row>
    <row r="23753" spans="1:2" x14ac:dyDescent="0.25">
      <c r="A23753" s="2">
        <v>23748</v>
      </c>
      <c r="B23753" s="3" t="str">
        <f>"01066714"</f>
        <v>01066714</v>
      </c>
    </row>
    <row r="23754" spans="1:2" x14ac:dyDescent="0.25">
      <c r="A23754" s="2">
        <v>23749</v>
      </c>
      <c r="B23754" s="3" t="str">
        <f>"01066726"</f>
        <v>01066726</v>
      </c>
    </row>
    <row r="23755" spans="1:2" x14ac:dyDescent="0.25">
      <c r="A23755" s="2">
        <v>23750</v>
      </c>
      <c r="B23755" s="3" t="str">
        <f>"01066729"</f>
        <v>01066729</v>
      </c>
    </row>
    <row r="23756" spans="1:2" x14ac:dyDescent="0.25">
      <c r="A23756" s="2">
        <v>23751</v>
      </c>
      <c r="B23756" s="3" t="str">
        <f>"01066731"</f>
        <v>01066731</v>
      </c>
    </row>
    <row r="23757" spans="1:2" x14ac:dyDescent="0.25">
      <c r="A23757" s="2">
        <v>23752</v>
      </c>
      <c r="B23757" s="3" t="str">
        <f>"01066735"</f>
        <v>01066735</v>
      </c>
    </row>
    <row r="23758" spans="1:2" x14ac:dyDescent="0.25">
      <c r="A23758" s="2">
        <v>23753</v>
      </c>
      <c r="B23758" s="3" t="str">
        <f>"01066743"</f>
        <v>01066743</v>
      </c>
    </row>
    <row r="23759" spans="1:2" x14ac:dyDescent="0.25">
      <c r="A23759" s="2">
        <v>23754</v>
      </c>
      <c r="B23759" s="3" t="str">
        <f>"01066747"</f>
        <v>01066747</v>
      </c>
    </row>
    <row r="23760" spans="1:2" x14ac:dyDescent="0.25">
      <c r="A23760" s="2">
        <v>23755</v>
      </c>
      <c r="B23760" s="3" t="str">
        <f>"01066753"</f>
        <v>01066753</v>
      </c>
    </row>
    <row r="23761" spans="1:2" x14ac:dyDescent="0.25">
      <c r="A23761" s="2">
        <v>23756</v>
      </c>
      <c r="B23761" s="3" t="str">
        <f>"01066774"</f>
        <v>01066774</v>
      </c>
    </row>
    <row r="23762" spans="1:2" x14ac:dyDescent="0.25">
      <c r="A23762" s="2">
        <v>23757</v>
      </c>
      <c r="B23762" s="3" t="str">
        <f>"01066778"</f>
        <v>01066778</v>
      </c>
    </row>
    <row r="23763" spans="1:2" x14ac:dyDescent="0.25">
      <c r="A23763" s="2">
        <v>23758</v>
      </c>
      <c r="B23763" s="3" t="str">
        <f>"01066786"</f>
        <v>01066786</v>
      </c>
    </row>
    <row r="23764" spans="1:2" x14ac:dyDescent="0.25">
      <c r="A23764" s="2">
        <v>23759</v>
      </c>
      <c r="B23764" s="3" t="str">
        <f>"01066788"</f>
        <v>01066788</v>
      </c>
    </row>
    <row r="23765" spans="1:2" x14ac:dyDescent="0.25">
      <c r="A23765" s="2">
        <v>23760</v>
      </c>
      <c r="B23765" s="3" t="str">
        <f>"01066794"</f>
        <v>01066794</v>
      </c>
    </row>
    <row r="23766" spans="1:2" x14ac:dyDescent="0.25">
      <c r="A23766" s="2">
        <v>23761</v>
      </c>
      <c r="B23766" s="3" t="str">
        <f>"01066808"</f>
        <v>01066808</v>
      </c>
    </row>
    <row r="23767" spans="1:2" x14ac:dyDescent="0.25">
      <c r="A23767" s="2">
        <v>23762</v>
      </c>
      <c r="B23767" s="3" t="str">
        <f>"01066811"</f>
        <v>01066811</v>
      </c>
    </row>
    <row r="23768" spans="1:2" x14ac:dyDescent="0.25">
      <c r="A23768" s="2">
        <v>23763</v>
      </c>
      <c r="B23768" s="3" t="str">
        <f>"01066823"</f>
        <v>01066823</v>
      </c>
    </row>
    <row r="23769" spans="1:2" x14ac:dyDescent="0.25">
      <c r="A23769" s="2">
        <v>23764</v>
      </c>
      <c r="B23769" s="3" t="str">
        <f>"01066824"</f>
        <v>01066824</v>
      </c>
    </row>
    <row r="23770" spans="1:2" x14ac:dyDescent="0.25">
      <c r="A23770" s="2">
        <v>23765</v>
      </c>
      <c r="B23770" s="3" t="str">
        <f>"01066830"</f>
        <v>01066830</v>
      </c>
    </row>
    <row r="23771" spans="1:2" x14ac:dyDescent="0.25">
      <c r="A23771" s="2">
        <v>23766</v>
      </c>
      <c r="B23771" s="3" t="str">
        <f>"01066838"</f>
        <v>01066838</v>
      </c>
    </row>
    <row r="23772" spans="1:2" x14ac:dyDescent="0.25">
      <c r="A23772" s="2">
        <v>23767</v>
      </c>
      <c r="B23772" s="3" t="str">
        <f>"01066844"</f>
        <v>01066844</v>
      </c>
    </row>
    <row r="23773" spans="1:2" x14ac:dyDescent="0.25">
      <c r="A23773" s="2">
        <v>23768</v>
      </c>
      <c r="B23773" s="3" t="str">
        <f>"01066846"</f>
        <v>01066846</v>
      </c>
    </row>
    <row r="23774" spans="1:2" x14ac:dyDescent="0.25">
      <c r="A23774" s="2">
        <v>23769</v>
      </c>
      <c r="B23774" s="3" t="str">
        <f>"01066849"</f>
        <v>01066849</v>
      </c>
    </row>
    <row r="23775" spans="1:2" x14ac:dyDescent="0.25">
      <c r="A23775" s="2">
        <v>23770</v>
      </c>
      <c r="B23775" s="3" t="str">
        <f>"01066854"</f>
        <v>01066854</v>
      </c>
    </row>
    <row r="23776" spans="1:2" x14ac:dyDescent="0.25">
      <c r="A23776" s="2">
        <v>23771</v>
      </c>
      <c r="B23776" s="3" t="str">
        <f>"01066866"</f>
        <v>01066866</v>
      </c>
    </row>
    <row r="23777" spans="1:2" x14ac:dyDescent="0.25">
      <c r="A23777" s="2">
        <v>23772</v>
      </c>
      <c r="B23777" s="3" t="str">
        <f>"01066869"</f>
        <v>01066869</v>
      </c>
    </row>
    <row r="23778" spans="1:2" x14ac:dyDescent="0.25">
      <c r="A23778" s="2">
        <v>23773</v>
      </c>
      <c r="B23778" s="3" t="str">
        <f>"01066870"</f>
        <v>01066870</v>
      </c>
    </row>
    <row r="23779" spans="1:2" x14ac:dyDescent="0.25">
      <c r="A23779" s="2">
        <v>23774</v>
      </c>
      <c r="B23779" s="3" t="str">
        <f>"01066871"</f>
        <v>01066871</v>
      </c>
    </row>
    <row r="23780" spans="1:2" x14ac:dyDescent="0.25">
      <c r="A23780" s="2">
        <v>23775</v>
      </c>
      <c r="B23780" s="3" t="str">
        <f>"01066884"</f>
        <v>01066884</v>
      </c>
    </row>
    <row r="23781" spans="1:2" x14ac:dyDescent="0.25">
      <c r="A23781" s="2">
        <v>23776</v>
      </c>
      <c r="B23781" s="3" t="str">
        <f>"01066890"</f>
        <v>01066890</v>
      </c>
    </row>
    <row r="23782" spans="1:2" x14ac:dyDescent="0.25">
      <c r="A23782" s="2">
        <v>23777</v>
      </c>
      <c r="B23782" s="3" t="str">
        <f>"01066892"</f>
        <v>01066892</v>
      </c>
    </row>
    <row r="23783" spans="1:2" x14ac:dyDescent="0.25">
      <c r="A23783" s="2">
        <v>23778</v>
      </c>
      <c r="B23783" s="3" t="str">
        <f>"01066894"</f>
        <v>01066894</v>
      </c>
    </row>
    <row r="23784" spans="1:2" x14ac:dyDescent="0.25">
      <c r="A23784" s="2">
        <v>23779</v>
      </c>
      <c r="B23784" s="3" t="str">
        <f>"01066896"</f>
        <v>01066896</v>
      </c>
    </row>
    <row r="23785" spans="1:2" x14ac:dyDescent="0.25">
      <c r="A23785" s="2">
        <v>23780</v>
      </c>
      <c r="B23785" s="3" t="str">
        <f>"01066898"</f>
        <v>01066898</v>
      </c>
    </row>
    <row r="23786" spans="1:2" x14ac:dyDescent="0.25">
      <c r="A23786" s="2">
        <v>23781</v>
      </c>
      <c r="B23786" s="3" t="str">
        <f>"01066901"</f>
        <v>01066901</v>
      </c>
    </row>
    <row r="23787" spans="1:2" x14ac:dyDescent="0.25">
      <c r="A23787" s="2">
        <v>23782</v>
      </c>
      <c r="B23787" s="3" t="str">
        <f>"01066903"</f>
        <v>01066903</v>
      </c>
    </row>
    <row r="23788" spans="1:2" x14ac:dyDescent="0.25">
      <c r="A23788" s="2">
        <v>23783</v>
      </c>
      <c r="B23788" s="3" t="str">
        <f>"01066906"</f>
        <v>01066906</v>
      </c>
    </row>
    <row r="23789" spans="1:2" x14ac:dyDescent="0.25">
      <c r="A23789" s="2">
        <v>23784</v>
      </c>
      <c r="B23789" s="3" t="str">
        <f>"01066917"</f>
        <v>01066917</v>
      </c>
    </row>
    <row r="23790" spans="1:2" x14ac:dyDescent="0.25">
      <c r="A23790" s="2">
        <v>23785</v>
      </c>
      <c r="B23790" s="3" t="str">
        <f>"01066920"</f>
        <v>01066920</v>
      </c>
    </row>
    <row r="23791" spans="1:2" x14ac:dyDescent="0.25">
      <c r="A23791" s="2">
        <v>23786</v>
      </c>
      <c r="B23791" s="3" t="str">
        <f>"01066922"</f>
        <v>01066922</v>
      </c>
    </row>
    <row r="23792" spans="1:2" x14ac:dyDescent="0.25">
      <c r="A23792" s="2">
        <v>23787</v>
      </c>
      <c r="B23792" s="3" t="str">
        <f>"01066926"</f>
        <v>01066926</v>
      </c>
    </row>
    <row r="23793" spans="1:2" x14ac:dyDescent="0.25">
      <c r="A23793" s="2">
        <v>23788</v>
      </c>
      <c r="B23793" s="3" t="str">
        <f>"01066931"</f>
        <v>01066931</v>
      </c>
    </row>
    <row r="23794" spans="1:2" x14ac:dyDescent="0.25">
      <c r="A23794" s="2">
        <v>23789</v>
      </c>
      <c r="B23794" s="3" t="str">
        <f>"01066936"</f>
        <v>01066936</v>
      </c>
    </row>
    <row r="23795" spans="1:2" x14ac:dyDescent="0.25">
      <c r="A23795" s="2">
        <v>23790</v>
      </c>
      <c r="B23795" s="3" t="str">
        <f>"01066942"</f>
        <v>01066942</v>
      </c>
    </row>
    <row r="23796" spans="1:2" x14ac:dyDescent="0.25">
      <c r="A23796" s="2">
        <v>23791</v>
      </c>
      <c r="B23796" s="3" t="str">
        <f>"01066944"</f>
        <v>01066944</v>
      </c>
    </row>
    <row r="23797" spans="1:2" x14ac:dyDescent="0.25">
      <c r="A23797" s="2">
        <v>23792</v>
      </c>
      <c r="B23797" s="3" t="str">
        <f>"01066945"</f>
        <v>01066945</v>
      </c>
    </row>
    <row r="23798" spans="1:2" x14ac:dyDescent="0.25">
      <c r="A23798" s="2">
        <v>23793</v>
      </c>
      <c r="B23798" s="3" t="str">
        <f>"01066947"</f>
        <v>01066947</v>
      </c>
    </row>
    <row r="23799" spans="1:2" x14ac:dyDescent="0.25">
      <c r="A23799" s="2">
        <v>23794</v>
      </c>
      <c r="B23799" s="3" t="str">
        <f>"01066949"</f>
        <v>01066949</v>
      </c>
    </row>
    <row r="23800" spans="1:2" x14ac:dyDescent="0.25">
      <c r="A23800" s="2">
        <v>23795</v>
      </c>
      <c r="B23800" s="3" t="str">
        <f>"01066954"</f>
        <v>01066954</v>
      </c>
    </row>
    <row r="23801" spans="1:2" x14ac:dyDescent="0.25">
      <c r="A23801" s="2">
        <v>23796</v>
      </c>
      <c r="B23801" s="3" t="str">
        <f>"01066955"</f>
        <v>01066955</v>
      </c>
    </row>
    <row r="23802" spans="1:2" x14ac:dyDescent="0.25">
      <c r="A23802" s="2">
        <v>23797</v>
      </c>
      <c r="B23802" s="3" t="str">
        <f>"01066959"</f>
        <v>01066959</v>
      </c>
    </row>
    <row r="23803" spans="1:2" x14ac:dyDescent="0.25">
      <c r="A23803" s="2">
        <v>23798</v>
      </c>
      <c r="B23803" s="3" t="str">
        <f>"01066970"</f>
        <v>01066970</v>
      </c>
    </row>
    <row r="23804" spans="1:2" x14ac:dyDescent="0.25">
      <c r="A23804" s="2">
        <v>23799</v>
      </c>
      <c r="B23804" s="3" t="str">
        <f>"01066976"</f>
        <v>01066976</v>
      </c>
    </row>
    <row r="23805" spans="1:2" x14ac:dyDescent="0.25">
      <c r="A23805" s="2">
        <v>23800</v>
      </c>
      <c r="B23805" s="3" t="str">
        <f>"01066978"</f>
        <v>01066978</v>
      </c>
    </row>
    <row r="23806" spans="1:2" x14ac:dyDescent="0.25">
      <c r="A23806" s="2">
        <v>23801</v>
      </c>
      <c r="B23806" s="3" t="str">
        <f>"01066983"</f>
        <v>01066983</v>
      </c>
    </row>
    <row r="23807" spans="1:2" x14ac:dyDescent="0.25">
      <c r="A23807" s="2">
        <v>23802</v>
      </c>
      <c r="B23807" s="3" t="str">
        <f>"01066987"</f>
        <v>01066987</v>
      </c>
    </row>
    <row r="23808" spans="1:2" x14ac:dyDescent="0.25">
      <c r="A23808" s="2">
        <v>23803</v>
      </c>
      <c r="B23808" s="3" t="str">
        <f>"01066989"</f>
        <v>01066989</v>
      </c>
    </row>
    <row r="23809" spans="1:2" x14ac:dyDescent="0.25">
      <c r="A23809" s="2">
        <v>23804</v>
      </c>
      <c r="B23809" s="3" t="str">
        <f>"01066991"</f>
        <v>01066991</v>
      </c>
    </row>
    <row r="23810" spans="1:2" x14ac:dyDescent="0.25">
      <c r="A23810" s="2">
        <v>23805</v>
      </c>
      <c r="B23810" s="3" t="str">
        <f>"01066996"</f>
        <v>01066996</v>
      </c>
    </row>
    <row r="23811" spans="1:2" x14ac:dyDescent="0.25">
      <c r="A23811" s="2">
        <v>23806</v>
      </c>
      <c r="B23811" s="3" t="str">
        <f>"01067001"</f>
        <v>01067001</v>
      </c>
    </row>
    <row r="23812" spans="1:2" x14ac:dyDescent="0.25">
      <c r="A23812" s="2">
        <v>23807</v>
      </c>
      <c r="B23812" s="3" t="str">
        <f>"01067003"</f>
        <v>01067003</v>
      </c>
    </row>
    <row r="23813" spans="1:2" x14ac:dyDescent="0.25">
      <c r="A23813" s="2">
        <v>23808</v>
      </c>
      <c r="B23813" s="3" t="str">
        <f>"01067014"</f>
        <v>01067014</v>
      </c>
    </row>
    <row r="23814" spans="1:2" x14ac:dyDescent="0.25">
      <c r="A23814" s="2">
        <v>23809</v>
      </c>
      <c r="B23814" s="3" t="str">
        <f>"01067018"</f>
        <v>01067018</v>
      </c>
    </row>
    <row r="23815" spans="1:2" x14ac:dyDescent="0.25">
      <c r="A23815" s="2">
        <v>23810</v>
      </c>
      <c r="B23815" s="3" t="str">
        <f>"01067030"</f>
        <v>01067030</v>
      </c>
    </row>
    <row r="23816" spans="1:2" x14ac:dyDescent="0.25">
      <c r="A23816" s="2">
        <v>23811</v>
      </c>
      <c r="B23816" s="3" t="str">
        <f>"01067042"</f>
        <v>01067042</v>
      </c>
    </row>
    <row r="23817" spans="1:2" x14ac:dyDescent="0.25">
      <c r="A23817" s="2">
        <v>23812</v>
      </c>
      <c r="B23817" s="3" t="str">
        <f>"01067051"</f>
        <v>01067051</v>
      </c>
    </row>
    <row r="23818" spans="1:2" x14ac:dyDescent="0.25">
      <c r="A23818" s="2">
        <v>23813</v>
      </c>
      <c r="B23818" s="3" t="str">
        <f>"01067062"</f>
        <v>01067062</v>
      </c>
    </row>
    <row r="23819" spans="1:2" x14ac:dyDescent="0.25">
      <c r="A23819" s="2">
        <v>23814</v>
      </c>
      <c r="B23819" s="3" t="str">
        <f>"01067063"</f>
        <v>01067063</v>
      </c>
    </row>
    <row r="23820" spans="1:2" x14ac:dyDescent="0.25">
      <c r="A23820" s="2">
        <v>23815</v>
      </c>
      <c r="B23820" s="3" t="str">
        <f>"01067067"</f>
        <v>01067067</v>
      </c>
    </row>
    <row r="23821" spans="1:2" x14ac:dyDescent="0.25">
      <c r="A23821" s="2">
        <v>23816</v>
      </c>
      <c r="B23821" s="3" t="str">
        <f>"01067071"</f>
        <v>01067071</v>
      </c>
    </row>
    <row r="23822" spans="1:2" x14ac:dyDescent="0.25">
      <c r="A23822" s="2">
        <v>23817</v>
      </c>
      <c r="B23822" s="3" t="str">
        <f>"01067074"</f>
        <v>01067074</v>
      </c>
    </row>
    <row r="23823" spans="1:2" x14ac:dyDescent="0.25">
      <c r="A23823" s="2">
        <v>23818</v>
      </c>
      <c r="B23823" s="3" t="str">
        <f>"01067078"</f>
        <v>01067078</v>
      </c>
    </row>
    <row r="23824" spans="1:2" x14ac:dyDescent="0.25">
      <c r="A23824" s="2">
        <v>23819</v>
      </c>
      <c r="B23824" s="3" t="str">
        <f>"01067088"</f>
        <v>01067088</v>
      </c>
    </row>
    <row r="23825" spans="1:2" x14ac:dyDescent="0.25">
      <c r="A23825" s="2">
        <v>23820</v>
      </c>
      <c r="B23825" s="3" t="str">
        <f>"01067093"</f>
        <v>01067093</v>
      </c>
    </row>
    <row r="23826" spans="1:2" x14ac:dyDescent="0.25">
      <c r="A23826" s="2">
        <v>23821</v>
      </c>
      <c r="B23826" s="3" t="str">
        <f>"01067094"</f>
        <v>01067094</v>
      </c>
    </row>
    <row r="23827" spans="1:2" x14ac:dyDescent="0.25">
      <c r="A23827" s="2">
        <v>23822</v>
      </c>
      <c r="B23827" s="3" t="str">
        <f>"01067097"</f>
        <v>01067097</v>
      </c>
    </row>
    <row r="23828" spans="1:2" x14ac:dyDescent="0.25">
      <c r="A23828" s="2">
        <v>23823</v>
      </c>
      <c r="B23828" s="3" t="str">
        <f>"01067099"</f>
        <v>01067099</v>
      </c>
    </row>
    <row r="23829" spans="1:2" x14ac:dyDescent="0.25">
      <c r="A23829" s="2">
        <v>23824</v>
      </c>
      <c r="B23829" s="3" t="str">
        <f>"01067104"</f>
        <v>01067104</v>
      </c>
    </row>
    <row r="23830" spans="1:2" x14ac:dyDescent="0.25">
      <c r="A23830" s="2">
        <v>23825</v>
      </c>
      <c r="B23830" s="3" t="str">
        <f>"01067111"</f>
        <v>01067111</v>
      </c>
    </row>
    <row r="23831" spans="1:2" x14ac:dyDescent="0.25">
      <c r="A23831" s="2">
        <v>23826</v>
      </c>
      <c r="B23831" s="3" t="str">
        <f>"01067113"</f>
        <v>01067113</v>
      </c>
    </row>
    <row r="23832" spans="1:2" x14ac:dyDescent="0.25">
      <c r="A23832" s="2">
        <v>23827</v>
      </c>
      <c r="B23832" s="3" t="str">
        <f>"01067115"</f>
        <v>01067115</v>
      </c>
    </row>
    <row r="23833" spans="1:2" x14ac:dyDescent="0.25">
      <c r="A23833" s="2">
        <v>23828</v>
      </c>
      <c r="B23833" s="3" t="str">
        <f>"01067119"</f>
        <v>01067119</v>
      </c>
    </row>
    <row r="23834" spans="1:2" x14ac:dyDescent="0.25">
      <c r="A23834" s="2">
        <v>23829</v>
      </c>
      <c r="B23834" s="3" t="str">
        <f>"01067121"</f>
        <v>01067121</v>
      </c>
    </row>
    <row r="23835" spans="1:2" x14ac:dyDescent="0.25">
      <c r="A23835" s="2">
        <v>23830</v>
      </c>
      <c r="B23835" s="3" t="str">
        <f>"01067123"</f>
        <v>01067123</v>
      </c>
    </row>
    <row r="23836" spans="1:2" x14ac:dyDescent="0.25">
      <c r="A23836" s="2">
        <v>23831</v>
      </c>
      <c r="B23836" s="3" t="str">
        <f>"01067125"</f>
        <v>01067125</v>
      </c>
    </row>
    <row r="23837" spans="1:2" x14ac:dyDescent="0.25">
      <c r="A23837" s="2">
        <v>23832</v>
      </c>
      <c r="B23837" s="3" t="str">
        <f>"01067135"</f>
        <v>01067135</v>
      </c>
    </row>
    <row r="23838" spans="1:2" x14ac:dyDescent="0.25">
      <c r="A23838" s="2">
        <v>23833</v>
      </c>
      <c r="B23838" s="3" t="str">
        <f>"01067136"</f>
        <v>01067136</v>
      </c>
    </row>
    <row r="23839" spans="1:2" x14ac:dyDescent="0.25">
      <c r="A23839" s="2">
        <v>23834</v>
      </c>
      <c r="B23839" s="3" t="str">
        <f>"01067145"</f>
        <v>01067145</v>
      </c>
    </row>
    <row r="23840" spans="1:2" x14ac:dyDescent="0.25">
      <c r="A23840" s="2">
        <v>23835</v>
      </c>
      <c r="B23840" s="3" t="str">
        <f>"01067149"</f>
        <v>01067149</v>
      </c>
    </row>
    <row r="23841" spans="1:2" x14ac:dyDescent="0.25">
      <c r="A23841" s="2">
        <v>23836</v>
      </c>
      <c r="B23841" s="3" t="str">
        <f>"01067156"</f>
        <v>01067156</v>
      </c>
    </row>
    <row r="23842" spans="1:2" x14ac:dyDescent="0.25">
      <c r="A23842" s="2">
        <v>23837</v>
      </c>
      <c r="B23842" s="3" t="str">
        <f>"01067157"</f>
        <v>01067157</v>
      </c>
    </row>
    <row r="23843" spans="1:2" x14ac:dyDescent="0.25">
      <c r="A23843" s="2">
        <v>23838</v>
      </c>
      <c r="B23843" s="3" t="str">
        <f>"01067160"</f>
        <v>01067160</v>
      </c>
    </row>
    <row r="23844" spans="1:2" x14ac:dyDescent="0.25">
      <c r="A23844" s="2">
        <v>23839</v>
      </c>
      <c r="B23844" s="3" t="str">
        <f>"01067166"</f>
        <v>01067166</v>
      </c>
    </row>
    <row r="23845" spans="1:2" x14ac:dyDescent="0.25">
      <c r="A23845" s="2">
        <v>23840</v>
      </c>
      <c r="B23845" s="3" t="str">
        <f>"01067171"</f>
        <v>01067171</v>
      </c>
    </row>
    <row r="23846" spans="1:2" x14ac:dyDescent="0.25">
      <c r="A23846" s="2">
        <v>23841</v>
      </c>
      <c r="B23846" s="3" t="str">
        <f>"01067174"</f>
        <v>01067174</v>
      </c>
    </row>
    <row r="23847" spans="1:2" x14ac:dyDescent="0.25">
      <c r="A23847" s="2">
        <v>23842</v>
      </c>
      <c r="B23847" s="3" t="str">
        <f>"01067176"</f>
        <v>01067176</v>
      </c>
    </row>
    <row r="23848" spans="1:2" x14ac:dyDescent="0.25">
      <c r="A23848" s="2">
        <v>23843</v>
      </c>
      <c r="B23848" s="3" t="str">
        <f>"01067188"</f>
        <v>01067188</v>
      </c>
    </row>
    <row r="23849" spans="1:2" x14ac:dyDescent="0.25">
      <c r="A23849" s="2">
        <v>23844</v>
      </c>
      <c r="B23849" s="3" t="str">
        <f>"01067189"</f>
        <v>01067189</v>
      </c>
    </row>
    <row r="23850" spans="1:2" x14ac:dyDescent="0.25">
      <c r="A23850" s="2">
        <v>23845</v>
      </c>
      <c r="B23850" s="3" t="str">
        <f>"01067192"</f>
        <v>01067192</v>
      </c>
    </row>
    <row r="23851" spans="1:2" x14ac:dyDescent="0.25">
      <c r="A23851" s="2">
        <v>23846</v>
      </c>
      <c r="B23851" s="3" t="str">
        <f>"01067193"</f>
        <v>01067193</v>
      </c>
    </row>
    <row r="23852" spans="1:2" x14ac:dyDescent="0.25">
      <c r="A23852" s="2">
        <v>23847</v>
      </c>
      <c r="B23852" s="3" t="str">
        <f>"01067194"</f>
        <v>01067194</v>
      </c>
    </row>
    <row r="23853" spans="1:2" x14ac:dyDescent="0.25">
      <c r="A23853" s="2">
        <v>23848</v>
      </c>
      <c r="B23853" s="3" t="str">
        <f>"01067197"</f>
        <v>01067197</v>
      </c>
    </row>
    <row r="23854" spans="1:2" x14ac:dyDescent="0.25">
      <c r="A23854" s="2">
        <v>23849</v>
      </c>
      <c r="B23854" s="3" t="str">
        <f>"01067207"</f>
        <v>01067207</v>
      </c>
    </row>
    <row r="23855" spans="1:2" x14ac:dyDescent="0.25">
      <c r="A23855" s="2">
        <v>23850</v>
      </c>
      <c r="B23855" s="3" t="str">
        <f>"01067221"</f>
        <v>01067221</v>
      </c>
    </row>
    <row r="23856" spans="1:2" x14ac:dyDescent="0.25">
      <c r="A23856" s="2">
        <v>23851</v>
      </c>
      <c r="B23856" s="3" t="str">
        <f>"01067222"</f>
        <v>01067222</v>
      </c>
    </row>
    <row r="23857" spans="1:2" x14ac:dyDescent="0.25">
      <c r="A23857" s="2">
        <v>23852</v>
      </c>
      <c r="B23857" s="3" t="str">
        <f>"01067225"</f>
        <v>01067225</v>
      </c>
    </row>
    <row r="23858" spans="1:2" x14ac:dyDescent="0.25">
      <c r="A23858" s="2">
        <v>23853</v>
      </c>
      <c r="B23858" s="3" t="str">
        <f>"01067226"</f>
        <v>01067226</v>
      </c>
    </row>
    <row r="23859" spans="1:2" x14ac:dyDescent="0.25">
      <c r="A23859" s="2">
        <v>23854</v>
      </c>
      <c r="B23859" s="3" t="str">
        <f>"01067231"</f>
        <v>01067231</v>
      </c>
    </row>
    <row r="23860" spans="1:2" x14ac:dyDescent="0.25">
      <c r="A23860" s="2">
        <v>23855</v>
      </c>
      <c r="B23860" s="3" t="str">
        <f>"01067233"</f>
        <v>01067233</v>
      </c>
    </row>
    <row r="23861" spans="1:2" x14ac:dyDescent="0.25">
      <c r="A23861" s="2">
        <v>23856</v>
      </c>
      <c r="B23861" s="3" t="str">
        <f>"01067243"</f>
        <v>01067243</v>
      </c>
    </row>
    <row r="23862" spans="1:2" x14ac:dyDescent="0.25">
      <c r="A23862" s="2">
        <v>23857</v>
      </c>
      <c r="B23862" s="3" t="str">
        <f>"01067252"</f>
        <v>01067252</v>
      </c>
    </row>
    <row r="23863" spans="1:2" x14ac:dyDescent="0.25">
      <c r="A23863" s="2">
        <v>23858</v>
      </c>
      <c r="B23863" s="3" t="str">
        <f>"01067259"</f>
        <v>01067259</v>
      </c>
    </row>
    <row r="23864" spans="1:2" x14ac:dyDescent="0.25">
      <c r="A23864" s="2">
        <v>23859</v>
      </c>
      <c r="B23864" s="3" t="str">
        <f>"01067265"</f>
        <v>01067265</v>
      </c>
    </row>
    <row r="23865" spans="1:2" x14ac:dyDescent="0.25">
      <c r="A23865" s="2">
        <v>23860</v>
      </c>
      <c r="B23865" s="3" t="str">
        <f>"01067276"</f>
        <v>01067276</v>
      </c>
    </row>
    <row r="23866" spans="1:2" x14ac:dyDescent="0.25">
      <c r="A23866" s="2">
        <v>23861</v>
      </c>
      <c r="B23866" s="3" t="str">
        <f>"01067279"</f>
        <v>01067279</v>
      </c>
    </row>
    <row r="23867" spans="1:2" x14ac:dyDescent="0.25">
      <c r="A23867" s="2">
        <v>23862</v>
      </c>
      <c r="B23867" s="3" t="str">
        <f>"01067280"</f>
        <v>01067280</v>
      </c>
    </row>
    <row r="23868" spans="1:2" x14ac:dyDescent="0.25">
      <c r="A23868" s="2">
        <v>23863</v>
      </c>
      <c r="B23868" s="3" t="str">
        <f>"01067282"</f>
        <v>01067282</v>
      </c>
    </row>
    <row r="23869" spans="1:2" x14ac:dyDescent="0.25">
      <c r="A23869" s="2">
        <v>23864</v>
      </c>
      <c r="B23869" s="3" t="str">
        <f>"01067284"</f>
        <v>01067284</v>
      </c>
    </row>
    <row r="23870" spans="1:2" x14ac:dyDescent="0.25">
      <c r="A23870" s="2">
        <v>23865</v>
      </c>
      <c r="B23870" s="3" t="str">
        <f>"01067289"</f>
        <v>01067289</v>
      </c>
    </row>
    <row r="23871" spans="1:2" x14ac:dyDescent="0.25">
      <c r="A23871" s="2">
        <v>23866</v>
      </c>
      <c r="B23871" s="3" t="str">
        <f>"01067292"</f>
        <v>01067292</v>
      </c>
    </row>
    <row r="23872" spans="1:2" x14ac:dyDescent="0.25">
      <c r="A23872" s="2">
        <v>23867</v>
      </c>
      <c r="B23872" s="3" t="str">
        <f>"01067302"</f>
        <v>01067302</v>
      </c>
    </row>
    <row r="23873" spans="1:2" x14ac:dyDescent="0.25">
      <c r="A23873" s="2">
        <v>23868</v>
      </c>
      <c r="B23873" s="3" t="str">
        <f>"01067304"</f>
        <v>01067304</v>
      </c>
    </row>
    <row r="23874" spans="1:2" x14ac:dyDescent="0.25">
      <c r="A23874" s="2">
        <v>23869</v>
      </c>
      <c r="B23874" s="3" t="str">
        <f>"01067313"</f>
        <v>01067313</v>
      </c>
    </row>
    <row r="23875" spans="1:2" x14ac:dyDescent="0.25">
      <c r="A23875" s="2">
        <v>23870</v>
      </c>
      <c r="B23875" s="3" t="str">
        <f>"01067315"</f>
        <v>01067315</v>
      </c>
    </row>
    <row r="23876" spans="1:2" x14ac:dyDescent="0.25">
      <c r="A23876" s="2">
        <v>23871</v>
      </c>
      <c r="B23876" s="3" t="str">
        <f>"01067328"</f>
        <v>01067328</v>
      </c>
    </row>
    <row r="23877" spans="1:2" x14ac:dyDescent="0.25">
      <c r="A23877" s="2">
        <v>23872</v>
      </c>
      <c r="B23877" s="3" t="str">
        <f>"01067333"</f>
        <v>01067333</v>
      </c>
    </row>
    <row r="23878" spans="1:2" x14ac:dyDescent="0.25">
      <c r="A23878" s="2">
        <v>23873</v>
      </c>
      <c r="B23878" s="3" t="str">
        <f>"01067345"</f>
        <v>01067345</v>
      </c>
    </row>
    <row r="23879" spans="1:2" x14ac:dyDescent="0.25">
      <c r="A23879" s="2">
        <v>23874</v>
      </c>
      <c r="B23879" s="3" t="str">
        <f>"01067348"</f>
        <v>01067348</v>
      </c>
    </row>
    <row r="23880" spans="1:2" x14ac:dyDescent="0.25">
      <c r="A23880" s="2">
        <v>23875</v>
      </c>
      <c r="B23880" s="3" t="str">
        <f>"01067370"</f>
        <v>01067370</v>
      </c>
    </row>
    <row r="23881" spans="1:2" x14ac:dyDescent="0.25">
      <c r="A23881" s="2">
        <v>23876</v>
      </c>
      <c r="B23881" s="3" t="str">
        <f>"01067372"</f>
        <v>01067372</v>
      </c>
    </row>
    <row r="23882" spans="1:2" x14ac:dyDescent="0.25">
      <c r="A23882" s="2">
        <v>23877</v>
      </c>
      <c r="B23882" s="3" t="str">
        <f>"01067375"</f>
        <v>01067375</v>
      </c>
    </row>
    <row r="23883" spans="1:2" x14ac:dyDescent="0.25">
      <c r="A23883" s="2">
        <v>23878</v>
      </c>
      <c r="B23883" s="3" t="str">
        <f>"01067380"</f>
        <v>01067380</v>
      </c>
    </row>
    <row r="23884" spans="1:2" x14ac:dyDescent="0.25">
      <c r="A23884" s="2">
        <v>23879</v>
      </c>
      <c r="B23884" s="3" t="str">
        <f>"01067385"</f>
        <v>01067385</v>
      </c>
    </row>
    <row r="23885" spans="1:2" x14ac:dyDescent="0.25">
      <c r="A23885" s="2">
        <v>23880</v>
      </c>
      <c r="B23885" s="3" t="str">
        <f>"01067395"</f>
        <v>01067395</v>
      </c>
    </row>
    <row r="23886" spans="1:2" x14ac:dyDescent="0.25">
      <c r="A23886" s="2">
        <v>23881</v>
      </c>
      <c r="B23886" s="3" t="str">
        <f>"01067396"</f>
        <v>01067396</v>
      </c>
    </row>
    <row r="23887" spans="1:2" x14ac:dyDescent="0.25">
      <c r="A23887" s="2">
        <v>23882</v>
      </c>
      <c r="B23887" s="3" t="str">
        <f>"01067400"</f>
        <v>01067400</v>
      </c>
    </row>
    <row r="23888" spans="1:2" x14ac:dyDescent="0.25">
      <c r="A23888" s="2">
        <v>23883</v>
      </c>
      <c r="B23888" s="3" t="str">
        <f>"01067402"</f>
        <v>01067402</v>
      </c>
    </row>
    <row r="23889" spans="1:2" x14ac:dyDescent="0.25">
      <c r="A23889" s="2">
        <v>23884</v>
      </c>
      <c r="B23889" s="3" t="str">
        <f>"01067406"</f>
        <v>01067406</v>
      </c>
    </row>
    <row r="23890" spans="1:2" x14ac:dyDescent="0.25">
      <c r="A23890" s="2">
        <v>23885</v>
      </c>
      <c r="B23890" s="3" t="str">
        <f>"01067407"</f>
        <v>01067407</v>
      </c>
    </row>
    <row r="23891" spans="1:2" x14ac:dyDescent="0.25">
      <c r="A23891" s="2">
        <v>23886</v>
      </c>
      <c r="B23891" s="3" t="str">
        <f>"01067408"</f>
        <v>01067408</v>
      </c>
    </row>
    <row r="23892" spans="1:2" x14ac:dyDescent="0.25">
      <c r="A23892" s="2">
        <v>23887</v>
      </c>
      <c r="B23892" s="3" t="str">
        <f>"01067411"</f>
        <v>01067411</v>
      </c>
    </row>
    <row r="23893" spans="1:2" x14ac:dyDescent="0.25">
      <c r="A23893" s="2">
        <v>23888</v>
      </c>
      <c r="B23893" s="3" t="str">
        <f>"01067413"</f>
        <v>01067413</v>
      </c>
    </row>
    <row r="23894" spans="1:2" x14ac:dyDescent="0.25">
      <c r="A23894" s="2">
        <v>23889</v>
      </c>
      <c r="B23894" s="3" t="str">
        <f>"01067418"</f>
        <v>01067418</v>
      </c>
    </row>
    <row r="23895" spans="1:2" x14ac:dyDescent="0.25">
      <c r="A23895" s="2">
        <v>23890</v>
      </c>
      <c r="B23895" s="3" t="str">
        <f>"01067419"</f>
        <v>01067419</v>
      </c>
    </row>
    <row r="23896" spans="1:2" x14ac:dyDescent="0.25">
      <c r="A23896" s="2">
        <v>23891</v>
      </c>
      <c r="B23896" s="3" t="str">
        <f>"01067424"</f>
        <v>01067424</v>
      </c>
    </row>
    <row r="23897" spans="1:2" x14ac:dyDescent="0.25">
      <c r="A23897" s="2">
        <v>23892</v>
      </c>
      <c r="B23897" s="3" t="str">
        <f>"01067429"</f>
        <v>01067429</v>
      </c>
    </row>
    <row r="23898" spans="1:2" x14ac:dyDescent="0.25">
      <c r="A23898" s="2">
        <v>23893</v>
      </c>
      <c r="B23898" s="3" t="str">
        <f>"01067432"</f>
        <v>01067432</v>
      </c>
    </row>
    <row r="23899" spans="1:2" x14ac:dyDescent="0.25">
      <c r="A23899" s="2">
        <v>23894</v>
      </c>
      <c r="B23899" s="3" t="str">
        <f>"01067433"</f>
        <v>01067433</v>
      </c>
    </row>
    <row r="23900" spans="1:2" x14ac:dyDescent="0.25">
      <c r="A23900" s="2">
        <v>23895</v>
      </c>
      <c r="B23900" s="3" t="str">
        <f>"01067445"</f>
        <v>01067445</v>
      </c>
    </row>
    <row r="23901" spans="1:2" x14ac:dyDescent="0.25">
      <c r="A23901" s="2">
        <v>23896</v>
      </c>
      <c r="B23901" s="3" t="str">
        <f>"01067450"</f>
        <v>01067450</v>
      </c>
    </row>
    <row r="23902" spans="1:2" x14ac:dyDescent="0.25">
      <c r="A23902" s="2">
        <v>23897</v>
      </c>
      <c r="B23902" s="3" t="str">
        <f>"01067451"</f>
        <v>01067451</v>
      </c>
    </row>
    <row r="23903" spans="1:2" x14ac:dyDescent="0.25">
      <c r="A23903" s="2">
        <v>23898</v>
      </c>
      <c r="B23903" s="3" t="str">
        <f>"01067456"</f>
        <v>01067456</v>
      </c>
    </row>
    <row r="23904" spans="1:2" x14ac:dyDescent="0.25">
      <c r="A23904" s="2">
        <v>23899</v>
      </c>
      <c r="B23904" s="3" t="str">
        <f>"01067465"</f>
        <v>01067465</v>
      </c>
    </row>
    <row r="23905" spans="1:2" x14ac:dyDescent="0.25">
      <c r="A23905" s="2">
        <v>23900</v>
      </c>
      <c r="B23905" s="3" t="str">
        <f>"01067469"</f>
        <v>01067469</v>
      </c>
    </row>
    <row r="23906" spans="1:2" x14ac:dyDescent="0.25">
      <c r="A23906" s="2">
        <v>23901</v>
      </c>
      <c r="B23906" s="3" t="str">
        <f>"01067483"</f>
        <v>01067483</v>
      </c>
    </row>
    <row r="23907" spans="1:2" x14ac:dyDescent="0.25">
      <c r="A23907" s="2">
        <v>23902</v>
      </c>
      <c r="B23907" s="3" t="str">
        <f>"01067485"</f>
        <v>01067485</v>
      </c>
    </row>
    <row r="23908" spans="1:2" x14ac:dyDescent="0.25">
      <c r="A23908" s="2">
        <v>23903</v>
      </c>
      <c r="B23908" s="3" t="str">
        <f>"01067486"</f>
        <v>01067486</v>
      </c>
    </row>
    <row r="23909" spans="1:2" x14ac:dyDescent="0.25">
      <c r="A23909" s="2">
        <v>23904</v>
      </c>
      <c r="B23909" s="3" t="str">
        <f>"01067487"</f>
        <v>01067487</v>
      </c>
    </row>
    <row r="23910" spans="1:2" x14ac:dyDescent="0.25">
      <c r="A23910" s="2">
        <v>23905</v>
      </c>
      <c r="B23910" s="3" t="str">
        <f>"01067488"</f>
        <v>01067488</v>
      </c>
    </row>
    <row r="23911" spans="1:2" x14ac:dyDescent="0.25">
      <c r="A23911" s="2">
        <v>23906</v>
      </c>
      <c r="B23911" s="3" t="str">
        <f>"01067489"</f>
        <v>01067489</v>
      </c>
    </row>
    <row r="23912" spans="1:2" x14ac:dyDescent="0.25">
      <c r="A23912" s="2">
        <v>23907</v>
      </c>
      <c r="B23912" s="3" t="str">
        <f>"01067490"</f>
        <v>01067490</v>
      </c>
    </row>
    <row r="23913" spans="1:2" x14ac:dyDescent="0.25">
      <c r="A23913" s="2">
        <v>23908</v>
      </c>
      <c r="B23913" s="3" t="str">
        <f>"01067493"</f>
        <v>01067493</v>
      </c>
    </row>
    <row r="23914" spans="1:2" x14ac:dyDescent="0.25">
      <c r="A23914" s="2">
        <v>23909</v>
      </c>
      <c r="B23914" s="3" t="str">
        <f>"01067504"</f>
        <v>01067504</v>
      </c>
    </row>
    <row r="23915" spans="1:2" x14ac:dyDescent="0.25">
      <c r="A23915" s="2">
        <v>23910</v>
      </c>
      <c r="B23915" s="3" t="str">
        <f>"01067506"</f>
        <v>01067506</v>
      </c>
    </row>
    <row r="23916" spans="1:2" x14ac:dyDescent="0.25">
      <c r="A23916" s="2">
        <v>23911</v>
      </c>
      <c r="B23916" s="3" t="str">
        <f>"01067508"</f>
        <v>01067508</v>
      </c>
    </row>
    <row r="23917" spans="1:2" x14ac:dyDescent="0.25">
      <c r="A23917" s="2">
        <v>23912</v>
      </c>
      <c r="B23917" s="3" t="str">
        <f>"01067510"</f>
        <v>01067510</v>
      </c>
    </row>
    <row r="23918" spans="1:2" x14ac:dyDescent="0.25">
      <c r="A23918" s="2">
        <v>23913</v>
      </c>
      <c r="B23918" s="3" t="str">
        <f>"01067523"</f>
        <v>01067523</v>
      </c>
    </row>
    <row r="23919" spans="1:2" x14ac:dyDescent="0.25">
      <c r="A23919" s="2">
        <v>23914</v>
      </c>
      <c r="B23919" s="3" t="str">
        <f>"01067525"</f>
        <v>01067525</v>
      </c>
    </row>
    <row r="23920" spans="1:2" x14ac:dyDescent="0.25">
      <c r="A23920" s="2">
        <v>23915</v>
      </c>
      <c r="B23920" s="3" t="str">
        <f>"01067526"</f>
        <v>01067526</v>
      </c>
    </row>
    <row r="23921" spans="1:2" x14ac:dyDescent="0.25">
      <c r="A23921" s="2">
        <v>23916</v>
      </c>
      <c r="B23921" s="3" t="str">
        <f>"01067529"</f>
        <v>01067529</v>
      </c>
    </row>
    <row r="23922" spans="1:2" x14ac:dyDescent="0.25">
      <c r="A23922" s="2">
        <v>23917</v>
      </c>
      <c r="B23922" s="3" t="str">
        <f>"01067530"</f>
        <v>01067530</v>
      </c>
    </row>
    <row r="23923" spans="1:2" x14ac:dyDescent="0.25">
      <c r="A23923" s="2">
        <v>23918</v>
      </c>
      <c r="B23923" s="3" t="str">
        <f>"01067533"</f>
        <v>01067533</v>
      </c>
    </row>
    <row r="23924" spans="1:2" x14ac:dyDescent="0.25">
      <c r="A23924" s="2">
        <v>23919</v>
      </c>
      <c r="B23924" s="3" t="str">
        <f>"01067534"</f>
        <v>01067534</v>
      </c>
    </row>
    <row r="23925" spans="1:2" x14ac:dyDescent="0.25">
      <c r="A23925" s="2">
        <v>23920</v>
      </c>
      <c r="B23925" s="3" t="str">
        <f>"01067539"</f>
        <v>01067539</v>
      </c>
    </row>
    <row r="23926" spans="1:2" x14ac:dyDescent="0.25">
      <c r="A23926" s="2">
        <v>23921</v>
      </c>
      <c r="B23926" s="3" t="str">
        <f>"01067545"</f>
        <v>01067545</v>
      </c>
    </row>
    <row r="23927" spans="1:2" x14ac:dyDescent="0.25">
      <c r="A23927" s="2">
        <v>23922</v>
      </c>
      <c r="B23927" s="3" t="str">
        <f>"01067546"</f>
        <v>01067546</v>
      </c>
    </row>
    <row r="23928" spans="1:2" x14ac:dyDescent="0.25">
      <c r="A23928" s="2">
        <v>23923</v>
      </c>
      <c r="B23928" s="3" t="str">
        <f>"01067547"</f>
        <v>01067547</v>
      </c>
    </row>
    <row r="23929" spans="1:2" x14ac:dyDescent="0.25">
      <c r="A23929" s="2">
        <v>23924</v>
      </c>
      <c r="B23929" s="3" t="str">
        <f>"01067548"</f>
        <v>01067548</v>
      </c>
    </row>
    <row r="23930" spans="1:2" x14ac:dyDescent="0.25">
      <c r="A23930" s="2">
        <v>23925</v>
      </c>
      <c r="B23930" s="3" t="str">
        <f>"01067549"</f>
        <v>01067549</v>
      </c>
    </row>
    <row r="23931" spans="1:2" x14ac:dyDescent="0.25">
      <c r="A23931" s="2">
        <v>23926</v>
      </c>
      <c r="B23931" s="3" t="str">
        <f>"01067554"</f>
        <v>01067554</v>
      </c>
    </row>
    <row r="23932" spans="1:2" x14ac:dyDescent="0.25">
      <c r="A23932" s="2">
        <v>23927</v>
      </c>
      <c r="B23932" s="3" t="str">
        <f>"01067555"</f>
        <v>01067555</v>
      </c>
    </row>
    <row r="23933" spans="1:2" x14ac:dyDescent="0.25">
      <c r="A23933" s="2">
        <v>23928</v>
      </c>
      <c r="B23933" s="3" t="str">
        <f>"01067557"</f>
        <v>01067557</v>
      </c>
    </row>
    <row r="23934" spans="1:2" x14ac:dyDescent="0.25">
      <c r="A23934" s="2">
        <v>23929</v>
      </c>
      <c r="B23934" s="3" t="str">
        <f>"01067572"</f>
        <v>01067572</v>
      </c>
    </row>
    <row r="23935" spans="1:2" x14ac:dyDescent="0.25">
      <c r="A23935" s="2">
        <v>23930</v>
      </c>
      <c r="B23935" s="3" t="str">
        <f>"01067577"</f>
        <v>01067577</v>
      </c>
    </row>
    <row r="23936" spans="1:2" x14ac:dyDescent="0.25">
      <c r="A23936" s="2">
        <v>23931</v>
      </c>
      <c r="B23936" s="3" t="str">
        <f>"01067578"</f>
        <v>01067578</v>
      </c>
    </row>
    <row r="23937" spans="1:2" x14ac:dyDescent="0.25">
      <c r="A23937" s="2">
        <v>23932</v>
      </c>
      <c r="B23937" s="3" t="str">
        <f>"01067581"</f>
        <v>01067581</v>
      </c>
    </row>
    <row r="23938" spans="1:2" x14ac:dyDescent="0.25">
      <c r="A23938" s="2">
        <v>23933</v>
      </c>
      <c r="B23938" s="3" t="str">
        <f>"01067587"</f>
        <v>01067587</v>
      </c>
    </row>
    <row r="23939" spans="1:2" x14ac:dyDescent="0.25">
      <c r="A23939" s="2">
        <v>23934</v>
      </c>
      <c r="B23939" s="3" t="str">
        <f>"01067591"</f>
        <v>01067591</v>
      </c>
    </row>
    <row r="23940" spans="1:2" x14ac:dyDescent="0.25">
      <c r="A23940" s="2">
        <v>23935</v>
      </c>
      <c r="B23940" s="3" t="str">
        <f>"01067608"</f>
        <v>01067608</v>
      </c>
    </row>
    <row r="23941" spans="1:2" x14ac:dyDescent="0.25">
      <c r="A23941" s="2">
        <v>23936</v>
      </c>
      <c r="B23941" s="3" t="str">
        <f>"01067609"</f>
        <v>01067609</v>
      </c>
    </row>
    <row r="23942" spans="1:2" x14ac:dyDescent="0.25">
      <c r="A23942" s="2">
        <v>23937</v>
      </c>
      <c r="B23942" s="3" t="str">
        <f>"01067614"</f>
        <v>01067614</v>
      </c>
    </row>
    <row r="23943" spans="1:2" x14ac:dyDescent="0.25">
      <c r="A23943" s="2">
        <v>23938</v>
      </c>
      <c r="B23943" s="3" t="str">
        <f>"01067616"</f>
        <v>01067616</v>
      </c>
    </row>
    <row r="23944" spans="1:2" x14ac:dyDescent="0.25">
      <c r="A23944" s="2">
        <v>23939</v>
      </c>
      <c r="B23944" s="3" t="str">
        <f>"01067621"</f>
        <v>01067621</v>
      </c>
    </row>
    <row r="23945" spans="1:2" x14ac:dyDescent="0.25">
      <c r="A23945" s="2">
        <v>23940</v>
      </c>
      <c r="B23945" s="3" t="str">
        <f>"01067622"</f>
        <v>01067622</v>
      </c>
    </row>
    <row r="23946" spans="1:2" x14ac:dyDescent="0.25">
      <c r="A23946" s="2">
        <v>23941</v>
      </c>
      <c r="B23946" s="3" t="str">
        <f>"01067628"</f>
        <v>01067628</v>
      </c>
    </row>
    <row r="23947" spans="1:2" x14ac:dyDescent="0.25">
      <c r="A23947" s="2">
        <v>23942</v>
      </c>
      <c r="B23947" s="3" t="str">
        <f>"01067634"</f>
        <v>01067634</v>
      </c>
    </row>
    <row r="23948" spans="1:2" x14ac:dyDescent="0.25">
      <c r="A23948" s="2">
        <v>23943</v>
      </c>
      <c r="B23948" s="3" t="str">
        <f>"01067635"</f>
        <v>01067635</v>
      </c>
    </row>
    <row r="23949" spans="1:2" x14ac:dyDescent="0.25">
      <c r="A23949" s="2">
        <v>23944</v>
      </c>
      <c r="B23949" s="3" t="str">
        <f>"01067640"</f>
        <v>01067640</v>
      </c>
    </row>
    <row r="23950" spans="1:2" x14ac:dyDescent="0.25">
      <c r="A23950" s="2">
        <v>23945</v>
      </c>
      <c r="B23950" s="3" t="str">
        <f>"01067644"</f>
        <v>01067644</v>
      </c>
    </row>
    <row r="23951" spans="1:2" x14ac:dyDescent="0.25">
      <c r="A23951" s="2">
        <v>23946</v>
      </c>
      <c r="B23951" s="3" t="str">
        <f>"01067648"</f>
        <v>01067648</v>
      </c>
    </row>
    <row r="23952" spans="1:2" x14ac:dyDescent="0.25">
      <c r="A23952" s="2">
        <v>23947</v>
      </c>
      <c r="B23952" s="3" t="str">
        <f>"01067652"</f>
        <v>01067652</v>
      </c>
    </row>
    <row r="23953" spans="1:2" x14ac:dyDescent="0.25">
      <c r="A23953" s="2">
        <v>23948</v>
      </c>
      <c r="B23953" s="3" t="str">
        <f>"01067655"</f>
        <v>01067655</v>
      </c>
    </row>
    <row r="23954" spans="1:2" x14ac:dyDescent="0.25">
      <c r="A23954" s="2">
        <v>23949</v>
      </c>
      <c r="B23954" s="3" t="str">
        <f>"01067656"</f>
        <v>01067656</v>
      </c>
    </row>
    <row r="23955" spans="1:2" x14ac:dyDescent="0.25">
      <c r="A23955" s="2">
        <v>23950</v>
      </c>
      <c r="B23955" s="3" t="str">
        <f>"01067661"</f>
        <v>01067661</v>
      </c>
    </row>
    <row r="23956" spans="1:2" x14ac:dyDescent="0.25">
      <c r="A23956" s="2">
        <v>23951</v>
      </c>
      <c r="B23956" s="3" t="str">
        <f>"01067663"</f>
        <v>01067663</v>
      </c>
    </row>
    <row r="23957" spans="1:2" x14ac:dyDescent="0.25">
      <c r="A23957" s="2">
        <v>23952</v>
      </c>
      <c r="B23957" s="3" t="str">
        <f>"01067668"</f>
        <v>01067668</v>
      </c>
    </row>
    <row r="23958" spans="1:2" x14ac:dyDescent="0.25">
      <c r="A23958" s="2">
        <v>23953</v>
      </c>
      <c r="B23958" s="3" t="str">
        <f>"01067671"</f>
        <v>01067671</v>
      </c>
    </row>
    <row r="23959" spans="1:2" x14ac:dyDescent="0.25">
      <c r="A23959" s="2">
        <v>23954</v>
      </c>
      <c r="B23959" s="3" t="str">
        <f>"01067672"</f>
        <v>01067672</v>
      </c>
    </row>
    <row r="23960" spans="1:2" x14ac:dyDescent="0.25">
      <c r="A23960" s="2">
        <v>23955</v>
      </c>
      <c r="B23960" s="3" t="str">
        <f>"01067673"</f>
        <v>01067673</v>
      </c>
    </row>
    <row r="23961" spans="1:2" x14ac:dyDescent="0.25">
      <c r="A23961" s="2">
        <v>23956</v>
      </c>
      <c r="B23961" s="3" t="str">
        <f>"01067675"</f>
        <v>01067675</v>
      </c>
    </row>
    <row r="23962" spans="1:2" x14ac:dyDescent="0.25">
      <c r="A23962" s="2">
        <v>23957</v>
      </c>
      <c r="B23962" s="3" t="str">
        <f>"01067682"</f>
        <v>01067682</v>
      </c>
    </row>
    <row r="23963" spans="1:2" x14ac:dyDescent="0.25">
      <c r="A23963" s="2">
        <v>23958</v>
      </c>
      <c r="B23963" s="3" t="str">
        <f>"01067694"</f>
        <v>01067694</v>
      </c>
    </row>
    <row r="23964" spans="1:2" x14ac:dyDescent="0.25">
      <c r="A23964" s="2">
        <v>23959</v>
      </c>
      <c r="B23964" s="3" t="str">
        <f>"01067702"</f>
        <v>01067702</v>
      </c>
    </row>
    <row r="23965" spans="1:2" x14ac:dyDescent="0.25">
      <c r="A23965" s="2">
        <v>23960</v>
      </c>
      <c r="B23965" s="3" t="str">
        <f>"01067703"</f>
        <v>01067703</v>
      </c>
    </row>
    <row r="23966" spans="1:2" x14ac:dyDescent="0.25">
      <c r="A23966" s="2">
        <v>23961</v>
      </c>
      <c r="B23966" s="3" t="str">
        <f>"01067705"</f>
        <v>01067705</v>
      </c>
    </row>
    <row r="23967" spans="1:2" x14ac:dyDescent="0.25">
      <c r="A23967" s="2">
        <v>23962</v>
      </c>
      <c r="B23967" s="3" t="str">
        <f>"01067709"</f>
        <v>01067709</v>
      </c>
    </row>
    <row r="23968" spans="1:2" x14ac:dyDescent="0.25">
      <c r="A23968" s="2">
        <v>23963</v>
      </c>
      <c r="B23968" s="3" t="str">
        <f>"01067713"</f>
        <v>01067713</v>
      </c>
    </row>
    <row r="23969" spans="1:2" x14ac:dyDescent="0.25">
      <c r="A23969" s="2">
        <v>23964</v>
      </c>
      <c r="B23969" s="3" t="str">
        <f>"01067718"</f>
        <v>01067718</v>
      </c>
    </row>
    <row r="23970" spans="1:2" x14ac:dyDescent="0.25">
      <c r="A23970" s="2">
        <v>23965</v>
      </c>
      <c r="B23970" s="3" t="str">
        <f>"01067722"</f>
        <v>01067722</v>
      </c>
    </row>
    <row r="23971" spans="1:2" x14ac:dyDescent="0.25">
      <c r="A23971" s="2">
        <v>23966</v>
      </c>
      <c r="B23971" s="3" t="str">
        <f>"01067723"</f>
        <v>01067723</v>
      </c>
    </row>
    <row r="23972" spans="1:2" x14ac:dyDescent="0.25">
      <c r="A23972" s="2">
        <v>23967</v>
      </c>
      <c r="B23972" s="3" t="str">
        <f>"01067724"</f>
        <v>01067724</v>
      </c>
    </row>
    <row r="23973" spans="1:2" x14ac:dyDescent="0.25">
      <c r="A23973" s="2">
        <v>23968</v>
      </c>
      <c r="B23973" s="3" t="str">
        <f>"01067727"</f>
        <v>01067727</v>
      </c>
    </row>
    <row r="23974" spans="1:2" x14ac:dyDescent="0.25">
      <c r="A23974" s="2">
        <v>23969</v>
      </c>
      <c r="B23974" s="3" t="str">
        <f>"01067728"</f>
        <v>01067728</v>
      </c>
    </row>
    <row r="23975" spans="1:2" x14ac:dyDescent="0.25">
      <c r="A23975" s="2">
        <v>23970</v>
      </c>
      <c r="B23975" s="3" t="str">
        <f>"01067729"</f>
        <v>01067729</v>
      </c>
    </row>
    <row r="23976" spans="1:2" x14ac:dyDescent="0.25">
      <c r="A23976" s="2">
        <v>23971</v>
      </c>
      <c r="B23976" s="3" t="str">
        <f>"01067730"</f>
        <v>01067730</v>
      </c>
    </row>
    <row r="23977" spans="1:2" x14ac:dyDescent="0.25">
      <c r="A23977" s="2">
        <v>23972</v>
      </c>
      <c r="B23977" s="3" t="str">
        <f>"01067731"</f>
        <v>01067731</v>
      </c>
    </row>
    <row r="23978" spans="1:2" x14ac:dyDescent="0.25">
      <c r="A23978" s="2">
        <v>23973</v>
      </c>
      <c r="B23978" s="3" t="str">
        <f>"01067732"</f>
        <v>01067732</v>
      </c>
    </row>
    <row r="23979" spans="1:2" x14ac:dyDescent="0.25">
      <c r="A23979" s="2">
        <v>23974</v>
      </c>
      <c r="B23979" s="3" t="str">
        <f>"01067740"</f>
        <v>01067740</v>
      </c>
    </row>
    <row r="23980" spans="1:2" x14ac:dyDescent="0.25">
      <c r="A23980" s="2">
        <v>23975</v>
      </c>
      <c r="B23980" s="3" t="str">
        <f>"01067743"</f>
        <v>01067743</v>
      </c>
    </row>
    <row r="23981" spans="1:2" x14ac:dyDescent="0.25">
      <c r="A23981" s="2">
        <v>23976</v>
      </c>
      <c r="B23981" s="3" t="str">
        <f>"01067744"</f>
        <v>01067744</v>
      </c>
    </row>
    <row r="23982" spans="1:2" x14ac:dyDescent="0.25">
      <c r="A23982" s="2">
        <v>23977</v>
      </c>
      <c r="B23982" s="3" t="str">
        <f>"01067748"</f>
        <v>01067748</v>
      </c>
    </row>
    <row r="23983" spans="1:2" x14ac:dyDescent="0.25">
      <c r="A23983" s="2">
        <v>23978</v>
      </c>
      <c r="B23983" s="3" t="str">
        <f>"01067750"</f>
        <v>01067750</v>
      </c>
    </row>
    <row r="23984" spans="1:2" x14ac:dyDescent="0.25">
      <c r="A23984" s="2">
        <v>23979</v>
      </c>
      <c r="B23984" s="3" t="str">
        <f>"01067752"</f>
        <v>01067752</v>
      </c>
    </row>
    <row r="23985" spans="1:2" x14ac:dyDescent="0.25">
      <c r="A23985" s="2">
        <v>23980</v>
      </c>
      <c r="B23985" s="3" t="str">
        <f>"01067758"</f>
        <v>01067758</v>
      </c>
    </row>
    <row r="23986" spans="1:2" x14ac:dyDescent="0.25">
      <c r="A23986" s="2">
        <v>23981</v>
      </c>
      <c r="B23986" s="3" t="str">
        <f>"01067763"</f>
        <v>01067763</v>
      </c>
    </row>
    <row r="23987" spans="1:2" x14ac:dyDescent="0.25">
      <c r="A23987" s="2">
        <v>23982</v>
      </c>
      <c r="B23987" s="3" t="str">
        <f>"01067775"</f>
        <v>01067775</v>
      </c>
    </row>
    <row r="23988" spans="1:2" x14ac:dyDescent="0.25">
      <c r="A23988" s="2">
        <v>23983</v>
      </c>
      <c r="B23988" s="3" t="str">
        <f>"01067792"</f>
        <v>01067792</v>
      </c>
    </row>
    <row r="23989" spans="1:2" x14ac:dyDescent="0.25">
      <c r="A23989" s="2">
        <v>23984</v>
      </c>
      <c r="B23989" s="3" t="str">
        <f>"01067795"</f>
        <v>01067795</v>
      </c>
    </row>
    <row r="23990" spans="1:2" x14ac:dyDescent="0.25">
      <c r="A23990" s="2">
        <v>23985</v>
      </c>
      <c r="B23990" s="3" t="str">
        <f>"01067805"</f>
        <v>01067805</v>
      </c>
    </row>
    <row r="23991" spans="1:2" x14ac:dyDescent="0.25">
      <c r="A23991" s="2">
        <v>23986</v>
      </c>
      <c r="B23991" s="3" t="str">
        <f>"01067809"</f>
        <v>01067809</v>
      </c>
    </row>
    <row r="23992" spans="1:2" x14ac:dyDescent="0.25">
      <c r="A23992" s="2">
        <v>23987</v>
      </c>
      <c r="B23992" s="3" t="str">
        <f>"01067811"</f>
        <v>01067811</v>
      </c>
    </row>
    <row r="23993" spans="1:2" x14ac:dyDescent="0.25">
      <c r="A23993" s="2">
        <v>23988</v>
      </c>
      <c r="B23993" s="3" t="str">
        <f>"01067822"</f>
        <v>01067822</v>
      </c>
    </row>
    <row r="23994" spans="1:2" x14ac:dyDescent="0.25">
      <c r="A23994" s="2">
        <v>23989</v>
      </c>
      <c r="B23994" s="3" t="str">
        <f>"01067828"</f>
        <v>01067828</v>
      </c>
    </row>
    <row r="23995" spans="1:2" x14ac:dyDescent="0.25">
      <c r="A23995" s="2">
        <v>23990</v>
      </c>
      <c r="B23995" s="3" t="str">
        <f>"01067836"</f>
        <v>01067836</v>
      </c>
    </row>
    <row r="23996" spans="1:2" x14ac:dyDescent="0.25">
      <c r="A23996" s="2">
        <v>23991</v>
      </c>
      <c r="B23996" s="3" t="str">
        <f>"01067838"</f>
        <v>01067838</v>
      </c>
    </row>
    <row r="23997" spans="1:2" x14ac:dyDescent="0.25">
      <c r="A23997" s="2">
        <v>23992</v>
      </c>
      <c r="B23997" s="3" t="str">
        <f>"01067854"</f>
        <v>01067854</v>
      </c>
    </row>
    <row r="23998" spans="1:2" x14ac:dyDescent="0.25">
      <c r="A23998" s="2">
        <v>23993</v>
      </c>
      <c r="B23998" s="3" t="str">
        <f>"01067859"</f>
        <v>01067859</v>
      </c>
    </row>
    <row r="23999" spans="1:2" x14ac:dyDescent="0.25">
      <c r="A23999" s="2">
        <v>23994</v>
      </c>
      <c r="B23999" s="3" t="str">
        <f>"01067867"</f>
        <v>01067867</v>
      </c>
    </row>
    <row r="24000" spans="1:2" x14ac:dyDescent="0.25">
      <c r="A24000" s="2">
        <v>23995</v>
      </c>
      <c r="B24000" s="3" t="str">
        <f>"01067872"</f>
        <v>01067872</v>
      </c>
    </row>
    <row r="24001" spans="1:2" x14ac:dyDescent="0.25">
      <c r="A24001" s="2">
        <v>23996</v>
      </c>
      <c r="B24001" s="3" t="str">
        <f>"01067881"</f>
        <v>01067881</v>
      </c>
    </row>
    <row r="24002" spans="1:2" x14ac:dyDescent="0.25">
      <c r="A24002" s="2">
        <v>23997</v>
      </c>
      <c r="B24002" s="3" t="str">
        <f>"01067893"</f>
        <v>01067893</v>
      </c>
    </row>
    <row r="24003" spans="1:2" x14ac:dyDescent="0.25">
      <c r="A24003" s="2">
        <v>23998</v>
      </c>
      <c r="B24003" s="3" t="str">
        <f>"01067895"</f>
        <v>01067895</v>
      </c>
    </row>
    <row r="24004" spans="1:2" x14ac:dyDescent="0.25">
      <c r="A24004" s="2">
        <v>23999</v>
      </c>
      <c r="B24004" s="3" t="str">
        <f>"01067910"</f>
        <v>01067910</v>
      </c>
    </row>
    <row r="24005" spans="1:2" x14ac:dyDescent="0.25">
      <c r="A24005" s="2">
        <v>24000</v>
      </c>
      <c r="B24005" s="3" t="str">
        <f>"01067919"</f>
        <v>01067919</v>
      </c>
    </row>
    <row r="24006" spans="1:2" x14ac:dyDescent="0.25">
      <c r="A24006" s="2">
        <v>24001</v>
      </c>
      <c r="B24006" s="3" t="str">
        <f>"01067920"</f>
        <v>01067920</v>
      </c>
    </row>
    <row r="24007" spans="1:2" x14ac:dyDescent="0.25">
      <c r="A24007" s="2">
        <v>24002</v>
      </c>
      <c r="B24007" s="3" t="str">
        <f>"01067921"</f>
        <v>01067921</v>
      </c>
    </row>
    <row r="24008" spans="1:2" x14ac:dyDescent="0.25">
      <c r="A24008" s="2">
        <v>24003</v>
      </c>
      <c r="B24008" s="3" t="str">
        <f>"01067926"</f>
        <v>01067926</v>
      </c>
    </row>
    <row r="24009" spans="1:2" x14ac:dyDescent="0.25">
      <c r="A24009" s="2">
        <v>24004</v>
      </c>
      <c r="B24009" s="3" t="str">
        <f>"01067934"</f>
        <v>01067934</v>
      </c>
    </row>
    <row r="24010" spans="1:2" x14ac:dyDescent="0.25">
      <c r="A24010" s="2">
        <v>24005</v>
      </c>
      <c r="B24010" s="3" t="str">
        <f>"01067945"</f>
        <v>01067945</v>
      </c>
    </row>
    <row r="24011" spans="1:2" x14ac:dyDescent="0.25">
      <c r="A24011" s="2">
        <v>24006</v>
      </c>
      <c r="B24011" s="3" t="str">
        <f>"01067946"</f>
        <v>01067946</v>
      </c>
    </row>
    <row r="24012" spans="1:2" x14ac:dyDescent="0.25">
      <c r="A24012" s="2">
        <v>24007</v>
      </c>
      <c r="B24012" s="3" t="str">
        <f>"01067947"</f>
        <v>01067947</v>
      </c>
    </row>
    <row r="24013" spans="1:2" x14ac:dyDescent="0.25">
      <c r="A24013" s="2">
        <v>24008</v>
      </c>
      <c r="B24013" s="3" t="str">
        <f>"01067948"</f>
        <v>01067948</v>
      </c>
    </row>
    <row r="24014" spans="1:2" x14ac:dyDescent="0.25">
      <c r="A24014" s="2">
        <v>24009</v>
      </c>
      <c r="B24014" s="3" t="str">
        <f>"01067953"</f>
        <v>01067953</v>
      </c>
    </row>
    <row r="24015" spans="1:2" x14ac:dyDescent="0.25">
      <c r="A24015" s="2">
        <v>24010</v>
      </c>
      <c r="B24015" s="3" t="str">
        <f>"01067957"</f>
        <v>01067957</v>
      </c>
    </row>
    <row r="24016" spans="1:2" x14ac:dyDescent="0.25">
      <c r="A24016" s="2">
        <v>24011</v>
      </c>
      <c r="B24016" s="3" t="str">
        <f>"01067978"</f>
        <v>01067978</v>
      </c>
    </row>
    <row r="24017" spans="1:2" x14ac:dyDescent="0.25">
      <c r="A24017" s="2">
        <v>24012</v>
      </c>
      <c r="B24017" s="3" t="str">
        <f>"01067979"</f>
        <v>01067979</v>
      </c>
    </row>
    <row r="24018" spans="1:2" x14ac:dyDescent="0.25">
      <c r="A24018" s="2">
        <v>24013</v>
      </c>
      <c r="B24018" s="3" t="str">
        <f>"01067981"</f>
        <v>01067981</v>
      </c>
    </row>
    <row r="24019" spans="1:2" x14ac:dyDescent="0.25">
      <c r="A24019" s="2">
        <v>24014</v>
      </c>
      <c r="B24019" s="3" t="str">
        <f>"01067986"</f>
        <v>01067986</v>
      </c>
    </row>
    <row r="24020" spans="1:2" x14ac:dyDescent="0.25">
      <c r="A24020" s="2">
        <v>24015</v>
      </c>
      <c r="B24020" s="3" t="str">
        <f>"01067990"</f>
        <v>01067990</v>
      </c>
    </row>
    <row r="24021" spans="1:2" x14ac:dyDescent="0.25">
      <c r="A24021" s="2">
        <v>24016</v>
      </c>
      <c r="B24021" s="3" t="str">
        <f>"01067994"</f>
        <v>01067994</v>
      </c>
    </row>
    <row r="24022" spans="1:2" x14ac:dyDescent="0.25">
      <c r="A24022" s="2">
        <v>24017</v>
      </c>
      <c r="B24022" s="3" t="str">
        <f>"01067995"</f>
        <v>01067995</v>
      </c>
    </row>
    <row r="24023" spans="1:2" x14ac:dyDescent="0.25">
      <c r="A24023" s="2">
        <v>24018</v>
      </c>
      <c r="B24023" s="3" t="str">
        <f>"01067999"</f>
        <v>01067999</v>
      </c>
    </row>
    <row r="24024" spans="1:2" x14ac:dyDescent="0.25">
      <c r="A24024" s="2">
        <v>24019</v>
      </c>
      <c r="B24024" s="3" t="str">
        <f>"01068001"</f>
        <v>01068001</v>
      </c>
    </row>
    <row r="24025" spans="1:2" x14ac:dyDescent="0.25">
      <c r="A24025" s="2">
        <v>24020</v>
      </c>
      <c r="B24025" s="3" t="str">
        <f>"01068006"</f>
        <v>01068006</v>
      </c>
    </row>
    <row r="24026" spans="1:2" x14ac:dyDescent="0.25">
      <c r="A24026" s="2">
        <v>24021</v>
      </c>
      <c r="B24026" s="3" t="str">
        <f>"01068007"</f>
        <v>01068007</v>
      </c>
    </row>
    <row r="24027" spans="1:2" x14ac:dyDescent="0.25">
      <c r="A24027" s="2">
        <v>24022</v>
      </c>
      <c r="B24027" s="3" t="str">
        <f>"01068008"</f>
        <v>01068008</v>
      </c>
    </row>
    <row r="24028" spans="1:2" x14ac:dyDescent="0.25">
      <c r="A24028" s="2">
        <v>24023</v>
      </c>
      <c r="B24028" s="3" t="str">
        <f>"01068014"</f>
        <v>01068014</v>
      </c>
    </row>
    <row r="24029" spans="1:2" x14ac:dyDescent="0.25">
      <c r="A24029" s="2">
        <v>24024</v>
      </c>
      <c r="B24029" s="3" t="str">
        <f>"01068016"</f>
        <v>01068016</v>
      </c>
    </row>
    <row r="24030" spans="1:2" x14ac:dyDescent="0.25">
      <c r="A24030" s="2">
        <v>24025</v>
      </c>
      <c r="B24030" s="3" t="str">
        <f>"01068019"</f>
        <v>01068019</v>
      </c>
    </row>
    <row r="24031" spans="1:2" x14ac:dyDescent="0.25">
      <c r="A24031" s="2">
        <v>24026</v>
      </c>
      <c r="B24031" s="3" t="str">
        <f>"01068023"</f>
        <v>01068023</v>
      </c>
    </row>
    <row r="24032" spans="1:2" x14ac:dyDescent="0.25">
      <c r="A24032" s="2">
        <v>24027</v>
      </c>
      <c r="B24032" s="3" t="str">
        <f>"01068024"</f>
        <v>01068024</v>
      </c>
    </row>
    <row r="24033" spans="1:2" x14ac:dyDescent="0.25">
      <c r="A24033" s="2">
        <v>24028</v>
      </c>
      <c r="B24033" s="3" t="str">
        <f>"01068028"</f>
        <v>01068028</v>
      </c>
    </row>
    <row r="24034" spans="1:2" x14ac:dyDescent="0.25">
      <c r="A24034" s="2">
        <v>24029</v>
      </c>
      <c r="B24034" s="3" t="str">
        <f>"01068029"</f>
        <v>01068029</v>
      </c>
    </row>
    <row r="24035" spans="1:2" x14ac:dyDescent="0.25">
      <c r="A24035" s="2">
        <v>24030</v>
      </c>
      <c r="B24035" s="3" t="str">
        <f>"01068032"</f>
        <v>01068032</v>
      </c>
    </row>
    <row r="24036" spans="1:2" x14ac:dyDescent="0.25">
      <c r="A24036" s="2">
        <v>24031</v>
      </c>
      <c r="B24036" s="3" t="str">
        <f>"01068034"</f>
        <v>01068034</v>
      </c>
    </row>
    <row r="24037" spans="1:2" x14ac:dyDescent="0.25">
      <c r="A24037" s="2">
        <v>24032</v>
      </c>
      <c r="B24037" s="3" t="str">
        <f>"01068037"</f>
        <v>01068037</v>
      </c>
    </row>
    <row r="24038" spans="1:2" x14ac:dyDescent="0.25">
      <c r="A24038" s="2">
        <v>24033</v>
      </c>
      <c r="B24038" s="3" t="str">
        <f>"01068043"</f>
        <v>01068043</v>
      </c>
    </row>
    <row r="24039" spans="1:2" x14ac:dyDescent="0.25">
      <c r="A24039" s="2">
        <v>24034</v>
      </c>
      <c r="B24039" s="3" t="str">
        <f>"01068050"</f>
        <v>01068050</v>
      </c>
    </row>
    <row r="24040" spans="1:2" x14ac:dyDescent="0.25">
      <c r="A24040" s="2">
        <v>24035</v>
      </c>
      <c r="B24040" s="3" t="str">
        <f>"01068052"</f>
        <v>01068052</v>
      </c>
    </row>
    <row r="24041" spans="1:2" x14ac:dyDescent="0.25">
      <c r="A24041" s="2">
        <v>24036</v>
      </c>
      <c r="B24041" s="3" t="str">
        <f>"01068053"</f>
        <v>01068053</v>
      </c>
    </row>
    <row r="24042" spans="1:2" x14ac:dyDescent="0.25">
      <c r="A24042" s="2">
        <v>24037</v>
      </c>
      <c r="B24042" s="3" t="str">
        <f>"01068061"</f>
        <v>01068061</v>
      </c>
    </row>
    <row r="24043" spans="1:2" x14ac:dyDescent="0.25">
      <c r="A24043" s="2">
        <v>24038</v>
      </c>
      <c r="B24043" s="3" t="str">
        <f>"01068065"</f>
        <v>01068065</v>
      </c>
    </row>
    <row r="24044" spans="1:2" x14ac:dyDescent="0.25">
      <c r="A24044" s="2">
        <v>24039</v>
      </c>
      <c r="B24044" s="3" t="str">
        <f>"01068069"</f>
        <v>01068069</v>
      </c>
    </row>
    <row r="24045" spans="1:2" x14ac:dyDescent="0.25">
      <c r="A24045" s="2">
        <v>24040</v>
      </c>
      <c r="B24045" s="3" t="str">
        <f>"01068071"</f>
        <v>01068071</v>
      </c>
    </row>
    <row r="24046" spans="1:2" x14ac:dyDescent="0.25">
      <c r="A24046" s="2">
        <v>24041</v>
      </c>
      <c r="B24046" s="3" t="str">
        <f>"01068072"</f>
        <v>01068072</v>
      </c>
    </row>
    <row r="24047" spans="1:2" x14ac:dyDescent="0.25">
      <c r="A24047" s="2">
        <v>24042</v>
      </c>
      <c r="B24047" s="3" t="str">
        <f>"01068078"</f>
        <v>01068078</v>
      </c>
    </row>
    <row r="24048" spans="1:2" x14ac:dyDescent="0.25">
      <c r="A24048" s="2">
        <v>24043</v>
      </c>
      <c r="B24048" s="3" t="str">
        <f>"01068079"</f>
        <v>01068079</v>
      </c>
    </row>
    <row r="24049" spans="1:2" x14ac:dyDescent="0.25">
      <c r="A24049" s="2">
        <v>24044</v>
      </c>
      <c r="B24049" s="3" t="str">
        <f>"01068081"</f>
        <v>01068081</v>
      </c>
    </row>
    <row r="24050" spans="1:2" x14ac:dyDescent="0.25">
      <c r="A24050" s="2">
        <v>24045</v>
      </c>
      <c r="B24050" s="3" t="str">
        <f>"01068082"</f>
        <v>01068082</v>
      </c>
    </row>
    <row r="24051" spans="1:2" x14ac:dyDescent="0.25">
      <c r="A24051" s="2">
        <v>24046</v>
      </c>
      <c r="B24051" s="3" t="str">
        <f>"01068084"</f>
        <v>01068084</v>
      </c>
    </row>
    <row r="24052" spans="1:2" x14ac:dyDescent="0.25">
      <c r="A24052" s="2">
        <v>24047</v>
      </c>
      <c r="B24052" s="3" t="str">
        <f>"01068090"</f>
        <v>01068090</v>
      </c>
    </row>
    <row r="24053" spans="1:2" x14ac:dyDescent="0.25">
      <c r="A24053" s="2">
        <v>24048</v>
      </c>
      <c r="B24053" s="3" t="str">
        <f>"01068095"</f>
        <v>01068095</v>
      </c>
    </row>
    <row r="24054" spans="1:2" x14ac:dyDescent="0.25">
      <c r="A24054" s="2">
        <v>24049</v>
      </c>
      <c r="B24054" s="3" t="str">
        <f>"01068098"</f>
        <v>01068098</v>
      </c>
    </row>
    <row r="24055" spans="1:2" x14ac:dyDescent="0.25">
      <c r="A24055" s="2">
        <v>24050</v>
      </c>
      <c r="B24055" s="3" t="str">
        <f>"01068101"</f>
        <v>01068101</v>
      </c>
    </row>
    <row r="24056" spans="1:2" x14ac:dyDescent="0.25">
      <c r="A24056" s="2">
        <v>24051</v>
      </c>
      <c r="B24056" s="3" t="str">
        <f>"01068103"</f>
        <v>01068103</v>
      </c>
    </row>
    <row r="24057" spans="1:2" x14ac:dyDescent="0.25">
      <c r="A24057" s="2">
        <v>24052</v>
      </c>
      <c r="B24057" s="3" t="str">
        <f>"01068106"</f>
        <v>01068106</v>
      </c>
    </row>
    <row r="24058" spans="1:2" x14ac:dyDescent="0.25">
      <c r="A24058" s="2">
        <v>24053</v>
      </c>
      <c r="B24058" s="3" t="str">
        <f>"01068107"</f>
        <v>01068107</v>
      </c>
    </row>
    <row r="24059" spans="1:2" x14ac:dyDescent="0.25">
      <c r="A24059" s="2">
        <v>24054</v>
      </c>
      <c r="B24059" s="3" t="str">
        <f>"01068113"</f>
        <v>01068113</v>
      </c>
    </row>
    <row r="24060" spans="1:2" x14ac:dyDescent="0.25">
      <c r="A24060" s="2">
        <v>24055</v>
      </c>
      <c r="B24060" s="3" t="str">
        <f>"01068116"</f>
        <v>01068116</v>
      </c>
    </row>
    <row r="24061" spans="1:2" x14ac:dyDescent="0.25">
      <c r="A24061" s="2">
        <v>24056</v>
      </c>
      <c r="B24061" s="3" t="str">
        <f>"01068117"</f>
        <v>01068117</v>
      </c>
    </row>
    <row r="24062" spans="1:2" x14ac:dyDescent="0.25">
      <c r="A24062" s="2">
        <v>24057</v>
      </c>
      <c r="B24062" s="3" t="str">
        <f>"01068118"</f>
        <v>01068118</v>
      </c>
    </row>
    <row r="24063" spans="1:2" x14ac:dyDescent="0.25">
      <c r="A24063" s="2">
        <v>24058</v>
      </c>
      <c r="B24063" s="3" t="str">
        <f>"01068133"</f>
        <v>01068133</v>
      </c>
    </row>
    <row r="24064" spans="1:2" x14ac:dyDescent="0.25">
      <c r="A24064" s="2">
        <v>24059</v>
      </c>
      <c r="B24064" s="3" t="str">
        <f>"01068135"</f>
        <v>01068135</v>
      </c>
    </row>
    <row r="24065" spans="1:2" x14ac:dyDescent="0.25">
      <c r="A24065" s="2">
        <v>24060</v>
      </c>
      <c r="B24065" s="3" t="str">
        <f>"01068138"</f>
        <v>01068138</v>
      </c>
    </row>
    <row r="24066" spans="1:2" x14ac:dyDescent="0.25">
      <c r="A24066" s="2">
        <v>24061</v>
      </c>
      <c r="B24066" s="3" t="str">
        <f>"01068145"</f>
        <v>01068145</v>
      </c>
    </row>
    <row r="24067" spans="1:2" x14ac:dyDescent="0.25">
      <c r="A24067" s="2">
        <v>24062</v>
      </c>
      <c r="B24067" s="3" t="str">
        <f>"01068147"</f>
        <v>01068147</v>
      </c>
    </row>
    <row r="24068" spans="1:2" x14ac:dyDescent="0.25">
      <c r="A24068" s="2">
        <v>24063</v>
      </c>
      <c r="B24068" s="3" t="str">
        <f>"01068155"</f>
        <v>01068155</v>
      </c>
    </row>
    <row r="24069" spans="1:2" x14ac:dyDescent="0.25">
      <c r="A24069" s="2">
        <v>24064</v>
      </c>
      <c r="B24069" s="3" t="str">
        <f>"01068156"</f>
        <v>01068156</v>
      </c>
    </row>
    <row r="24070" spans="1:2" x14ac:dyDescent="0.25">
      <c r="A24070" s="2">
        <v>24065</v>
      </c>
      <c r="B24070" s="3" t="str">
        <f>"01068161"</f>
        <v>01068161</v>
      </c>
    </row>
    <row r="24071" spans="1:2" x14ac:dyDescent="0.25">
      <c r="A24071" s="2">
        <v>24066</v>
      </c>
      <c r="B24071" s="3" t="str">
        <f>"01068163"</f>
        <v>01068163</v>
      </c>
    </row>
    <row r="24072" spans="1:2" x14ac:dyDescent="0.25">
      <c r="A24072" s="2">
        <v>24067</v>
      </c>
      <c r="B24072" s="3" t="str">
        <f>"01068183"</f>
        <v>01068183</v>
      </c>
    </row>
    <row r="24073" spans="1:2" x14ac:dyDescent="0.25">
      <c r="A24073" s="2">
        <v>24068</v>
      </c>
      <c r="B24073" s="3" t="str">
        <f>"01068186"</f>
        <v>01068186</v>
      </c>
    </row>
    <row r="24074" spans="1:2" x14ac:dyDescent="0.25">
      <c r="A24074" s="2">
        <v>24069</v>
      </c>
      <c r="B24074" s="3" t="str">
        <f>"01068187"</f>
        <v>01068187</v>
      </c>
    </row>
    <row r="24075" spans="1:2" x14ac:dyDescent="0.25">
      <c r="A24075" s="2">
        <v>24070</v>
      </c>
      <c r="B24075" s="3" t="str">
        <f>"01068191"</f>
        <v>01068191</v>
      </c>
    </row>
    <row r="24076" spans="1:2" x14ac:dyDescent="0.25">
      <c r="A24076" s="2">
        <v>24071</v>
      </c>
      <c r="B24076" s="3" t="str">
        <f>"01068192"</f>
        <v>01068192</v>
      </c>
    </row>
    <row r="24077" spans="1:2" x14ac:dyDescent="0.25">
      <c r="A24077" s="2">
        <v>24072</v>
      </c>
      <c r="B24077" s="3" t="str">
        <f>"01068202"</f>
        <v>01068202</v>
      </c>
    </row>
    <row r="24078" spans="1:2" x14ac:dyDescent="0.25">
      <c r="A24078" s="2">
        <v>24073</v>
      </c>
      <c r="B24078" s="3" t="str">
        <f>"01068203"</f>
        <v>01068203</v>
      </c>
    </row>
    <row r="24079" spans="1:2" x14ac:dyDescent="0.25">
      <c r="A24079" s="2">
        <v>24074</v>
      </c>
      <c r="B24079" s="3" t="str">
        <f>"01068207"</f>
        <v>01068207</v>
      </c>
    </row>
    <row r="24080" spans="1:2" x14ac:dyDescent="0.25">
      <c r="A24080" s="2">
        <v>24075</v>
      </c>
      <c r="B24080" s="3" t="str">
        <f>"01068218"</f>
        <v>01068218</v>
      </c>
    </row>
    <row r="24081" spans="1:2" x14ac:dyDescent="0.25">
      <c r="A24081" s="2">
        <v>24076</v>
      </c>
      <c r="B24081" s="3" t="str">
        <f>"01068219"</f>
        <v>01068219</v>
      </c>
    </row>
    <row r="24082" spans="1:2" x14ac:dyDescent="0.25">
      <c r="A24082" s="2">
        <v>24077</v>
      </c>
      <c r="B24082" s="3" t="str">
        <f>"01068224"</f>
        <v>01068224</v>
      </c>
    </row>
    <row r="24083" spans="1:2" x14ac:dyDescent="0.25">
      <c r="A24083" s="2">
        <v>24078</v>
      </c>
      <c r="B24083" s="3" t="str">
        <f>"01068226"</f>
        <v>01068226</v>
      </c>
    </row>
    <row r="24084" spans="1:2" x14ac:dyDescent="0.25">
      <c r="A24084" s="2">
        <v>24079</v>
      </c>
      <c r="B24084" s="3" t="str">
        <f>"01068230"</f>
        <v>01068230</v>
      </c>
    </row>
    <row r="24085" spans="1:2" x14ac:dyDescent="0.25">
      <c r="A24085" s="2">
        <v>24080</v>
      </c>
      <c r="B24085" s="3" t="str">
        <f>"01068231"</f>
        <v>01068231</v>
      </c>
    </row>
    <row r="24086" spans="1:2" x14ac:dyDescent="0.25">
      <c r="A24086" s="2">
        <v>24081</v>
      </c>
      <c r="B24086" s="3" t="str">
        <f>"01068233"</f>
        <v>01068233</v>
      </c>
    </row>
    <row r="24087" spans="1:2" x14ac:dyDescent="0.25">
      <c r="A24087" s="2">
        <v>24082</v>
      </c>
      <c r="B24087" s="3" t="str">
        <f>"01068245"</f>
        <v>01068245</v>
      </c>
    </row>
    <row r="24088" spans="1:2" x14ac:dyDescent="0.25">
      <c r="A24088" s="2">
        <v>24083</v>
      </c>
      <c r="B24088" s="3" t="str">
        <f>"01068271"</f>
        <v>01068271</v>
      </c>
    </row>
    <row r="24089" spans="1:2" x14ac:dyDescent="0.25">
      <c r="A24089" s="2">
        <v>24084</v>
      </c>
      <c r="B24089" s="3" t="str">
        <f>"01068277"</f>
        <v>01068277</v>
      </c>
    </row>
    <row r="24090" spans="1:2" x14ac:dyDescent="0.25">
      <c r="A24090" s="2">
        <v>24085</v>
      </c>
      <c r="B24090" s="3" t="str">
        <f>"01068278"</f>
        <v>01068278</v>
      </c>
    </row>
    <row r="24091" spans="1:2" x14ac:dyDescent="0.25">
      <c r="A24091" s="2">
        <v>24086</v>
      </c>
      <c r="B24091" s="3" t="str">
        <f>"01068282"</f>
        <v>01068282</v>
      </c>
    </row>
    <row r="24092" spans="1:2" x14ac:dyDescent="0.25">
      <c r="A24092" s="2">
        <v>24087</v>
      </c>
      <c r="B24092" s="3" t="str">
        <f>"01068291"</f>
        <v>01068291</v>
      </c>
    </row>
    <row r="24093" spans="1:2" x14ac:dyDescent="0.25">
      <c r="A24093" s="2">
        <v>24088</v>
      </c>
      <c r="B24093" s="3" t="str">
        <f>"01068299"</f>
        <v>01068299</v>
      </c>
    </row>
    <row r="24094" spans="1:2" x14ac:dyDescent="0.25">
      <c r="A24094" s="2">
        <v>24089</v>
      </c>
      <c r="B24094" s="3" t="str">
        <f>"01068300"</f>
        <v>01068300</v>
      </c>
    </row>
    <row r="24095" spans="1:2" x14ac:dyDescent="0.25">
      <c r="A24095" s="2">
        <v>24090</v>
      </c>
      <c r="B24095" s="3" t="str">
        <f>"01068305"</f>
        <v>01068305</v>
      </c>
    </row>
    <row r="24096" spans="1:2" x14ac:dyDescent="0.25">
      <c r="A24096" s="2">
        <v>24091</v>
      </c>
      <c r="B24096" s="3" t="str">
        <f>"01068310"</f>
        <v>01068310</v>
      </c>
    </row>
    <row r="24097" spans="1:2" x14ac:dyDescent="0.25">
      <c r="A24097" s="2">
        <v>24092</v>
      </c>
      <c r="B24097" s="3" t="str">
        <f>"01068320"</f>
        <v>01068320</v>
      </c>
    </row>
    <row r="24098" spans="1:2" x14ac:dyDescent="0.25">
      <c r="A24098" s="2">
        <v>24093</v>
      </c>
      <c r="B24098" s="3" t="str">
        <f>"01068321"</f>
        <v>01068321</v>
      </c>
    </row>
    <row r="24099" spans="1:2" x14ac:dyDescent="0.25">
      <c r="A24099" s="2">
        <v>24094</v>
      </c>
      <c r="B24099" s="3" t="str">
        <f>"01068323"</f>
        <v>01068323</v>
      </c>
    </row>
    <row r="24100" spans="1:2" x14ac:dyDescent="0.25">
      <c r="A24100" s="2">
        <v>24095</v>
      </c>
      <c r="B24100" s="3" t="str">
        <f>"01068325"</f>
        <v>01068325</v>
      </c>
    </row>
    <row r="24101" spans="1:2" x14ac:dyDescent="0.25">
      <c r="A24101" s="2">
        <v>24096</v>
      </c>
      <c r="B24101" s="3" t="str">
        <f>"01068328"</f>
        <v>01068328</v>
      </c>
    </row>
    <row r="24102" spans="1:2" x14ac:dyDescent="0.25">
      <c r="A24102" s="2">
        <v>24097</v>
      </c>
      <c r="B24102" s="3" t="str">
        <f>"01068334"</f>
        <v>01068334</v>
      </c>
    </row>
    <row r="24103" spans="1:2" x14ac:dyDescent="0.25">
      <c r="A24103" s="2">
        <v>24098</v>
      </c>
      <c r="B24103" s="3" t="str">
        <f>"01068337"</f>
        <v>01068337</v>
      </c>
    </row>
    <row r="24104" spans="1:2" x14ac:dyDescent="0.25">
      <c r="A24104" s="2">
        <v>24099</v>
      </c>
      <c r="B24104" s="3" t="str">
        <f>"01068339"</f>
        <v>01068339</v>
      </c>
    </row>
    <row r="24105" spans="1:2" x14ac:dyDescent="0.25">
      <c r="A24105" s="2">
        <v>24100</v>
      </c>
      <c r="B24105" s="3" t="str">
        <f>"01068345"</f>
        <v>01068345</v>
      </c>
    </row>
    <row r="24106" spans="1:2" x14ac:dyDescent="0.25">
      <c r="A24106" s="2">
        <v>24101</v>
      </c>
      <c r="B24106" s="3" t="str">
        <f>"01068349"</f>
        <v>01068349</v>
      </c>
    </row>
    <row r="24107" spans="1:2" x14ac:dyDescent="0.25">
      <c r="A24107" s="2">
        <v>24102</v>
      </c>
      <c r="B24107" s="3" t="str">
        <f>"01068352"</f>
        <v>01068352</v>
      </c>
    </row>
    <row r="24108" spans="1:2" x14ac:dyDescent="0.25">
      <c r="A24108" s="2">
        <v>24103</v>
      </c>
      <c r="B24108" s="3" t="str">
        <f>"01068356"</f>
        <v>01068356</v>
      </c>
    </row>
    <row r="24109" spans="1:2" x14ac:dyDescent="0.25">
      <c r="A24109" s="2">
        <v>24104</v>
      </c>
      <c r="B24109" s="3" t="str">
        <f>"01068359"</f>
        <v>01068359</v>
      </c>
    </row>
    <row r="24110" spans="1:2" x14ac:dyDescent="0.25">
      <c r="A24110" s="2">
        <v>24105</v>
      </c>
      <c r="B24110" s="3" t="str">
        <f>"01068362"</f>
        <v>01068362</v>
      </c>
    </row>
    <row r="24111" spans="1:2" x14ac:dyDescent="0.25">
      <c r="A24111" s="2">
        <v>24106</v>
      </c>
      <c r="B24111" s="3" t="str">
        <f>"01068366"</f>
        <v>01068366</v>
      </c>
    </row>
    <row r="24112" spans="1:2" x14ac:dyDescent="0.25">
      <c r="A24112" s="2">
        <v>24107</v>
      </c>
      <c r="B24112" s="3" t="str">
        <f>"01068373"</f>
        <v>01068373</v>
      </c>
    </row>
    <row r="24113" spans="1:2" x14ac:dyDescent="0.25">
      <c r="A24113" s="2">
        <v>24108</v>
      </c>
      <c r="B24113" s="3" t="str">
        <f>"01068374"</f>
        <v>01068374</v>
      </c>
    </row>
    <row r="24114" spans="1:2" x14ac:dyDescent="0.25">
      <c r="A24114" s="2">
        <v>24109</v>
      </c>
      <c r="B24114" s="3" t="str">
        <f>"01068378"</f>
        <v>01068378</v>
      </c>
    </row>
    <row r="24115" spans="1:2" x14ac:dyDescent="0.25">
      <c r="A24115" s="2">
        <v>24110</v>
      </c>
      <c r="B24115" s="3" t="str">
        <f>"01068380"</f>
        <v>01068380</v>
      </c>
    </row>
    <row r="24116" spans="1:2" x14ac:dyDescent="0.25">
      <c r="A24116" s="2">
        <v>24111</v>
      </c>
      <c r="B24116" s="3" t="str">
        <f>"01068387"</f>
        <v>01068387</v>
      </c>
    </row>
    <row r="24117" spans="1:2" x14ac:dyDescent="0.25">
      <c r="A24117" s="2">
        <v>24112</v>
      </c>
      <c r="B24117" s="3" t="str">
        <f>"01068391"</f>
        <v>01068391</v>
      </c>
    </row>
    <row r="24118" spans="1:2" x14ac:dyDescent="0.25">
      <c r="A24118" s="2">
        <v>24113</v>
      </c>
      <c r="B24118" s="3" t="str">
        <f>"01068397"</f>
        <v>01068397</v>
      </c>
    </row>
    <row r="24119" spans="1:2" x14ac:dyDescent="0.25">
      <c r="A24119" s="2">
        <v>24114</v>
      </c>
      <c r="B24119" s="3" t="str">
        <f>"01068400"</f>
        <v>01068400</v>
      </c>
    </row>
    <row r="24120" spans="1:2" x14ac:dyDescent="0.25">
      <c r="A24120" s="2">
        <v>24115</v>
      </c>
      <c r="B24120" s="3" t="str">
        <f>"01068409"</f>
        <v>01068409</v>
      </c>
    </row>
    <row r="24121" spans="1:2" x14ac:dyDescent="0.25">
      <c r="A24121" s="2">
        <v>24116</v>
      </c>
      <c r="B24121" s="3" t="str">
        <f>"01068410"</f>
        <v>01068410</v>
      </c>
    </row>
    <row r="24122" spans="1:2" x14ac:dyDescent="0.25">
      <c r="A24122" s="2">
        <v>24117</v>
      </c>
      <c r="B24122" s="3" t="str">
        <f>"01068420"</f>
        <v>01068420</v>
      </c>
    </row>
    <row r="24123" spans="1:2" x14ac:dyDescent="0.25">
      <c r="A24123" s="2">
        <v>24118</v>
      </c>
      <c r="B24123" s="3" t="str">
        <f>"01068425"</f>
        <v>01068425</v>
      </c>
    </row>
    <row r="24124" spans="1:2" x14ac:dyDescent="0.25">
      <c r="A24124" s="2">
        <v>24119</v>
      </c>
      <c r="B24124" s="3" t="str">
        <f>"01068442"</f>
        <v>01068442</v>
      </c>
    </row>
    <row r="24125" spans="1:2" x14ac:dyDescent="0.25">
      <c r="A24125" s="2">
        <v>24120</v>
      </c>
      <c r="B24125" s="3" t="str">
        <f>"01068447"</f>
        <v>01068447</v>
      </c>
    </row>
    <row r="24126" spans="1:2" x14ac:dyDescent="0.25">
      <c r="A24126" s="2">
        <v>24121</v>
      </c>
      <c r="B24126" s="3" t="str">
        <f>"01068448"</f>
        <v>01068448</v>
      </c>
    </row>
    <row r="24127" spans="1:2" x14ac:dyDescent="0.25">
      <c r="A24127" s="2">
        <v>24122</v>
      </c>
      <c r="B24127" s="3" t="str">
        <f>"01068450"</f>
        <v>01068450</v>
      </c>
    </row>
    <row r="24128" spans="1:2" x14ac:dyDescent="0.25">
      <c r="A24128" s="2">
        <v>24123</v>
      </c>
      <c r="B24128" s="3" t="str">
        <f>"01068452"</f>
        <v>01068452</v>
      </c>
    </row>
    <row r="24129" spans="1:2" x14ac:dyDescent="0.25">
      <c r="A24129" s="2">
        <v>24124</v>
      </c>
      <c r="B24129" s="3" t="str">
        <f>"01068453"</f>
        <v>01068453</v>
      </c>
    </row>
    <row r="24130" spans="1:2" x14ac:dyDescent="0.25">
      <c r="A24130" s="2">
        <v>24125</v>
      </c>
      <c r="B24130" s="3" t="str">
        <f>"01068464"</f>
        <v>01068464</v>
      </c>
    </row>
    <row r="24131" spans="1:2" x14ac:dyDescent="0.25">
      <c r="A24131" s="2">
        <v>24126</v>
      </c>
      <c r="B24131" s="3" t="str">
        <f>"01068472"</f>
        <v>01068472</v>
      </c>
    </row>
    <row r="24132" spans="1:2" x14ac:dyDescent="0.25">
      <c r="A24132" s="2">
        <v>24127</v>
      </c>
      <c r="B24132" s="3" t="str">
        <f>"01068478"</f>
        <v>01068478</v>
      </c>
    </row>
    <row r="24133" spans="1:2" x14ac:dyDescent="0.25">
      <c r="A24133" s="2">
        <v>24128</v>
      </c>
      <c r="B24133" s="3" t="str">
        <f>"01068484"</f>
        <v>01068484</v>
      </c>
    </row>
    <row r="24134" spans="1:2" x14ac:dyDescent="0.25">
      <c r="A24134" s="2">
        <v>24129</v>
      </c>
      <c r="B24134" s="3" t="str">
        <f>"01068485"</f>
        <v>01068485</v>
      </c>
    </row>
    <row r="24135" spans="1:2" x14ac:dyDescent="0.25">
      <c r="A24135" s="2">
        <v>24130</v>
      </c>
      <c r="B24135" s="3" t="str">
        <f>"01068486"</f>
        <v>01068486</v>
      </c>
    </row>
    <row r="24136" spans="1:2" x14ac:dyDescent="0.25">
      <c r="A24136" s="2">
        <v>24131</v>
      </c>
      <c r="B24136" s="3" t="str">
        <f>"01068491"</f>
        <v>01068491</v>
      </c>
    </row>
    <row r="24137" spans="1:2" x14ac:dyDescent="0.25">
      <c r="A24137" s="2">
        <v>24132</v>
      </c>
      <c r="B24137" s="3" t="str">
        <f>"01068498"</f>
        <v>01068498</v>
      </c>
    </row>
    <row r="24138" spans="1:2" x14ac:dyDescent="0.25">
      <c r="A24138" s="2">
        <v>24133</v>
      </c>
      <c r="B24138" s="3" t="str">
        <f>"01068501"</f>
        <v>01068501</v>
      </c>
    </row>
    <row r="24139" spans="1:2" x14ac:dyDescent="0.25">
      <c r="A24139" s="2">
        <v>24134</v>
      </c>
      <c r="B24139" s="3" t="str">
        <f>"01068504"</f>
        <v>01068504</v>
      </c>
    </row>
    <row r="24140" spans="1:2" x14ac:dyDescent="0.25">
      <c r="A24140" s="2">
        <v>24135</v>
      </c>
      <c r="B24140" s="3" t="str">
        <f>"01068508"</f>
        <v>01068508</v>
      </c>
    </row>
    <row r="24141" spans="1:2" x14ac:dyDescent="0.25">
      <c r="A24141" s="2">
        <v>24136</v>
      </c>
      <c r="B24141" s="3" t="str">
        <f>"01068512"</f>
        <v>01068512</v>
      </c>
    </row>
    <row r="24142" spans="1:2" x14ac:dyDescent="0.25">
      <c r="A24142" s="2">
        <v>24137</v>
      </c>
      <c r="B24142" s="3" t="str">
        <f>"01068514"</f>
        <v>01068514</v>
      </c>
    </row>
    <row r="24143" spans="1:2" x14ac:dyDescent="0.25">
      <c r="A24143" s="2">
        <v>24138</v>
      </c>
      <c r="B24143" s="3" t="str">
        <f>"01068516"</f>
        <v>01068516</v>
      </c>
    </row>
    <row r="24144" spans="1:2" x14ac:dyDescent="0.25">
      <c r="A24144" s="2">
        <v>24139</v>
      </c>
      <c r="B24144" s="3" t="str">
        <f>"01068520"</f>
        <v>01068520</v>
      </c>
    </row>
    <row r="24145" spans="1:2" x14ac:dyDescent="0.25">
      <c r="A24145" s="2">
        <v>24140</v>
      </c>
      <c r="B24145" s="3" t="str">
        <f>"01068522"</f>
        <v>01068522</v>
      </c>
    </row>
    <row r="24146" spans="1:2" x14ac:dyDescent="0.25">
      <c r="A24146" s="2">
        <v>24141</v>
      </c>
      <c r="B24146" s="3" t="str">
        <f>"01068523"</f>
        <v>01068523</v>
      </c>
    </row>
    <row r="24147" spans="1:2" x14ac:dyDescent="0.25">
      <c r="A24147" s="2">
        <v>24142</v>
      </c>
      <c r="B24147" s="3" t="str">
        <f>"01068530"</f>
        <v>01068530</v>
      </c>
    </row>
    <row r="24148" spans="1:2" x14ac:dyDescent="0.25">
      <c r="A24148" s="2">
        <v>24143</v>
      </c>
      <c r="B24148" s="3" t="str">
        <f>"01068534"</f>
        <v>01068534</v>
      </c>
    </row>
    <row r="24149" spans="1:2" x14ac:dyDescent="0.25">
      <c r="A24149" s="2">
        <v>24144</v>
      </c>
      <c r="B24149" s="3" t="str">
        <f>"01068563"</f>
        <v>01068563</v>
      </c>
    </row>
    <row r="24150" spans="1:2" x14ac:dyDescent="0.25">
      <c r="A24150" s="2">
        <v>24145</v>
      </c>
      <c r="B24150" s="3" t="str">
        <f>"01068564"</f>
        <v>01068564</v>
      </c>
    </row>
    <row r="24151" spans="1:2" x14ac:dyDescent="0.25">
      <c r="A24151" s="2">
        <v>24146</v>
      </c>
      <c r="B24151" s="3" t="str">
        <f>"01068573"</f>
        <v>01068573</v>
      </c>
    </row>
    <row r="24152" spans="1:2" x14ac:dyDescent="0.25">
      <c r="A24152" s="2">
        <v>24147</v>
      </c>
      <c r="B24152" s="3" t="str">
        <f>"01068575"</f>
        <v>01068575</v>
      </c>
    </row>
    <row r="24153" spans="1:2" x14ac:dyDescent="0.25">
      <c r="A24153" s="2">
        <v>24148</v>
      </c>
      <c r="B24153" s="3" t="str">
        <f>"01068577"</f>
        <v>01068577</v>
      </c>
    </row>
    <row r="24154" spans="1:2" x14ac:dyDescent="0.25">
      <c r="A24154" s="2">
        <v>24149</v>
      </c>
      <c r="B24154" s="3" t="str">
        <f>"01068578"</f>
        <v>01068578</v>
      </c>
    </row>
    <row r="24155" spans="1:2" x14ac:dyDescent="0.25">
      <c r="A24155" s="2">
        <v>24150</v>
      </c>
      <c r="B24155" s="3" t="str">
        <f>"01068582"</f>
        <v>01068582</v>
      </c>
    </row>
    <row r="24156" spans="1:2" x14ac:dyDescent="0.25">
      <c r="A24156" s="2">
        <v>24151</v>
      </c>
      <c r="B24156" s="3" t="str">
        <f>"01068583"</f>
        <v>01068583</v>
      </c>
    </row>
    <row r="24157" spans="1:2" x14ac:dyDescent="0.25">
      <c r="A24157" s="2">
        <v>24152</v>
      </c>
      <c r="B24157" s="3" t="str">
        <f>"01068585"</f>
        <v>01068585</v>
      </c>
    </row>
    <row r="24158" spans="1:2" x14ac:dyDescent="0.25">
      <c r="A24158" s="2">
        <v>24153</v>
      </c>
      <c r="B24158" s="3" t="str">
        <f>"01068587"</f>
        <v>01068587</v>
      </c>
    </row>
    <row r="24159" spans="1:2" x14ac:dyDescent="0.25">
      <c r="A24159" s="2">
        <v>24154</v>
      </c>
      <c r="B24159" s="3" t="str">
        <f>"01068596"</f>
        <v>01068596</v>
      </c>
    </row>
    <row r="24160" spans="1:2" x14ac:dyDescent="0.25">
      <c r="A24160" s="2">
        <v>24155</v>
      </c>
      <c r="B24160" s="3" t="str">
        <f>"01068598"</f>
        <v>01068598</v>
      </c>
    </row>
    <row r="24161" spans="1:2" x14ac:dyDescent="0.25">
      <c r="A24161" s="2">
        <v>24156</v>
      </c>
      <c r="B24161" s="3" t="str">
        <f>"01068601"</f>
        <v>01068601</v>
      </c>
    </row>
    <row r="24162" spans="1:2" x14ac:dyDescent="0.25">
      <c r="A24162" s="2">
        <v>24157</v>
      </c>
      <c r="B24162" s="3" t="str">
        <f>"01068602"</f>
        <v>01068602</v>
      </c>
    </row>
    <row r="24163" spans="1:2" x14ac:dyDescent="0.25">
      <c r="A24163" s="2">
        <v>24158</v>
      </c>
      <c r="B24163" s="3" t="str">
        <f>"01068605"</f>
        <v>01068605</v>
      </c>
    </row>
    <row r="24164" spans="1:2" x14ac:dyDescent="0.25">
      <c r="A24164" s="2">
        <v>24159</v>
      </c>
      <c r="B24164" s="3" t="str">
        <f>"01068610"</f>
        <v>01068610</v>
      </c>
    </row>
    <row r="24165" spans="1:2" x14ac:dyDescent="0.25">
      <c r="A24165" s="2">
        <v>24160</v>
      </c>
      <c r="B24165" s="3" t="str">
        <f>"01068613"</f>
        <v>01068613</v>
      </c>
    </row>
    <row r="24166" spans="1:2" x14ac:dyDescent="0.25">
      <c r="A24166" s="2">
        <v>24161</v>
      </c>
      <c r="B24166" s="3" t="str">
        <f>"01068618"</f>
        <v>01068618</v>
      </c>
    </row>
    <row r="24167" spans="1:2" x14ac:dyDescent="0.25">
      <c r="A24167" s="2">
        <v>24162</v>
      </c>
      <c r="B24167" s="3" t="str">
        <f>"01068620"</f>
        <v>01068620</v>
      </c>
    </row>
    <row r="24168" spans="1:2" x14ac:dyDescent="0.25">
      <c r="A24168" s="2">
        <v>24163</v>
      </c>
      <c r="B24168" s="3" t="str">
        <f>"01068622"</f>
        <v>01068622</v>
      </c>
    </row>
    <row r="24169" spans="1:2" x14ac:dyDescent="0.25">
      <c r="A24169" s="2">
        <v>24164</v>
      </c>
      <c r="B24169" s="3" t="str">
        <f>"01068623"</f>
        <v>01068623</v>
      </c>
    </row>
    <row r="24170" spans="1:2" x14ac:dyDescent="0.25">
      <c r="A24170" s="2">
        <v>24165</v>
      </c>
      <c r="B24170" s="3" t="str">
        <f>"01068634"</f>
        <v>01068634</v>
      </c>
    </row>
    <row r="24171" spans="1:2" x14ac:dyDescent="0.25">
      <c r="A24171" s="2">
        <v>24166</v>
      </c>
      <c r="B24171" s="3" t="str">
        <f>"01068644"</f>
        <v>01068644</v>
      </c>
    </row>
    <row r="24172" spans="1:2" x14ac:dyDescent="0.25">
      <c r="A24172" s="2">
        <v>24167</v>
      </c>
      <c r="B24172" s="3" t="str">
        <f>"01068650"</f>
        <v>01068650</v>
      </c>
    </row>
    <row r="24173" spans="1:2" x14ac:dyDescent="0.25">
      <c r="A24173" s="2">
        <v>24168</v>
      </c>
      <c r="B24173" s="3" t="str">
        <f>"01068656"</f>
        <v>01068656</v>
      </c>
    </row>
    <row r="24174" spans="1:2" x14ac:dyDescent="0.25">
      <c r="A24174" s="2">
        <v>24169</v>
      </c>
      <c r="B24174" s="3" t="str">
        <f>"01068671"</f>
        <v>01068671</v>
      </c>
    </row>
    <row r="24175" spans="1:2" x14ac:dyDescent="0.25">
      <c r="A24175" s="2">
        <v>24170</v>
      </c>
      <c r="B24175" s="3" t="str">
        <f>"01068675"</f>
        <v>01068675</v>
      </c>
    </row>
    <row r="24176" spans="1:2" x14ac:dyDescent="0.25">
      <c r="A24176" s="2">
        <v>24171</v>
      </c>
      <c r="B24176" s="3" t="str">
        <f>"01068679"</f>
        <v>01068679</v>
      </c>
    </row>
    <row r="24177" spans="1:2" x14ac:dyDescent="0.25">
      <c r="A24177" s="2">
        <v>24172</v>
      </c>
      <c r="B24177" s="3" t="str">
        <f>"01068689"</f>
        <v>01068689</v>
      </c>
    </row>
    <row r="24178" spans="1:2" x14ac:dyDescent="0.25">
      <c r="A24178" s="2">
        <v>24173</v>
      </c>
      <c r="B24178" s="3" t="str">
        <f>"01068691"</f>
        <v>01068691</v>
      </c>
    </row>
    <row r="24179" spans="1:2" x14ac:dyDescent="0.25">
      <c r="A24179" s="2">
        <v>24174</v>
      </c>
      <c r="B24179" s="3" t="str">
        <f>"01068696"</f>
        <v>01068696</v>
      </c>
    </row>
    <row r="24180" spans="1:2" x14ac:dyDescent="0.25">
      <c r="A24180" s="2">
        <v>24175</v>
      </c>
      <c r="B24180" s="3" t="str">
        <f>"01068698"</f>
        <v>01068698</v>
      </c>
    </row>
    <row r="24181" spans="1:2" x14ac:dyDescent="0.25">
      <c r="A24181" s="2">
        <v>24176</v>
      </c>
      <c r="B24181" s="3" t="str">
        <f>"01068699"</f>
        <v>01068699</v>
      </c>
    </row>
    <row r="24182" spans="1:2" x14ac:dyDescent="0.25">
      <c r="A24182" s="2">
        <v>24177</v>
      </c>
      <c r="B24182" s="3" t="str">
        <f>"01068705"</f>
        <v>01068705</v>
      </c>
    </row>
    <row r="24183" spans="1:2" x14ac:dyDescent="0.25">
      <c r="A24183" s="2">
        <v>24178</v>
      </c>
      <c r="B24183" s="3" t="str">
        <f>"01068708"</f>
        <v>01068708</v>
      </c>
    </row>
    <row r="24184" spans="1:2" x14ac:dyDescent="0.25">
      <c r="A24184" s="2">
        <v>24179</v>
      </c>
      <c r="B24184" s="3" t="str">
        <f>"01068716"</f>
        <v>01068716</v>
      </c>
    </row>
    <row r="24185" spans="1:2" x14ac:dyDescent="0.25">
      <c r="A24185" s="2">
        <v>24180</v>
      </c>
      <c r="B24185" s="3" t="str">
        <f>"01068731"</f>
        <v>01068731</v>
      </c>
    </row>
    <row r="24186" spans="1:2" x14ac:dyDescent="0.25">
      <c r="A24186" s="2">
        <v>24181</v>
      </c>
      <c r="B24186" s="3" t="str">
        <f>"01068734"</f>
        <v>01068734</v>
      </c>
    </row>
    <row r="24187" spans="1:2" x14ac:dyDescent="0.25">
      <c r="A24187" s="2">
        <v>24182</v>
      </c>
      <c r="B24187" s="3" t="str">
        <f>"01068735"</f>
        <v>01068735</v>
      </c>
    </row>
    <row r="24188" spans="1:2" x14ac:dyDescent="0.25">
      <c r="A24188" s="2">
        <v>24183</v>
      </c>
      <c r="B24188" s="3" t="str">
        <f>"01068737"</f>
        <v>01068737</v>
      </c>
    </row>
    <row r="24189" spans="1:2" x14ac:dyDescent="0.25">
      <c r="A24189" s="2">
        <v>24184</v>
      </c>
      <c r="B24189" s="3" t="str">
        <f>"01068739"</f>
        <v>01068739</v>
      </c>
    </row>
    <row r="24190" spans="1:2" x14ac:dyDescent="0.25">
      <c r="A24190" s="2">
        <v>24185</v>
      </c>
      <c r="B24190" s="3" t="str">
        <f>"01068749"</f>
        <v>01068749</v>
      </c>
    </row>
    <row r="24191" spans="1:2" x14ac:dyDescent="0.25">
      <c r="A24191" s="2">
        <v>24186</v>
      </c>
      <c r="B24191" s="3" t="str">
        <f>"01068750"</f>
        <v>01068750</v>
      </c>
    </row>
    <row r="24192" spans="1:2" x14ac:dyDescent="0.25">
      <c r="A24192" s="2">
        <v>24187</v>
      </c>
      <c r="B24192" s="3" t="str">
        <f>"01068753"</f>
        <v>01068753</v>
      </c>
    </row>
    <row r="24193" spans="1:2" x14ac:dyDescent="0.25">
      <c r="A24193" s="2">
        <v>24188</v>
      </c>
      <c r="B24193" s="3" t="str">
        <f>"01068762"</f>
        <v>01068762</v>
      </c>
    </row>
    <row r="24194" spans="1:2" x14ac:dyDescent="0.25">
      <c r="A24194" s="2">
        <v>24189</v>
      </c>
      <c r="B24194" s="3" t="str">
        <f>"01068772"</f>
        <v>01068772</v>
      </c>
    </row>
    <row r="24195" spans="1:2" x14ac:dyDescent="0.25">
      <c r="A24195" s="2">
        <v>24190</v>
      </c>
      <c r="B24195" s="3" t="str">
        <f>"01068780"</f>
        <v>01068780</v>
      </c>
    </row>
    <row r="24196" spans="1:2" x14ac:dyDescent="0.25">
      <c r="A24196" s="2">
        <v>24191</v>
      </c>
      <c r="B24196" s="3" t="str">
        <f>"01068792"</f>
        <v>01068792</v>
      </c>
    </row>
    <row r="24197" spans="1:2" x14ac:dyDescent="0.25">
      <c r="A24197" s="2">
        <v>24192</v>
      </c>
      <c r="B24197" s="3" t="str">
        <f>"01068793"</f>
        <v>01068793</v>
      </c>
    </row>
    <row r="24198" spans="1:2" x14ac:dyDescent="0.25">
      <c r="A24198" s="2">
        <v>24193</v>
      </c>
      <c r="B24198" s="3" t="str">
        <f>"01068795"</f>
        <v>01068795</v>
      </c>
    </row>
    <row r="24199" spans="1:2" x14ac:dyDescent="0.25">
      <c r="A24199" s="2">
        <v>24194</v>
      </c>
      <c r="B24199" s="3" t="str">
        <f>"01068798"</f>
        <v>01068798</v>
      </c>
    </row>
    <row r="24200" spans="1:2" x14ac:dyDescent="0.25">
      <c r="A24200" s="2">
        <v>24195</v>
      </c>
      <c r="B24200" s="3" t="str">
        <f>"01068800"</f>
        <v>01068800</v>
      </c>
    </row>
    <row r="24201" spans="1:2" x14ac:dyDescent="0.25">
      <c r="A24201" s="2">
        <v>24196</v>
      </c>
      <c r="B24201" s="3" t="str">
        <f>"01068801"</f>
        <v>01068801</v>
      </c>
    </row>
    <row r="24202" spans="1:2" x14ac:dyDescent="0.25">
      <c r="A24202" s="2">
        <v>24197</v>
      </c>
      <c r="B24202" s="3" t="str">
        <f>"01068802"</f>
        <v>01068802</v>
      </c>
    </row>
    <row r="24203" spans="1:2" x14ac:dyDescent="0.25">
      <c r="A24203" s="2">
        <v>24198</v>
      </c>
      <c r="B24203" s="3" t="str">
        <f>"01068809"</f>
        <v>01068809</v>
      </c>
    </row>
    <row r="24204" spans="1:2" x14ac:dyDescent="0.25">
      <c r="A24204" s="2">
        <v>24199</v>
      </c>
      <c r="B24204" s="3" t="str">
        <f>"01068818"</f>
        <v>01068818</v>
      </c>
    </row>
    <row r="24205" spans="1:2" x14ac:dyDescent="0.25">
      <c r="A24205" s="2">
        <v>24200</v>
      </c>
      <c r="B24205" s="3" t="str">
        <f>"01068819"</f>
        <v>01068819</v>
      </c>
    </row>
    <row r="24206" spans="1:2" x14ac:dyDescent="0.25">
      <c r="A24206" s="2">
        <v>24201</v>
      </c>
      <c r="B24206" s="3" t="str">
        <f>"01068820"</f>
        <v>01068820</v>
      </c>
    </row>
    <row r="24207" spans="1:2" x14ac:dyDescent="0.25">
      <c r="A24207" s="2">
        <v>24202</v>
      </c>
      <c r="B24207" s="3" t="str">
        <f>"01068822"</f>
        <v>01068822</v>
      </c>
    </row>
    <row r="24208" spans="1:2" x14ac:dyDescent="0.25">
      <c r="A24208" s="2">
        <v>24203</v>
      </c>
      <c r="B24208" s="3" t="str">
        <f>"01068827"</f>
        <v>01068827</v>
      </c>
    </row>
    <row r="24209" spans="1:2" x14ac:dyDescent="0.25">
      <c r="A24209" s="2">
        <v>24204</v>
      </c>
      <c r="B24209" s="3" t="str">
        <f>"01068829"</f>
        <v>01068829</v>
      </c>
    </row>
    <row r="24210" spans="1:2" x14ac:dyDescent="0.25">
      <c r="A24210" s="2">
        <v>24205</v>
      </c>
      <c r="B24210" s="3" t="str">
        <f>"01068832"</f>
        <v>01068832</v>
      </c>
    </row>
    <row r="24211" spans="1:2" x14ac:dyDescent="0.25">
      <c r="A24211" s="2">
        <v>24206</v>
      </c>
      <c r="B24211" s="3" t="str">
        <f>"01068833"</f>
        <v>01068833</v>
      </c>
    </row>
    <row r="24212" spans="1:2" x14ac:dyDescent="0.25">
      <c r="A24212" s="2">
        <v>24207</v>
      </c>
      <c r="B24212" s="3" t="str">
        <f>"01068836"</f>
        <v>01068836</v>
      </c>
    </row>
    <row r="24213" spans="1:2" x14ac:dyDescent="0.25">
      <c r="A24213" s="2">
        <v>24208</v>
      </c>
      <c r="B24213" s="3" t="str">
        <f>"01068840"</f>
        <v>01068840</v>
      </c>
    </row>
    <row r="24214" spans="1:2" x14ac:dyDescent="0.25">
      <c r="A24214" s="2">
        <v>24209</v>
      </c>
      <c r="B24214" s="3" t="str">
        <f>"01068846"</f>
        <v>01068846</v>
      </c>
    </row>
    <row r="24215" spans="1:2" x14ac:dyDescent="0.25">
      <c r="A24215" s="2">
        <v>24210</v>
      </c>
      <c r="B24215" s="3" t="str">
        <f>"01068851"</f>
        <v>01068851</v>
      </c>
    </row>
    <row r="24216" spans="1:2" x14ac:dyDescent="0.25">
      <c r="A24216" s="2">
        <v>24211</v>
      </c>
      <c r="B24216" s="3" t="str">
        <f>"01068860"</f>
        <v>01068860</v>
      </c>
    </row>
    <row r="24217" spans="1:2" x14ac:dyDescent="0.25">
      <c r="A24217" s="2">
        <v>24212</v>
      </c>
      <c r="B24217" s="3" t="str">
        <f>"01068873"</f>
        <v>01068873</v>
      </c>
    </row>
    <row r="24218" spans="1:2" x14ac:dyDescent="0.25">
      <c r="A24218" s="2">
        <v>24213</v>
      </c>
      <c r="B24218" s="3" t="str">
        <f>"01068877"</f>
        <v>01068877</v>
      </c>
    </row>
    <row r="24219" spans="1:2" x14ac:dyDescent="0.25">
      <c r="A24219" s="2">
        <v>24214</v>
      </c>
      <c r="B24219" s="3" t="str">
        <f>"01068878"</f>
        <v>01068878</v>
      </c>
    </row>
    <row r="24220" spans="1:2" x14ac:dyDescent="0.25">
      <c r="A24220" s="2">
        <v>24215</v>
      </c>
      <c r="B24220" s="3" t="str">
        <f>"01068881"</f>
        <v>01068881</v>
      </c>
    </row>
    <row r="24221" spans="1:2" x14ac:dyDescent="0.25">
      <c r="A24221" s="2">
        <v>24216</v>
      </c>
      <c r="B24221" s="3" t="str">
        <f>"01068887"</f>
        <v>01068887</v>
      </c>
    </row>
    <row r="24222" spans="1:2" x14ac:dyDescent="0.25">
      <c r="A24222" s="2">
        <v>24217</v>
      </c>
      <c r="B24222" s="3" t="str">
        <f>"01068891"</f>
        <v>01068891</v>
      </c>
    </row>
    <row r="24223" spans="1:2" x14ac:dyDescent="0.25">
      <c r="A24223" s="2">
        <v>24218</v>
      </c>
      <c r="B24223" s="3" t="str">
        <f>"01068893"</f>
        <v>01068893</v>
      </c>
    </row>
    <row r="24224" spans="1:2" x14ac:dyDescent="0.25">
      <c r="A24224" s="2">
        <v>24219</v>
      </c>
      <c r="B24224" s="3" t="str">
        <f>"01068904"</f>
        <v>01068904</v>
      </c>
    </row>
    <row r="24225" spans="1:2" x14ac:dyDescent="0.25">
      <c r="A24225" s="2">
        <v>24220</v>
      </c>
      <c r="B24225" s="3" t="str">
        <f>"01068908"</f>
        <v>01068908</v>
      </c>
    </row>
    <row r="24226" spans="1:2" x14ac:dyDescent="0.25">
      <c r="A24226" s="2">
        <v>24221</v>
      </c>
      <c r="B24226" s="3" t="str">
        <f>"01068918"</f>
        <v>01068918</v>
      </c>
    </row>
    <row r="24227" spans="1:2" x14ac:dyDescent="0.25">
      <c r="A24227" s="2">
        <v>24222</v>
      </c>
      <c r="B24227" s="3" t="str">
        <f>"01068921"</f>
        <v>01068921</v>
      </c>
    </row>
    <row r="24228" spans="1:2" x14ac:dyDescent="0.25">
      <c r="A24228" s="2">
        <v>24223</v>
      </c>
      <c r="B24228" s="3" t="str">
        <f>"01068923"</f>
        <v>01068923</v>
      </c>
    </row>
    <row r="24229" spans="1:2" x14ac:dyDescent="0.25">
      <c r="A24229" s="2">
        <v>24224</v>
      </c>
      <c r="B24229" s="3" t="str">
        <f>"01068926"</f>
        <v>01068926</v>
      </c>
    </row>
    <row r="24230" spans="1:2" x14ac:dyDescent="0.25">
      <c r="A24230" s="2">
        <v>24225</v>
      </c>
      <c r="B24230" s="3" t="str">
        <f>"01068928"</f>
        <v>01068928</v>
      </c>
    </row>
    <row r="24231" spans="1:2" x14ac:dyDescent="0.25">
      <c r="A24231" s="2">
        <v>24226</v>
      </c>
      <c r="B24231" s="3" t="str">
        <f>"01068930"</f>
        <v>01068930</v>
      </c>
    </row>
    <row r="24232" spans="1:2" x14ac:dyDescent="0.25">
      <c r="A24232" s="2">
        <v>24227</v>
      </c>
      <c r="B24232" s="3" t="str">
        <f>"01068935"</f>
        <v>01068935</v>
      </c>
    </row>
    <row r="24233" spans="1:2" x14ac:dyDescent="0.25">
      <c r="A24233" s="2">
        <v>24228</v>
      </c>
      <c r="B24233" s="3" t="str">
        <f>"01068961"</f>
        <v>01068961</v>
      </c>
    </row>
    <row r="24234" spans="1:2" x14ac:dyDescent="0.25">
      <c r="A24234" s="2">
        <v>24229</v>
      </c>
      <c r="B24234" s="3" t="str">
        <f>"01068962"</f>
        <v>01068962</v>
      </c>
    </row>
    <row r="24235" spans="1:2" x14ac:dyDescent="0.25">
      <c r="A24235" s="2">
        <v>24230</v>
      </c>
      <c r="B24235" s="3" t="str">
        <f>"01068969"</f>
        <v>01068969</v>
      </c>
    </row>
    <row r="24236" spans="1:2" x14ac:dyDescent="0.25">
      <c r="A24236" s="2">
        <v>24231</v>
      </c>
      <c r="B24236" s="3" t="str">
        <f>"01068970"</f>
        <v>01068970</v>
      </c>
    </row>
    <row r="24237" spans="1:2" x14ac:dyDescent="0.25">
      <c r="A24237" s="2">
        <v>24232</v>
      </c>
      <c r="B24237" s="3" t="str">
        <f>"01068982"</f>
        <v>01068982</v>
      </c>
    </row>
    <row r="24238" spans="1:2" x14ac:dyDescent="0.25">
      <c r="A24238" s="2">
        <v>24233</v>
      </c>
      <c r="B24238" s="3" t="str">
        <f>"01068986"</f>
        <v>01068986</v>
      </c>
    </row>
    <row r="24239" spans="1:2" x14ac:dyDescent="0.25">
      <c r="A24239" s="2">
        <v>24234</v>
      </c>
      <c r="B24239" s="3" t="str">
        <f>"01068991"</f>
        <v>01068991</v>
      </c>
    </row>
    <row r="24240" spans="1:2" x14ac:dyDescent="0.25">
      <c r="A24240" s="2">
        <v>24235</v>
      </c>
      <c r="B24240" s="3" t="str">
        <f>"01068996"</f>
        <v>01068996</v>
      </c>
    </row>
    <row r="24241" spans="1:2" x14ac:dyDescent="0.25">
      <c r="A24241" s="2">
        <v>24236</v>
      </c>
      <c r="B24241" s="3" t="str">
        <f>"01068998"</f>
        <v>01068998</v>
      </c>
    </row>
    <row r="24242" spans="1:2" x14ac:dyDescent="0.25">
      <c r="A24242" s="2">
        <v>24237</v>
      </c>
      <c r="B24242" s="3" t="str">
        <f>"01069001"</f>
        <v>01069001</v>
      </c>
    </row>
    <row r="24243" spans="1:2" x14ac:dyDescent="0.25">
      <c r="A24243" s="2">
        <v>24238</v>
      </c>
      <c r="B24243" s="3" t="str">
        <f>"01069002"</f>
        <v>01069002</v>
      </c>
    </row>
    <row r="24244" spans="1:2" x14ac:dyDescent="0.25">
      <c r="A24244" s="2">
        <v>24239</v>
      </c>
      <c r="B24244" s="3" t="str">
        <f>"01069010"</f>
        <v>01069010</v>
      </c>
    </row>
    <row r="24245" spans="1:2" x14ac:dyDescent="0.25">
      <c r="A24245" s="2">
        <v>24240</v>
      </c>
      <c r="B24245" s="3" t="str">
        <f>"01069012"</f>
        <v>01069012</v>
      </c>
    </row>
    <row r="24246" spans="1:2" x14ac:dyDescent="0.25">
      <c r="A24246" s="2">
        <v>24241</v>
      </c>
      <c r="B24246" s="3" t="str">
        <f>"01069018"</f>
        <v>01069018</v>
      </c>
    </row>
    <row r="24247" spans="1:2" x14ac:dyDescent="0.25">
      <c r="A24247" s="2">
        <v>24242</v>
      </c>
      <c r="B24247" s="3" t="str">
        <f>"01069027"</f>
        <v>01069027</v>
      </c>
    </row>
    <row r="24248" spans="1:2" x14ac:dyDescent="0.25">
      <c r="A24248" s="2">
        <v>24243</v>
      </c>
      <c r="B24248" s="3" t="str">
        <f>"01069033"</f>
        <v>01069033</v>
      </c>
    </row>
    <row r="24249" spans="1:2" x14ac:dyDescent="0.25">
      <c r="A24249" s="2">
        <v>24244</v>
      </c>
      <c r="B24249" s="3" t="str">
        <f>"01069034"</f>
        <v>01069034</v>
      </c>
    </row>
    <row r="24250" spans="1:2" x14ac:dyDescent="0.25">
      <c r="A24250" s="2">
        <v>24245</v>
      </c>
      <c r="B24250" s="3" t="str">
        <f>"01069035"</f>
        <v>01069035</v>
      </c>
    </row>
    <row r="24251" spans="1:2" x14ac:dyDescent="0.25">
      <c r="A24251" s="2">
        <v>24246</v>
      </c>
      <c r="B24251" s="3" t="str">
        <f>"01069037"</f>
        <v>01069037</v>
      </c>
    </row>
    <row r="24252" spans="1:2" x14ac:dyDescent="0.25">
      <c r="A24252" s="2">
        <v>24247</v>
      </c>
      <c r="B24252" s="3" t="str">
        <f>"01069038"</f>
        <v>01069038</v>
      </c>
    </row>
    <row r="24253" spans="1:2" x14ac:dyDescent="0.25">
      <c r="A24253" s="2">
        <v>24248</v>
      </c>
      <c r="B24253" s="3" t="str">
        <f>"01069042"</f>
        <v>01069042</v>
      </c>
    </row>
    <row r="24254" spans="1:2" x14ac:dyDescent="0.25">
      <c r="A24254" s="2">
        <v>24249</v>
      </c>
      <c r="B24254" s="3" t="str">
        <f>"01069047"</f>
        <v>01069047</v>
      </c>
    </row>
    <row r="24255" spans="1:2" x14ac:dyDescent="0.25">
      <c r="A24255" s="2">
        <v>24250</v>
      </c>
      <c r="B24255" s="3" t="str">
        <f>"01069051"</f>
        <v>01069051</v>
      </c>
    </row>
    <row r="24256" spans="1:2" x14ac:dyDescent="0.25">
      <c r="A24256" s="2">
        <v>24251</v>
      </c>
      <c r="B24256" s="3" t="str">
        <f>"01069060"</f>
        <v>01069060</v>
      </c>
    </row>
    <row r="24257" spans="1:2" x14ac:dyDescent="0.25">
      <c r="A24257" s="2">
        <v>24252</v>
      </c>
      <c r="B24257" s="3" t="str">
        <f>"01069062"</f>
        <v>01069062</v>
      </c>
    </row>
    <row r="24258" spans="1:2" x14ac:dyDescent="0.25">
      <c r="A24258" s="2">
        <v>24253</v>
      </c>
      <c r="B24258" s="3" t="str">
        <f>"01069067"</f>
        <v>01069067</v>
      </c>
    </row>
    <row r="24259" spans="1:2" x14ac:dyDescent="0.25">
      <c r="A24259" s="2">
        <v>24254</v>
      </c>
      <c r="B24259" s="3" t="str">
        <f>"01069070"</f>
        <v>01069070</v>
      </c>
    </row>
    <row r="24260" spans="1:2" x14ac:dyDescent="0.25">
      <c r="A24260" s="2">
        <v>24255</v>
      </c>
      <c r="B24260" s="3" t="str">
        <f>"01069071"</f>
        <v>01069071</v>
      </c>
    </row>
    <row r="24261" spans="1:2" x14ac:dyDescent="0.25">
      <c r="A24261" s="2">
        <v>24256</v>
      </c>
      <c r="B24261" s="3" t="str">
        <f>"01069072"</f>
        <v>01069072</v>
      </c>
    </row>
    <row r="24262" spans="1:2" x14ac:dyDescent="0.25">
      <c r="A24262" s="2">
        <v>24257</v>
      </c>
      <c r="B24262" s="3" t="str">
        <f>"01069075"</f>
        <v>01069075</v>
      </c>
    </row>
    <row r="24263" spans="1:2" x14ac:dyDescent="0.25">
      <c r="A24263" s="2">
        <v>24258</v>
      </c>
      <c r="B24263" s="3" t="str">
        <f>"01069080"</f>
        <v>01069080</v>
      </c>
    </row>
    <row r="24264" spans="1:2" x14ac:dyDescent="0.25">
      <c r="A24264" s="2">
        <v>24259</v>
      </c>
      <c r="B24264" s="3" t="str">
        <f>"01069083"</f>
        <v>01069083</v>
      </c>
    </row>
    <row r="24265" spans="1:2" x14ac:dyDescent="0.25">
      <c r="A24265" s="2">
        <v>24260</v>
      </c>
      <c r="B24265" s="3" t="str">
        <f>"01069085"</f>
        <v>01069085</v>
      </c>
    </row>
    <row r="24266" spans="1:2" x14ac:dyDescent="0.25">
      <c r="A24266" s="2">
        <v>24261</v>
      </c>
      <c r="B24266" s="3" t="str">
        <f>"01069087"</f>
        <v>01069087</v>
      </c>
    </row>
    <row r="24267" spans="1:2" x14ac:dyDescent="0.25">
      <c r="A24267" s="2">
        <v>24262</v>
      </c>
      <c r="B24267" s="3" t="str">
        <f>"01069090"</f>
        <v>01069090</v>
      </c>
    </row>
    <row r="24268" spans="1:2" x14ac:dyDescent="0.25">
      <c r="A24268" s="2">
        <v>24263</v>
      </c>
      <c r="B24268" s="3" t="str">
        <f>"01069093"</f>
        <v>01069093</v>
      </c>
    </row>
    <row r="24269" spans="1:2" x14ac:dyDescent="0.25">
      <c r="A24269" s="2">
        <v>24264</v>
      </c>
      <c r="B24269" s="3" t="str">
        <f>"01069096"</f>
        <v>01069096</v>
      </c>
    </row>
    <row r="24270" spans="1:2" x14ac:dyDescent="0.25">
      <c r="A24270" s="2">
        <v>24265</v>
      </c>
      <c r="B24270" s="3" t="str">
        <f>"01069101"</f>
        <v>01069101</v>
      </c>
    </row>
    <row r="24271" spans="1:2" x14ac:dyDescent="0.25">
      <c r="A24271" s="2">
        <v>24266</v>
      </c>
      <c r="B24271" s="3" t="str">
        <f>"01069103"</f>
        <v>01069103</v>
      </c>
    </row>
    <row r="24272" spans="1:2" x14ac:dyDescent="0.25">
      <c r="A24272" s="2">
        <v>24267</v>
      </c>
      <c r="B24272" s="3" t="str">
        <f>"01069104"</f>
        <v>01069104</v>
      </c>
    </row>
    <row r="24273" spans="1:2" x14ac:dyDescent="0.25">
      <c r="A24273" s="2">
        <v>24268</v>
      </c>
      <c r="B24273" s="3" t="str">
        <f>"01069105"</f>
        <v>01069105</v>
      </c>
    </row>
    <row r="24274" spans="1:2" x14ac:dyDescent="0.25">
      <c r="A24274" s="2">
        <v>24269</v>
      </c>
      <c r="B24274" s="3" t="str">
        <f>"01069108"</f>
        <v>01069108</v>
      </c>
    </row>
    <row r="24275" spans="1:2" x14ac:dyDescent="0.25">
      <c r="A24275" s="2">
        <v>24270</v>
      </c>
      <c r="B24275" s="3" t="str">
        <f>"01069109"</f>
        <v>01069109</v>
      </c>
    </row>
    <row r="24276" spans="1:2" x14ac:dyDescent="0.25">
      <c r="A24276" s="2">
        <v>24271</v>
      </c>
      <c r="B24276" s="3" t="str">
        <f>"01069113"</f>
        <v>01069113</v>
      </c>
    </row>
    <row r="24277" spans="1:2" x14ac:dyDescent="0.25">
      <c r="A24277" s="2">
        <v>24272</v>
      </c>
      <c r="B24277" s="3" t="str">
        <f>"01069128"</f>
        <v>01069128</v>
      </c>
    </row>
    <row r="24278" spans="1:2" x14ac:dyDescent="0.25">
      <c r="A24278" s="2">
        <v>24273</v>
      </c>
      <c r="B24278" s="3" t="str">
        <f>"01069131"</f>
        <v>01069131</v>
      </c>
    </row>
    <row r="24279" spans="1:2" x14ac:dyDescent="0.25">
      <c r="A24279" s="2">
        <v>24274</v>
      </c>
      <c r="B24279" s="3" t="str">
        <f>"01069135"</f>
        <v>01069135</v>
      </c>
    </row>
    <row r="24280" spans="1:2" x14ac:dyDescent="0.25">
      <c r="A24280" s="2">
        <v>24275</v>
      </c>
      <c r="B24280" s="3" t="str">
        <f>"01069137"</f>
        <v>01069137</v>
      </c>
    </row>
    <row r="24281" spans="1:2" x14ac:dyDescent="0.25">
      <c r="A24281" s="2">
        <v>24276</v>
      </c>
      <c r="B24281" s="3" t="str">
        <f>"01069144"</f>
        <v>01069144</v>
      </c>
    </row>
    <row r="24282" spans="1:2" x14ac:dyDescent="0.25">
      <c r="A24282" s="2">
        <v>24277</v>
      </c>
      <c r="B24282" s="3" t="str">
        <f>"01069151"</f>
        <v>01069151</v>
      </c>
    </row>
    <row r="24283" spans="1:2" x14ac:dyDescent="0.25">
      <c r="A24283" s="2">
        <v>24278</v>
      </c>
      <c r="B24283" s="3" t="str">
        <f>"01069152"</f>
        <v>01069152</v>
      </c>
    </row>
    <row r="24284" spans="1:2" x14ac:dyDescent="0.25">
      <c r="A24284" s="2">
        <v>24279</v>
      </c>
      <c r="B24284" s="3" t="str">
        <f>"01069158"</f>
        <v>01069158</v>
      </c>
    </row>
    <row r="24285" spans="1:2" x14ac:dyDescent="0.25">
      <c r="A24285" s="2">
        <v>24280</v>
      </c>
      <c r="B24285" s="3" t="str">
        <f>"01069161"</f>
        <v>01069161</v>
      </c>
    </row>
    <row r="24286" spans="1:2" x14ac:dyDescent="0.25">
      <c r="A24286" s="2">
        <v>24281</v>
      </c>
      <c r="B24286" s="3" t="str">
        <f>"01069165"</f>
        <v>01069165</v>
      </c>
    </row>
    <row r="24287" spans="1:2" x14ac:dyDescent="0.25">
      <c r="A24287" s="2">
        <v>24282</v>
      </c>
      <c r="B24287" s="3" t="str">
        <f>"01069168"</f>
        <v>01069168</v>
      </c>
    </row>
    <row r="24288" spans="1:2" x14ac:dyDescent="0.25">
      <c r="A24288" s="2">
        <v>24283</v>
      </c>
      <c r="B24288" s="3" t="str">
        <f>"01069172"</f>
        <v>01069172</v>
      </c>
    </row>
    <row r="24289" spans="1:2" x14ac:dyDescent="0.25">
      <c r="A24289" s="2">
        <v>24284</v>
      </c>
      <c r="B24289" s="3" t="str">
        <f>"01069176"</f>
        <v>01069176</v>
      </c>
    </row>
    <row r="24290" spans="1:2" x14ac:dyDescent="0.25">
      <c r="A24290" s="2">
        <v>24285</v>
      </c>
      <c r="B24290" s="3" t="str">
        <f>"01069181"</f>
        <v>01069181</v>
      </c>
    </row>
    <row r="24291" spans="1:2" x14ac:dyDescent="0.25">
      <c r="A24291" s="2">
        <v>24286</v>
      </c>
      <c r="B24291" s="3" t="str">
        <f>"01069192"</f>
        <v>01069192</v>
      </c>
    </row>
    <row r="24292" spans="1:2" x14ac:dyDescent="0.25">
      <c r="A24292" s="2">
        <v>24287</v>
      </c>
      <c r="B24292" s="3" t="str">
        <f>"01069193"</f>
        <v>01069193</v>
      </c>
    </row>
    <row r="24293" spans="1:2" x14ac:dyDescent="0.25">
      <c r="A24293" s="2">
        <v>24288</v>
      </c>
      <c r="B24293" s="3" t="str">
        <f>"01069215"</f>
        <v>01069215</v>
      </c>
    </row>
    <row r="24294" spans="1:2" x14ac:dyDescent="0.25">
      <c r="A24294" s="2">
        <v>24289</v>
      </c>
      <c r="B24294" s="3" t="str">
        <f>"01069220"</f>
        <v>01069220</v>
      </c>
    </row>
    <row r="24295" spans="1:2" x14ac:dyDescent="0.25">
      <c r="A24295" s="2">
        <v>24290</v>
      </c>
      <c r="B24295" s="3" t="str">
        <f>"01069223"</f>
        <v>01069223</v>
      </c>
    </row>
    <row r="24296" spans="1:2" x14ac:dyDescent="0.25">
      <c r="A24296" s="2">
        <v>24291</v>
      </c>
      <c r="B24296" s="3" t="str">
        <f>"01069226"</f>
        <v>01069226</v>
      </c>
    </row>
    <row r="24297" spans="1:2" x14ac:dyDescent="0.25">
      <c r="A24297" s="2">
        <v>24292</v>
      </c>
      <c r="B24297" s="3" t="str">
        <f>"01069236"</f>
        <v>01069236</v>
      </c>
    </row>
    <row r="24298" spans="1:2" x14ac:dyDescent="0.25">
      <c r="A24298" s="2">
        <v>24293</v>
      </c>
      <c r="B24298" s="3" t="str">
        <f>"01069251"</f>
        <v>01069251</v>
      </c>
    </row>
    <row r="24299" spans="1:2" x14ac:dyDescent="0.25">
      <c r="A24299" s="2">
        <v>24294</v>
      </c>
      <c r="B24299" s="3" t="str">
        <f>"01069258"</f>
        <v>01069258</v>
      </c>
    </row>
    <row r="24300" spans="1:2" x14ac:dyDescent="0.25">
      <c r="A24300" s="2">
        <v>24295</v>
      </c>
      <c r="B24300" s="3" t="str">
        <f>"01069264"</f>
        <v>01069264</v>
      </c>
    </row>
    <row r="24301" spans="1:2" x14ac:dyDescent="0.25">
      <c r="A24301" s="2">
        <v>24296</v>
      </c>
      <c r="B24301" s="3" t="str">
        <f>"01069267"</f>
        <v>01069267</v>
      </c>
    </row>
    <row r="24302" spans="1:2" x14ac:dyDescent="0.25">
      <c r="A24302" s="2">
        <v>24297</v>
      </c>
      <c r="B24302" s="3" t="str">
        <f>"01069273"</f>
        <v>01069273</v>
      </c>
    </row>
    <row r="24303" spans="1:2" x14ac:dyDescent="0.25">
      <c r="A24303" s="2">
        <v>24298</v>
      </c>
      <c r="B24303" s="3" t="str">
        <f>"01069284"</f>
        <v>01069284</v>
      </c>
    </row>
    <row r="24304" spans="1:2" x14ac:dyDescent="0.25">
      <c r="A24304" s="2">
        <v>24299</v>
      </c>
      <c r="B24304" s="3" t="str">
        <f>"01069294"</f>
        <v>01069294</v>
      </c>
    </row>
    <row r="24305" spans="1:2" x14ac:dyDescent="0.25">
      <c r="A24305" s="2">
        <v>24300</v>
      </c>
      <c r="B24305" s="3" t="str">
        <f>"01069303"</f>
        <v>01069303</v>
      </c>
    </row>
    <row r="24306" spans="1:2" x14ac:dyDescent="0.25">
      <c r="A24306" s="2">
        <v>24301</v>
      </c>
      <c r="B24306" s="3" t="str">
        <f>"01069307"</f>
        <v>01069307</v>
      </c>
    </row>
    <row r="24307" spans="1:2" x14ac:dyDescent="0.25">
      <c r="A24307" s="2">
        <v>24302</v>
      </c>
      <c r="B24307" s="3" t="str">
        <f>"01069309"</f>
        <v>01069309</v>
      </c>
    </row>
    <row r="24308" spans="1:2" x14ac:dyDescent="0.25">
      <c r="A24308" s="2">
        <v>24303</v>
      </c>
      <c r="B24308" s="3" t="str">
        <f>"01069310"</f>
        <v>01069310</v>
      </c>
    </row>
    <row r="24309" spans="1:2" x14ac:dyDescent="0.25">
      <c r="A24309" s="2">
        <v>24304</v>
      </c>
      <c r="B24309" s="3" t="str">
        <f>"01069320"</f>
        <v>01069320</v>
      </c>
    </row>
    <row r="24310" spans="1:2" x14ac:dyDescent="0.25">
      <c r="A24310" s="2">
        <v>24305</v>
      </c>
      <c r="B24310" s="3" t="str">
        <f>"01069321"</f>
        <v>01069321</v>
      </c>
    </row>
    <row r="24311" spans="1:2" x14ac:dyDescent="0.25">
      <c r="A24311" s="2">
        <v>24306</v>
      </c>
      <c r="B24311" s="3" t="str">
        <f>"01069322"</f>
        <v>01069322</v>
      </c>
    </row>
    <row r="24312" spans="1:2" x14ac:dyDescent="0.25">
      <c r="A24312" s="2">
        <v>24307</v>
      </c>
      <c r="B24312" s="3" t="str">
        <f>"01069324"</f>
        <v>01069324</v>
      </c>
    </row>
    <row r="24313" spans="1:2" x14ac:dyDescent="0.25">
      <c r="A24313" s="2">
        <v>24308</v>
      </c>
      <c r="B24313" s="3" t="str">
        <f>"01069328"</f>
        <v>01069328</v>
      </c>
    </row>
    <row r="24314" spans="1:2" x14ac:dyDescent="0.25">
      <c r="A24314" s="2">
        <v>24309</v>
      </c>
      <c r="B24314" s="3" t="str">
        <f>"01069334"</f>
        <v>01069334</v>
      </c>
    </row>
    <row r="24315" spans="1:2" x14ac:dyDescent="0.25">
      <c r="A24315" s="2">
        <v>24310</v>
      </c>
      <c r="B24315" s="3" t="str">
        <f>"01069338"</f>
        <v>01069338</v>
      </c>
    </row>
    <row r="24316" spans="1:2" x14ac:dyDescent="0.25">
      <c r="A24316" s="2">
        <v>24311</v>
      </c>
      <c r="B24316" s="3" t="str">
        <f>"01069353"</f>
        <v>01069353</v>
      </c>
    </row>
    <row r="24317" spans="1:2" x14ac:dyDescent="0.25">
      <c r="A24317" s="2">
        <v>24312</v>
      </c>
      <c r="B24317" s="3" t="str">
        <f>"01069359"</f>
        <v>01069359</v>
      </c>
    </row>
    <row r="24318" spans="1:2" x14ac:dyDescent="0.25">
      <c r="A24318" s="2">
        <v>24313</v>
      </c>
      <c r="B24318" s="3" t="str">
        <f>"01069364"</f>
        <v>01069364</v>
      </c>
    </row>
    <row r="24319" spans="1:2" x14ac:dyDescent="0.25">
      <c r="A24319" s="2">
        <v>24314</v>
      </c>
      <c r="B24319" s="3" t="str">
        <f>"01069370"</f>
        <v>01069370</v>
      </c>
    </row>
    <row r="24320" spans="1:2" x14ac:dyDescent="0.25">
      <c r="A24320" s="2">
        <v>24315</v>
      </c>
      <c r="B24320" s="3" t="str">
        <f>"01069372"</f>
        <v>01069372</v>
      </c>
    </row>
    <row r="24321" spans="1:2" x14ac:dyDescent="0.25">
      <c r="A24321" s="2">
        <v>24316</v>
      </c>
      <c r="B24321" s="3" t="str">
        <f>"01069373"</f>
        <v>01069373</v>
      </c>
    </row>
    <row r="24322" spans="1:2" x14ac:dyDescent="0.25">
      <c r="A24322" s="2">
        <v>24317</v>
      </c>
      <c r="B24322" s="3" t="str">
        <f>"01069388"</f>
        <v>01069388</v>
      </c>
    </row>
    <row r="24323" spans="1:2" x14ac:dyDescent="0.25">
      <c r="A24323" s="2">
        <v>24318</v>
      </c>
      <c r="B24323" s="3" t="str">
        <f>"01069400"</f>
        <v>01069400</v>
      </c>
    </row>
    <row r="24324" spans="1:2" x14ac:dyDescent="0.25">
      <c r="A24324" s="2">
        <v>24319</v>
      </c>
      <c r="B24324" s="3" t="str">
        <f>"01069409"</f>
        <v>01069409</v>
      </c>
    </row>
    <row r="24325" spans="1:2" x14ac:dyDescent="0.25">
      <c r="A24325" s="2">
        <v>24320</v>
      </c>
      <c r="B24325" s="3" t="str">
        <f>"01069413"</f>
        <v>01069413</v>
      </c>
    </row>
    <row r="24326" spans="1:2" x14ac:dyDescent="0.25">
      <c r="A24326" s="2">
        <v>24321</v>
      </c>
      <c r="B24326" s="3" t="str">
        <f>"01069414"</f>
        <v>01069414</v>
      </c>
    </row>
    <row r="24327" spans="1:2" x14ac:dyDescent="0.25">
      <c r="A24327" s="2">
        <v>24322</v>
      </c>
      <c r="B24327" s="3" t="str">
        <f>"01069417"</f>
        <v>01069417</v>
      </c>
    </row>
    <row r="24328" spans="1:2" x14ac:dyDescent="0.25">
      <c r="A24328" s="2">
        <v>24323</v>
      </c>
      <c r="B24328" s="3" t="str">
        <f>"01069423"</f>
        <v>01069423</v>
      </c>
    </row>
    <row r="24329" spans="1:2" x14ac:dyDescent="0.25">
      <c r="A24329" s="2">
        <v>24324</v>
      </c>
      <c r="B24329" s="3" t="str">
        <f>"01069425"</f>
        <v>01069425</v>
      </c>
    </row>
    <row r="24330" spans="1:2" x14ac:dyDescent="0.25">
      <c r="A24330" s="2">
        <v>24325</v>
      </c>
      <c r="B24330" s="3" t="str">
        <f>"01069429"</f>
        <v>01069429</v>
      </c>
    </row>
    <row r="24331" spans="1:2" x14ac:dyDescent="0.25">
      <c r="A24331" s="2">
        <v>24326</v>
      </c>
      <c r="B24331" s="3" t="str">
        <f>"01069430"</f>
        <v>01069430</v>
      </c>
    </row>
    <row r="24332" spans="1:2" x14ac:dyDescent="0.25">
      <c r="A24332" s="2">
        <v>24327</v>
      </c>
      <c r="B24332" s="3" t="str">
        <f>"01069437"</f>
        <v>01069437</v>
      </c>
    </row>
    <row r="24333" spans="1:2" x14ac:dyDescent="0.25">
      <c r="A24333" s="2">
        <v>24328</v>
      </c>
      <c r="B24333" s="3" t="str">
        <f>"01069438"</f>
        <v>01069438</v>
      </c>
    </row>
    <row r="24334" spans="1:2" x14ac:dyDescent="0.25">
      <c r="A24334" s="2">
        <v>24329</v>
      </c>
      <c r="B24334" s="3" t="str">
        <f>"01069443"</f>
        <v>01069443</v>
      </c>
    </row>
    <row r="24335" spans="1:2" x14ac:dyDescent="0.25">
      <c r="A24335" s="2">
        <v>24330</v>
      </c>
      <c r="B24335" s="3" t="str">
        <f>"01069460"</f>
        <v>01069460</v>
      </c>
    </row>
    <row r="24336" spans="1:2" x14ac:dyDescent="0.25">
      <c r="A24336" s="2">
        <v>24331</v>
      </c>
      <c r="B24336" s="3" t="str">
        <f>"01069465"</f>
        <v>01069465</v>
      </c>
    </row>
    <row r="24337" spans="1:2" x14ac:dyDescent="0.25">
      <c r="A24337" s="2">
        <v>24332</v>
      </c>
      <c r="B24337" s="3" t="str">
        <f>"01069467"</f>
        <v>01069467</v>
      </c>
    </row>
    <row r="24338" spans="1:2" x14ac:dyDescent="0.25">
      <c r="A24338" s="2">
        <v>24333</v>
      </c>
      <c r="B24338" s="3" t="str">
        <f>"01069468"</f>
        <v>01069468</v>
      </c>
    </row>
    <row r="24339" spans="1:2" x14ac:dyDescent="0.25">
      <c r="A24339" s="2">
        <v>24334</v>
      </c>
      <c r="B24339" s="3" t="str">
        <f>"01069472"</f>
        <v>01069472</v>
      </c>
    </row>
    <row r="24340" spans="1:2" x14ac:dyDescent="0.25">
      <c r="A24340" s="2">
        <v>24335</v>
      </c>
      <c r="B24340" s="3" t="str">
        <f>"01069473"</f>
        <v>01069473</v>
      </c>
    </row>
    <row r="24341" spans="1:2" x14ac:dyDescent="0.25">
      <c r="A24341" s="2">
        <v>24336</v>
      </c>
      <c r="B24341" s="3" t="str">
        <f>"01069477"</f>
        <v>01069477</v>
      </c>
    </row>
    <row r="24342" spans="1:2" x14ac:dyDescent="0.25">
      <c r="A24342" s="2">
        <v>24337</v>
      </c>
      <c r="B24342" s="3" t="str">
        <f>"01069484"</f>
        <v>01069484</v>
      </c>
    </row>
    <row r="24343" spans="1:2" x14ac:dyDescent="0.25">
      <c r="A24343" s="2">
        <v>24338</v>
      </c>
      <c r="B24343" s="3" t="str">
        <f>"01069487"</f>
        <v>01069487</v>
      </c>
    </row>
    <row r="24344" spans="1:2" x14ac:dyDescent="0.25">
      <c r="A24344" s="2">
        <v>24339</v>
      </c>
      <c r="B24344" s="3" t="str">
        <f>"01069488"</f>
        <v>01069488</v>
      </c>
    </row>
    <row r="24345" spans="1:2" x14ac:dyDescent="0.25">
      <c r="A24345" s="2">
        <v>24340</v>
      </c>
      <c r="B24345" s="3" t="str">
        <f>"01069489"</f>
        <v>01069489</v>
      </c>
    </row>
    <row r="24346" spans="1:2" x14ac:dyDescent="0.25">
      <c r="A24346" s="2">
        <v>24341</v>
      </c>
      <c r="B24346" s="3" t="str">
        <f>"01069490"</f>
        <v>01069490</v>
      </c>
    </row>
    <row r="24347" spans="1:2" x14ac:dyDescent="0.25">
      <c r="A24347" s="2">
        <v>24342</v>
      </c>
      <c r="B24347" s="3" t="str">
        <f>"01069491"</f>
        <v>01069491</v>
      </c>
    </row>
    <row r="24348" spans="1:2" x14ac:dyDescent="0.25">
      <c r="A24348" s="2">
        <v>24343</v>
      </c>
      <c r="B24348" s="3" t="str">
        <f>"01069499"</f>
        <v>01069499</v>
      </c>
    </row>
    <row r="24349" spans="1:2" x14ac:dyDescent="0.25">
      <c r="A24349" s="2">
        <v>24344</v>
      </c>
      <c r="B24349" s="3" t="str">
        <f>"01069500"</f>
        <v>01069500</v>
      </c>
    </row>
    <row r="24350" spans="1:2" x14ac:dyDescent="0.25">
      <c r="A24350" s="2">
        <v>24345</v>
      </c>
      <c r="B24350" s="3" t="str">
        <f>"01069501"</f>
        <v>01069501</v>
      </c>
    </row>
    <row r="24351" spans="1:2" x14ac:dyDescent="0.25">
      <c r="A24351" s="2">
        <v>24346</v>
      </c>
      <c r="B24351" s="3" t="str">
        <f>"01069506"</f>
        <v>01069506</v>
      </c>
    </row>
    <row r="24352" spans="1:2" x14ac:dyDescent="0.25">
      <c r="A24352" s="2">
        <v>24347</v>
      </c>
      <c r="B24352" s="3" t="str">
        <f>"01069508"</f>
        <v>01069508</v>
      </c>
    </row>
    <row r="24353" spans="1:2" x14ac:dyDescent="0.25">
      <c r="A24353" s="2">
        <v>24348</v>
      </c>
      <c r="B24353" s="3" t="str">
        <f>"01069512"</f>
        <v>01069512</v>
      </c>
    </row>
    <row r="24354" spans="1:2" x14ac:dyDescent="0.25">
      <c r="A24354" s="2">
        <v>24349</v>
      </c>
      <c r="B24354" s="3" t="str">
        <f>"01069516"</f>
        <v>01069516</v>
      </c>
    </row>
    <row r="24355" spans="1:2" x14ac:dyDescent="0.25">
      <c r="A24355" s="2">
        <v>24350</v>
      </c>
      <c r="B24355" s="3" t="str">
        <f>"01069517"</f>
        <v>01069517</v>
      </c>
    </row>
    <row r="24356" spans="1:2" x14ac:dyDescent="0.25">
      <c r="A24356" s="2">
        <v>24351</v>
      </c>
      <c r="B24356" s="3" t="str">
        <f>"01069522"</f>
        <v>01069522</v>
      </c>
    </row>
    <row r="24357" spans="1:2" x14ac:dyDescent="0.25">
      <c r="A24357" s="2">
        <v>24352</v>
      </c>
      <c r="B24357" s="3" t="str">
        <f>"01069525"</f>
        <v>01069525</v>
      </c>
    </row>
    <row r="24358" spans="1:2" x14ac:dyDescent="0.25">
      <c r="A24358" s="2">
        <v>24353</v>
      </c>
      <c r="B24358" s="3" t="str">
        <f>"01069526"</f>
        <v>01069526</v>
      </c>
    </row>
    <row r="24359" spans="1:2" x14ac:dyDescent="0.25">
      <c r="A24359" s="2">
        <v>24354</v>
      </c>
      <c r="B24359" s="3" t="str">
        <f>"01069546"</f>
        <v>01069546</v>
      </c>
    </row>
    <row r="24360" spans="1:2" x14ac:dyDescent="0.25">
      <c r="A24360" s="2">
        <v>24355</v>
      </c>
      <c r="B24360" s="3" t="str">
        <f>"01069555"</f>
        <v>01069555</v>
      </c>
    </row>
    <row r="24361" spans="1:2" x14ac:dyDescent="0.25">
      <c r="A24361" s="2">
        <v>24356</v>
      </c>
      <c r="B24361" s="3" t="str">
        <f>"01069556"</f>
        <v>01069556</v>
      </c>
    </row>
    <row r="24362" spans="1:2" x14ac:dyDescent="0.25">
      <c r="A24362" s="2">
        <v>24357</v>
      </c>
      <c r="B24362" s="3" t="str">
        <f>"01069561"</f>
        <v>01069561</v>
      </c>
    </row>
    <row r="24363" spans="1:2" x14ac:dyDescent="0.25">
      <c r="A24363" s="2">
        <v>24358</v>
      </c>
      <c r="B24363" s="3" t="str">
        <f>"01069564"</f>
        <v>01069564</v>
      </c>
    </row>
    <row r="24364" spans="1:2" x14ac:dyDescent="0.25">
      <c r="A24364" s="2">
        <v>24359</v>
      </c>
      <c r="B24364" s="3" t="str">
        <f>"01069567"</f>
        <v>01069567</v>
      </c>
    </row>
    <row r="24365" spans="1:2" x14ac:dyDescent="0.25">
      <c r="A24365" s="2">
        <v>24360</v>
      </c>
      <c r="B24365" s="3" t="str">
        <f>"01069569"</f>
        <v>01069569</v>
      </c>
    </row>
    <row r="24366" spans="1:2" x14ac:dyDescent="0.25">
      <c r="A24366" s="2">
        <v>24361</v>
      </c>
      <c r="B24366" s="3" t="str">
        <f>"01069574"</f>
        <v>01069574</v>
      </c>
    </row>
    <row r="24367" spans="1:2" x14ac:dyDescent="0.25">
      <c r="A24367" s="2">
        <v>24362</v>
      </c>
      <c r="B24367" s="3" t="str">
        <f>"01069580"</f>
        <v>01069580</v>
      </c>
    </row>
    <row r="24368" spans="1:2" x14ac:dyDescent="0.25">
      <c r="A24368" s="2">
        <v>24363</v>
      </c>
      <c r="B24368" s="3" t="str">
        <f>"01069585"</f>
        <v>01069585</v>
      </c>
    </row>
    <row r="24369" spans="1:2" x14ac:dyDescent="0.25">
      <c r="A24369" s="2">
        <v>24364</v>
      </c>
      <c r="B24369" s="3" t="str">
        <f>"01069586"</f>
        <v>01069586</v>
      </c>
    </row>
    <row r="24370" spans="1:2" x14ac:dyDescent="0.25">
      <c r="A24370" s="2">
        <v>24365</v>
      </c>
      <c r="B24370" s="3" t="str">
        <f>"01069589"</f>
        <v>01069589</v>
      </c>
    </row>
    <row r="24371" spans="1:2" x14ac:dyDescent="0.25">
      <c r="A24371" s="2">
        <v>24366</v>
      </c>
      <c r="B24371" s="3" t="str">
        <f>"01069595"</f>
        <v>01069595</v>
      </c>
    </row>
    <row r="24372" spans="1:2" x14ac:dyDescent="0.25">
      <c r="A24372" s="2">
        <v>24367</v>
      </c>
      <c r="B24372" s="3" t="str">
        <f>"01069603"</f>
        <v>01069603</v>
      </c>
    </row>
    <row r="24373" spans="1:2" x14ac:dyDescent="0.25">
      <c r="A24373" s="2">
        <v>24368</v>
      </c>
      <c r="B24373" s="3" t="str">
        <f>"01069605"</f>
        <v>01069605</v>
      </c>
    </row>
    <row r="24374" spans="1:2" x14ac:dyDescent="0.25">
      <c r="A24374" s="2">
        <v>24369</v>
      </c>
      <c r="B24374" s="3" t="str">
        <f>"01069608"</f>
        <v>01069608</v>
      </c>
    </row>
    <row r="24375" spans="1:2" x14ac:dyDescent="0.25">
      <c r="A24375" s="2">
        <v>24370</v>
      </c>
      <c r="B24375" s="3" t="str">
        <f>"01069632"</f>
        <v>01069632</v>
      </c>
    </row>
    <row r="24376" spans="1:2" x14ac:dyDescent="0.25">
      <c r="A24376" s="2">
        <v>24371</v>
      </c>
      <c r="B24376" s="3" t="str">
        <f>"01069637"</f>
        <v>01069637</v>
      </c>
    </row>
    <row r="24377" spans="1:2" x14ac:dyDescent="0.25">
      <c r="A24377" s="2">
        <v>24372</v>
      </c>
      <c r="B24377" s="3" t="str">
        <f>"01069641"</f>
        <v>01069641</v>
      </c>
    </row>
    <row r="24378" spans="1:2" x14ac:dyDescent="0.25">
      <c r="A24378" s="2">
        <v>24373</v>
      </c>
      <c r="B24378" s="3" t="str">
        <f>"01069644"</f>
        <v>01069644</v>
      </c>
    </row>
    <row r="24379" spans="1:2" x14ac:dyDescent="0.25">
      <c r="A24379" s="2">
        <v>24374</v>
      </c>
      <c r="B24379" s="3" t="str">
        <f>"01069647"</f>
        <v>01069647</v>
      </c>
    </row>
    <row r="24380" spans="1:2" x14ac:dyDescent="0.25">
      <c r="A24380" s="2">
        <v>24375</v>
      </c>
      <c r="B24380" s="3" t="str">
        <f>"01069658"</f>
        <v>01069658</v>
      </c>
    </row>
    <row r="24381" spans="1:2" x14ac:dyDescent="0.25">
      <c r="A24381" s="2">
        <v>24376</v>
      </c>
      <c r="B24381" s="3" t="str">
        <f>"01069666"</f>
        <v>01069666</v>
      </c>
    </row>
    <row r="24382" spans="1:2" x14ac:dyDescent="0.25">
      <c r="A24382" s="2">
        <v>24377</v>
      </c>
      <c r="B24382" s="3" t="str">
        <f>"01069673"</f>
        <v>01069673</v>
      </c>
    </row>
    <row r="24383" spans="1:2" x14ac:dyDescent="0.25">
      <c r="A24383" s="2">
        <v>24378</v>
      </c>
      <c r="B24383" s="3" t="str">
        <f>"01069676"</f>
        <v>01069676</v>
      </c>
    </row>
    <row r="24384" spans="1:2" x14ac:dyDescent="0.25">
      <c r="A24384" s="2">
        <v>24379</v>
      </c>
      <c r="B24384" s="3" t="str">
        <f>"01069682"</f>
        <v>01069682</v>
      </c>
    </row>
    <row r="24385" spans="1:2" x14ac:dyDescent="0.25">
      <c r="A24385" s="2">
        <v>24380</v>
      </c>
      <c r="B24385" s="3" t="str">
        <f>"01069685"</f>
        <v>01069685</v>
      </c>
    </row>
    <row r="24386" spans="1:2" x14ac:dyDescent="0.25">
      <c r="A24386" s="2">
        <v>24381</v>
      </c>
      <c r="B24386" s="3" t="str">
        <f>"01069689"</f>
        <v>01069689</v>
      </c>
    </row>
    <row r="24387" spans="1:2" x14ac:dyDescent="0.25">
      <c r="A24387" s="2">
        <v>24382</v>
      </c>
      <c r="B24387" s="3" t="str">
        <f>"01069694"</f>
        <v>01069694</v>
      </c>
    </row>
    <row r="24388" spans="1:2" x14ac:dyDescent="0.25">
      <c r="A24388" s="2">
        <v>24383</v>
      </c>
      <c r="B24388" s="3" t="str">
        <f>"01069695"</f>
        <v>01069695</v>
      </c>
    </row>
    <row r="24389" spans="1:2" x14ac:dyDescent="0.25">
      <c r="A24389" s="2">
        <v>24384</v>
      </c>
      <c r="B24389" s="3" t="str">
        <f>"01069708"</f>
        <v>01069708</v>
      </c>
    </row>
    <row r="24390" spans="1:2" x14ac:dyDescent="0.25">
      <c r="A24390" s="2">
        <v>24385</v>
      </c>
      <c r="B24390" s="3" t="str">
        <f>"01069714"</f>
        <v>01069714</v>
      </c>
    </row>
    <row r="24391" spans="1:2" x14ac:dyDescent="0.25">
      <c r="A24391" s="2">
        <v>24386</v>
      </c>
      <c r="B24391" s="3" t="str">
        <f>"01069717"</f>
        <v>01069717</v>
      </c>
    </row>
    <row r="24392" spans="1:2" x14ac:dyDescent="0.25">
      <c r="A24392" s="2">
        <v>24387</v>
      </c>
      <c r="B24392" s="3" t="str">
        <f>"01069732"</f>
        <v>01069732</v>
      </c>
    </row>
    <row r="24393" spans="1:2" x14ac:dyDescent="0.25">
      <c r="A24393" s="2">
        <v>24388</v>
      </c>
      <c r="B24393" s="3" t="str">
        <f>"01069736"</f>
        <v>01069736</v>
      </c>
    </row>
    <row r="24394" spans="1:2" x14ac:dyDescent="0.25">
      <c r="A24394" s="2">
        <v>24389</v>
      </c>
      <c r="B24394" s="3" t="str">
        <f>"01069741"</f>
        <v>01069741</v>
      </c>
    </row>
    <row r="24395" spans="1:2" x14ac:dyDescent="0.25">
      <c r="A24395" s="2">
        <v>24390</v>
      </c>
      <c r="B24395" s="3" t="str">
        <f>"01069754"</f>
        <v>01069754</v>
      </c>
    </row>
    <row r="24396" spans="1:2" x14ac:dyDescent="0.25">
      <c r="A24396" s="2">
        <v>24391</v>
      </c>
      <c r="B24396" s="3" t="str">
        <f>"01069763"</f>
        <v>01069763</v>
      </c>
    </row>
    <row r="24397" spans="1:2" x14ac:dyDescent="0.25">
      <c r="A24397" s="2">
        <v>24392</v>
      </c>
      <c r="B24397" s="3" t="str">
        <f>"01069764"</f>
        <v>01069764</v>
      </c>
    </row>
    <row r="24398" spans="1:2" x14ac:dyDescent="0.25">
      <c r="A24398" s="2">
        <v>24393</v>
      </c>
      <c r="B24398" s="3" t="str">
        <f>"01069778"</f>
        <v>01069778</v>
      </c>
    </row>
    <row r="24399" spans="1:2" x14ac:dyDescent="0.25">
      <c r="A24399" s="2">
        <v>24394</v>
      </c>
      <c r="B24399" s="3" t="str">
        <f>"01069787"</f>
        <v>01069787</v>
      </c>
    </row>
    <row r="24400" spans="1:2" x14ac:dyDescent="0.25">
      <c r="A24400" s="2">
        <v>24395</v>
      </c>
      <c r="B24400" s="3" t="str">
        <f>"01069788"</f>
        <v>01069788</v>
      </c>
    </row>
    <row r="24401" spans="1:2" x14ac:dyDescent="0.25">
      <c r="A24401" s="2">
        <v>24396</v>
      </c>
      <c r="B24401" s="3" t="str">
        <f>"01069794"</f>
        <v>01069794</v>
      </c>
    </row>
    <row r="24402" spans="1:2" x14ac:dyDescent="0.25">
      <c r="A24402" s="2">
        <v>24397</v>
      </c>
      <c r="B24402" s="3" t="str">
        <f>"01069802"</f>
        <v>01069802</v>
      </c>
    </row>
    <row r="24403" spans="1:2" x14ac:dyDescent="0.25">
      <c r="A24403" s="2">
        <v>24398</v>
      </c>
      <c r="B24403" s="3" t="str">
        <f>"01069804"</f>
        <v>01069804</v>
      </c>
    </row>
    <row r="24404" spans="1:2" x14ac:dyDescent="0.25">
      <c r="A24404" s="2">
        <v>24399</v>
      </c>
      <c r="B24404" s="3" t="str">
        <f>"01069805"</f>
        <v>01069805</v>
      </c>
    </row>
    <row r="24405" spans="1:2" x14ac:dyDescent="0.25">
      <c r="A24405" s="2">
        <v>24400</v>
      </c>
      <c r="B24405" s="3" t="str">
        <f>"01069815"</f>
        <v>01069815</v>
      </c>
    </row>
    <row r="24406" spans="1:2" x14ac:dyDescent="0.25">
      <c r="A24406" s="2">
        <v>24401</v>
      </c>
      <c r="B24406" s="3" t="str">
        <f>"01069822"</f>
        <v>01069822</v>
      </c>
    </row>
    <row r="24407" spans="1:2" x14ac:dyDescent="0.25">
      <c r="A24407" s="2">
        <v>24402</v>
      </c>
      <c r="B24407" s="3" t="str">
        <f>"01069826"</f>
        <v>01069826</v>
      </c>
    </row>
    <row r="24408" spans="1:2" x14ac:dyDescent="0.25">
      <c r="A24408" s="2">
        <v>24403</v>
      </c>
      <c r="B24408" s="3" t="str">
        <f>"01069833"</f>
        <v>01069833</v>
      </c>
    </row>
    <row r="24409" spans="1:2" x14ac:dyDescent="0.25">
      <c r="A24409" s="2">
        <v>24404</v>
      </c>
      <c r="B24409" s="3" t="str">
        <f>"01069834"</f>
        <v>01069834</v>
      </c>
    </row>
    <row r="24410" spans="1:2" x14ac:dyDescent="0.25">
      <c r="A24410" s="2">
        <v>24405</v>
      </c>
      <c r="B24410" s="3" t="str">
        <f>"01069836"</f>
        <v>01069836</v>
      </c>
    </row>
    <row r="24411" spans="1:2" x14ac:dyDescent="0.25">
      <c r="A24411" s="2">
        <v>24406</v>
      </c>
      <c r="B24411" s="3" t="str">
        <f>"01069839"</f>
        <v>01069839</v>
      </c>
    </row>
    <row r="24412" spans="1:2" x14ac:dyDescent="0.25">
      <c r="A24412" s="2">
        <v>24407</v>
      </c>
      <c r="B24412" s="3" t="str">
        <f>"01069848"</f>
        <v>01069848</v>
      </c>
    </row>
    <row r="24413" spans="1:2" x14ac:dyDescent="0.25">
      <c r="A24413" s="2">
        <v>24408</v>
      </c>
      <c r="B24413" s="3" t="str">
        <f>"01069856"</f>
        <v>01069856</v>
      </c>
    </row>
    <row r="24414" spans="1:2" x14ac:dyDescent="0.25">
      <c r="A24414" s="2">
        <v>24409</v>
      </c>
      <c r="B24414" s="3" t="str">
        <f>"01069858"</f>
        <v>01069858</v>
      </c>
    </row>
    <row r="24415" spans="1:2" x14ac:dyDescent="0.25">
      <c r="A24415" s="2">
        <v>24410</v>
      </c>
      <c r="B24415" s="3" t="str">
        <f>"01069869"</f>
        <v>01069869</v>
      </c>
    </row>
    <row r="24416" spans="1:2" x14ac:dyDescent="0.25">
      <c r="A24416" s="2">
        <v>24411</v>
      </c>
      <c r="B24416" s="3" t="str">
        <f>"01069878"</f>
        <v>01069878</v>
      </c>
    </row>
    <row r="24417" spans="1:2" x14ac:dyDescent="0.25">
      <c r="A24417" s="2">
        <v>24412</v>
      </c>
      <c r="B24417" s="3" t="str">
        <f>"01069881"</f>
        <v>01069881</v>
      </c>
    </row>
    <row r="24418" spans="1:2" x14ac:dyDescent="0.25">
      <c r="A24418" s="2">
        <v>24413</v>
      </c>
      <c r="B24418" s="3" t="str">
        <f>"01069884"</f>
        <v>01069884</v>
      </c>
    </row>
    <row r="24419" spans="1:2" x14ac:dyDescent="0.25">
      <c r="A24419" s="2">
        <v>24414</v>
      </c>
      <c r="B24419" s="3" t="str">
        <f>"01069887"</f>
        <v>01069887</v>
      </c>
    </row>
    <row r="24420" spans="1:2" x14ac:dyDescent="0.25">
      <c r="A24420" s="2">
        <v>24415</v>
      </c>
      <c r="B24420" s="3" t="str">
        <f>"01069898"</f>
        <v>01069898</v>
      </c>
    </row>
    <row r="24421" spans="1:2" x14ac:dyDescent="0.25">
      <c r="A24421" s="2">
        <v>24416</v>
      </c>
      <c r="B24421" s="3" t="str">
        <f>"01069900"</f>
        <v>01069900</v>
      </c>
    </row>
    <row r="24422" spans="1:2" x14ac:dyDescent="0.25">
      <c r="A24422" s="2">
        <v>24417</v>
      </c>
      <c r="B24422" s="3" t="str">
        <f>"01069903"</f>
        <v>01069903</v>
      </c>
    </row>
    <row r="24423" spans="1:2" x14ac:dyDescent="0.25">
      <c r="A24423" s="2">
        <v>24418</v>
      </c>
      <c r="B24423" s="3" t="str">
        <f>"01069906"</f>
        <v>01069906</v>
      </c>
    </row>
    <row r="24424" spans="1:2" x14ac:dyDescent="0.25">
      <c r="A24424" s="2">
        <v>24419</v>
      </c>
      <c r="B24424" s="3" t="str">
        <f>"01069909"</f>
        <v>01069909</v>
      </c>
    </row>
    <row r="24425" spans="1:2" x14ac:dyDescent="0.25">
      <c r="A24425" s="2">
        <v>24420</v>
      </c>
      <c r="B24425" s="3" t="str">
        <f>"01069912"</f>
        <v>01069912</v>
      </c>
    </row>
    <row r="24426" spans="1:2" x14ac:dyDescent="0.25">
      <c r="A24426" s="2">
        <v>24421</v>
      </c>
      <c r="B24426" s="3" t="str">
        <f>"01069915"</f>
        <v>01069915</v>
      </c>
    </row>
    <row r="24427" spans="1:2" x14ac:dyDescent="0.25">
      <c r="A24427" s="2">
        <v>24422</v>
      </c>
      <c r="B24427" s="3" t="str">
        <f>"01069920"</f>
        <v>01069920</v>
      </c>
    </row>
    <row r="24428" spans="1:2" x14ac:dyDescent="0.25">
      <c r="A24428" s="2">
        <v>24423</v>
      </c>
      <c r="B24428" s="3" t="str">
        <f>"01069922"</f>
        <v>01069922</v>
      </c>
    </row>
    <row r="24429" spans="1:2" x14ac:dyDescent="0.25">
      <c r="A24429" s="2">
        <v>24424</v>
      </c>
      <c r="B24429" s="3" t="str">
        <f>"01069923"</f>
        <v>01069923</v>
      </c>
    </row>
    <row r="24430" spans="1:2" x14ac:dyDescent="0.25">
      <c r="A24430" s="2">
        <v>24425</v>
      </c>
      <c r="B24430" s="3" t="str">
        <f>"01069925"</f>
        <v>01069925</v>
      </c>
    </row>
    <row r="24431" spans="1:2" x14ac:dyDescent="0.25">
      <c r="A24431" s="2">
        <v>24426</v>
      </c>
      <c r="B24431" s="3" t="str">
        <f>"01069926"</f>
        <v>01069926</v>
      </c>
    </row>
    <row r="24432" spans="1:2" x14ac:dyDescent="0.25">
      <c r="A24432" s="2">
        <v>24427</v>
      </c>
      <c r="B24432" s="3" t="str">
        <f>"01069928"</f>
        <v>01069928</v>
      </c>
    </row>
    <row r="24433" spans="1:2" x14ac:dyDescent="0.25">
      <c r="A24433" s="2">
        <v>24428</v>
      </c>
      <c r="B24433" s="3" t="str">
        <f>"01069938"</f>
        <v>01069938</v>
      </c>
    </row>
    <row r="24434" spans="1:2" x14ac:dyDescent="0.25">
      <c r="A24434" s="2">
        <v>24429</v>
      </c>
      <c r="B24434" s="3" t="str">
        <f>"01069940"</f>
        <v>01069940</v>
      </c>
    </row>
    <row r="24435" spans="1:2" x14ac:dyDescent="0.25">
      <c r="A24435" s="2">
        <v>24430</v>
      </c>
      <c r="B24435" s="3" t="str">
        <f>"01069941"</f>
        <v>01069941</v>
      </c>
    </row>
    <row r="24436" spans="1:2" x14ac:dyDescent="0.25">
      <c r="A24436" s="2">
        <v>24431</v>
      </c>
      <c r="B24436" s="3" t="str">
        <f>"01069945"</f>
        <v>01069945</v>
      </c>
    </row>
    <row r="24437" spans="1:2" x14ac:dyDescent="0.25">
      <c r="A24437" s="2">
        <v>24432</v>
      </c>
      <c r="B24437" s="3" t="str">
        <f>"01069948"</f>
        <v>01069948</v>
      </c>
    </row>
    <row r="24438" spans="1:2" x14ac:dyDescent="0.25">
      <c r="A24438" s="2">
        <v>24433</v>
      </c>
      <c r="B24438" s="3" t="str">
        <f>"01069958"</f>
        <v>01069958</v>
      </c>
    </row>
    <row r="24439" spans="1:2" x14ac:dyDescent="0.25">
      <c r="A24439" s="2">
        <v>24434</v>
      </c>
      <c r="B24439" s="3" t="str">
        <f>"01069961"</f>
        <v>01069961</v>
      </c>
    </row>
    <row r="24440" spans="1:2" x14ac:dyDescent="0.25">
      <c r="A24440" s="2">
        <v>24435</v>
      </c>
      <c r="B24440" s="3" t="str">
        <f>"01069963"</f>
        <v>01069963</v>
      </c>
    </row>
    <row r="24441" spans="1:2" x14ac:dyDescent="0.25">
      <c r="A24441" s="2">
        <v>24436</v>
      </c>
      <c r="B24441" s="3" t="str">
        <f>"01069965"</f>
        <v>01069965</v>
      </c>
    </row>
    <row r="24442" spans="1:2" x14ac:dyDescent="0.25">
      <c r="A24442" s="2">
        <v>24437</v>
      </c>
      <c r="B24442" s="3" t="str">
        <f>"01069971"</f>
        <v>01069971</v>
      </c>
    </row>
    <row r="24443" spans="1:2" x14ac:dyDescent="0.25">
      <c r="A24443" s="2">
        <v>24438</v>
      </c>
      <c r="B24443" s="3" t="str">
        <f>"01069974"</f>
        <v>01069974</v>
      </c>
    </row>
    <row r="24444" spans="1:2" x14ac:dyDescent="0.25">
      <c r="A24444" s="2">
        <v>24439</v>
      </c>
      <c r="B24444" s="3" t="str">
        <f>"01069977"</f>
        <v>01069977</v>
      </c>
    </row>
    <row r="24445" spans="1:2" x14ac:dyDescent="0.25">
      <c r="A24445" s="2">
        <v>24440</v>
      </c>
      <c r="B24445" s="3" t="str">
        <f>"01069978"</f>
        <v>01069978</v>
      </c>
    </row>
    <row r="24446" spans="1:2" x14ac:dyDescent="0.25">
      <c r="A24446" s="2">
        <v>24441</v>
      </c>
      <c r="B24446" s="3" t="str">
        <f>"01069984"</f>
        <v>01069984</v>
      </c>
    </row>
    <row r="24447" spans="1:2" x14ac:dyDescent="0.25">
      <c r="A24447" s="2">
        <v>24442</v>
      </c>
      <c r="B24447" s="3" t="str">
        <f>"01069987"</f>
        <v>01069987</v>
      </c>
    </row>
    <row r="24448" spans="1:2" x14ac:dyDescent="0.25">
      <c r="A24448" s="2">
        <v>24443</v>
      </c>
      <c r="B24448" s="3" t="str">
        <f>"01069995"</f>
        <v>01069995</v>
      </c>
    </row>
    <row r="24449" spans="1:2" x14ac:dyDescent="0.25">
      <c r="A24449" s="2">
        <v>24444</v>
      </c>
      <c r="B24449" s="3" t="str">
        <f>"01069996"</f>
        <v>01069996</v>
      </c>
    </row>
    <row r="24450" spans="1:2" x14ac:dyDescent="0.25">
      <c r="A24450" s="2">
        <v>24445</v>
      </c>
      <c r="B24450" s="3" t="str">
        <f>"01069997"</f>
        <v>01069997</v>
      </c>
    </row>
    <row r="24451" spans="1:2" x14ac:dyDescent="0.25">
      <c r="A24451" s="2">
        <v>24446</v>
      </c>
      <c r="B24451" s="3" t="str">
        <f>"01070001"</f>
        <v>01070001</v>
      </c>
    </row>
    <row r="24452" spans="1:2" x14ac:dyDescent="0.25">
      <c r="A24452" s="2">
        <v>24447</v>
      </c>
      <c r="B24452" s="3" t="str">
        <f>"01070002"</f>
        <v>01070002</v>
      </c>
    </row>
    <row r="24453" spans="1:2" x14ac:dyDescent="0.25">
      <c r="A24453" s="2">
        <v>24448</v>
      </c>
      <c r="B24453" s="3" t="str">
        <f>"01070004"</f>
        <v>01070004</v>
      </c>
    </row>
    <row r="24454" spans="1:2" x14ac:dyDescent="0.25">
      <c r="A24454" s="2">
        <v>24449</v>
      </c>
      <c r="B24454" s="3" t="str">
        <f>"01070006"</f>
        <v>01070006</v>
      </c>
    </row>
    <row r="24455" spans="1:2" x14ac:dyDescent="0.25">
      <c r="A24455" s="2">
        <v>24450</v>
      </c>
      <c r="B24455" s="3" t="str">
        <f>"01070010"</f>
        <v>01070010</v>
      </c>
    </row>
    <row r="24456" spans="1:2" x14ac:dyDescent="0.25">
      <c r="A24456" s="2">
        <v>24451</v>
      </c>
      <c r="B24456" s="3" t="str">
        <f>"01070012"</f>
        <v>01070012</v>
      </c>
    </row>
    <row r="24457" spans="1:2" x14ac:dyDescent="0.25">
      <c r="A24457" s="2">
        <v>24452</v>
      </c>
      <c r="B24457" s="3" t="str">
        <f>"01070014"</f>
        <v>01070014</v>
      </c>
    </row>
    <row r="24458" spans="1:2" x14ac:dyDescent="0.25">
      <c r="A24458" s="2">
        <v>24453</v>
      </c>
      <c r="B24458" s="3" t="str">
        <f>"01070016"</f>
        <v>01070016</v>
      </c>
    </row>
    <row r="24459" spans="1:2" x14ac:dyDescent="0.25">
      <c r="A24459" s="2">
        <v>24454</v>
      </c>
      <c r="B24459" s="3" t="str">
        <f>"01070018"</f>
        <v>01070018</v>
      </c>
    </row>
    <row r="24460" spans="1:2" x14ac:dyDescent="0.25">
      <c r="A24460" s="2">
        <v>24455</v>
      </c>
      <c r="B24460" s="3" t="str">
        <f>"01070025"</f>
        <v>01070025</v>
      </c>
    </row>
    <row r="24461" spans="1:2" x14ac:dyDescent="0.25">
      <c r="A24461" s="2">
        <v>24456</v>
      </c>
      <c r="B24461" s="3" t="str">
        <f>"01070027"</f>
        <v>01070027</v>
      </c>
    </row>
    <row r="24462" spans="1:2" x14ac:dyDescent="0.25">
      <c r="A24462" s="2">
        <v>24457</v>
      </c>
      <c r="B24462" s="3" t="str">
        <f>"01070037"</f>
        <v>01070037</v>
      </c>
    </row>
    <row r="24463" spans="1:2" x14ac:dyDescent="0.25">
      <c r="A24463" s="2">
        <v>24458</v>
      </c>
      <c r="B24463" s="3" t="str">
        <f>"01070042"</f>
        <v>01070042</v>
      </c>
    </row>
    <row r="24464" spans="1:2" x14ac:dyDescent="0.25">
      <c r="A24464" s="2">
        <v>24459</v>
      </c>
      <c r="B24464" s="3" t="str">
        <f>"01070045"</f>
        <v>01070045</v>
      </c>
    </row>
    <row r="24465" spans="1:2" x14ac:dyDescent="0.25">
      <c r="A24465" s="2">
        <v>24460</v>
      </c>
      <c r="B24465" s="3" t="str">
        <f>"01070048"</f>
        <v>01070048</v>
      </c>
    </row>
    <row r="24466" spans="1:2" x14ac:dyDescent="0.25">
      <c r="A24466" s="2">
        <v>24461</v>
      </c>
      <c r="B24466" s="3" t="str">
        <f>"01070053"</f>
        <v>01070053</v>
      </c>
    </row>
    <row r="24467" spans="1:2" x14ac:dyDescent="0.25">
      <c r="A24467" s="2">
        <v>24462</v>
      </c>
      <c r="B24467" s="3" t="str">
        <f>"01070054"</f>
        <v>01070054</v>
      </c>
    </row>
    <row r="24468" spans="1:2" x14ac:dyDescent="0.25">
      <c r="A24468" s="2">
        <v>24463</v>
      </c>
      <c r="B24468" s="3" t="str">
        <f>"01070060"</f>
        <v>01070060</v>
      </c>
    </row>
    <row r="24469" spans="1:2" x14ac:dyDescent="0.25">
      <c r="A24469" s="2">
        <v>24464</v>
      </c>
      <c r="B24469" s="3" t="str">
        <f>"01070061"</f>
        <v>01070061</v>
      </c>
    </row>
    <row r="24470" spans="1:2" x14ac:dyDescent="0.25">
      <c r="A24470" s="2">
        <v>24465</v>
      </c>
      <c r="B24470" s="3" t="str">
        <f>"01070062"</f>
        <v>01070062</v>
      </c>
    </row>
    <row r="24471" spans="1:2" x14ac:dyDescent="0.25">
      <c r="A24471" s="2">
        <v>24466</v>
      </c>
      <c r="B24471" s="3" t="str">
        <f>"01070066"</f>
        <v>01070066</v>
      </c>
    </row>
    <row r="24472" spans="1:2" x14ac:dyDescent="0.25">
      <c r="A24472" s="2">
        <v>24467</v>
      </c>
      <c r="B24472" s="3" t="str">
        <f>"01070067"</f>
        <v>01070067</v>
      </c>
    </row>
    <row r="24473" spans="1:2" x14ac:dyDescent="0.25">
      <c r="A24473" s="2">
        <v>24468</v>
      </c>
      <c r="B24473" s="3" t="str">
        <f>"01070069"</f>
        <v>01070069</v>
      </c>
    </row>
    <row r="24474" spans="1:2" x14ac:dyDescent="0.25">
      <c r="A24474" s="2">
        <v>24469</v>
      </c>
      <c r="B24474" s="3" t="str">
        <f>"01070071"</f>
        <v>01070071</v>
      </c>
    </row>
    <row r="24475" spans="1:2" x14ac:dyDescent="0.25">
      <c r="A24475" s="2">
        <v>24470</v>
      </c>
      <c r="B24475" s="3" t="str">
        <f>"01070072"</f>
        <v>01070072</v>
      </c>
    </row>
    <row r="24476" spans="1:2" x14ac:dyDescent="0.25">
      <c r="A24476" s="2">
        <v>24471</v>
      </c>
      <c r="B24476" s="3" t="str">
        <f>"01070075"</f>
        <v>01070075</v>
      </c>
    </row>
    <row r="24477" spans="1:2" x14ac:dyDescent="0.25">
      <c r="A24477" s="2">
        <v>24472</v>
      </c>
      <c r="B24477" s="3" t="str">
        <f>"01070077"</f>
        <v>01070077</v>
      </c>
    </row>
    <row r="24478" spans="1:2" x14ac:dyDescent="0.25">
      <c r="A24478" s="2">
        <v>24473</v>
      </c>
      <c r="B24478" s="3" t="str">
        <f>"01070078"</f>
        <v>01070078</v>
      </c>
    </row>
    <row r="24479" spans="1:2" x14ac:dyDescent="0.25">
      <c r="A24479" s="2">
        <v>24474</v>
      </c>
      <c r="B24479" s="3" t="str">
        <f>"01070081"</f>
        <v>01070081</v>
      </c>
    </row>
    <row r="24480" spans="1:2" x14ac:dyDescent="0.25">
      <c r="A24480" s="2">
        <v>24475</v>
      </c>
      <c r="B24480" s="3" t="str">
        <f>"01070084"</f>
        <v>01070084</v>
      </c>
    </row>
    <row r="24481" spans="1:2" x14ac:dyDescent="0.25">
      <c r="A24481" s="2">
        <v>24476</v>
      </c>
      <c r="B24481" s="3" t="str">
        <f>"01070088"</f>
        <v>01070088</v>
      </c>
    </row>
    <row r="24482" spans="1:2" x14ac:dyDescent="0.25">
      <c r="A24482" s="2">
        <v>24477</v>
      </c>
      <c r="B24482" s="3" t="str">
        <f>"01070091"</f>
        <v>01070091</v>
      </c>
    </row>
    <row r="24483" spans="1:2" x14ac:dyDescent="0.25">
      <c r="A24483" s="2">
        <v>24478</v>
      </c>
      <c r="B24483" s="3" t="str">
        <f>"01070097"</f>
        <v>01070097</v>
      </c>
    </row>
    <row r="24484" spans="1:2" x14ac:dyDescent="0.25">
      <c r="A24484" s="2">
        <v>24479</v>
      </c>
      <c r="B24484" s="3" t="str">
        <f>"01070099"</f>
        <v>01070099</v>
      </c>
    </row>
    <row r="24485" spans="1:2" x14ac:dyDescent="0.25">
      <c r="A24485" s="2">
        <v>24480</v>
      </c>
      <c r="B24485" s="3" t="str">
        <f>"01070102"</f>
        <v>01070102</v>
      </c>
    </row>
    <row r="24486" spans="1:2" x14ac:dyDescent="0.25">
      <c r="A24486" s="2">
        <v>24481</v>
      </c>
      <c r="B24486" s="3" t="str">
        <f>"01070104"</f>
        <v>01070104</v>
      </c>
    </row>
    <row r="24487" spans="1:2" x14ac:dyDescent="0.25">
      <c r="A24487" s="2">
        <v>24482</v>
      </c>
      <c r="B24487" s="3" t="str">
        <f>"01070107"</f>
        <v>01070107</v>
      </c>
    </row>
    <row r="24488" spans="1:2" x14ac:dyDescent="0.25">
      <c r="A24488" s="2">
        <v>24483</v>
      </c>
      <c r="B24488" s="3" t="str">
        <f>"01070109"</f>
        <v>01070109</v>
      </c>
    </row>
    <row r="24489" spans="1:2" x14ac:dyDescent="0.25">
      <c r="A24489" s="2">
        <v>24484</v>
      </c>
      <c r="B24489" s="3" t="str">
        <f>"01070111"</f>
        <v>01070111</v>
      </c>
    </row>
    <row r="24490" spans="1:2" x14ac:dyDescent="0.25">
      <c r="A24490" s="2">
        <v>24485</v>
      </c>
      <c r="B24490" s="3" t="str">
        <f>"01070115"</f>
        <v>01070115</v>
      </c>
    </row>
    <row r="24491" spans="1:2" x14ac:dyDescent="0.25">
      <c r="A24491" s="2">
        <v>24486</v>
      </c>
      <c r="B24491" s="3" t="str">
        <f>"01070121"</f>
        <v>01070121</v>
      </c>
    </row>
    <row r="24492" spans="1:2" x14ac:dyDescent="0.25">
      <c r="A24492" s="2">
        <v>24487</v>
      </c>
      <c r="B24492" s="3" t="str">
        <f>"01070130"</f>
        <v>01070130</v>
      </c>
    </row>
    <row r="24493" spans="1:2" x14ac:dyDescent="0.25">
      <c r="A24493" s="2">
        <v>24488</v>
      </c>
      <c r="B24493" s="3" t="str">
        <f>"01070146"</f>
        <v>01070146</v>
      </c>
    </row>
    <row r="24494" spans="1:2" x14ac:dyDescent="0.25">
      <c r="A24494" s="2">
        <v>24489</v>
      </c>
      <c r="B24494" s="3" t="str">
        <f>"01070148"</f>
        <v>01070148</v>
      </c>
    </row>
    <row r="24495" spans="1:2" x14ac:dyDescent="0.25">
      <c r="A24495" s="2">
        <v>24490</v>
      </c>
      <c r="B24495" s="3" t="str">
        <f>"01070153"</f>
        <v>01070153</v>
      </c>
    </row>
    <row r="24496" spans="1:2" x14ac:dyDescent="0.25">
      <c r="A24496" s="2">
        <v>24491</v>
      </c>
      <c r="B24496" s="3" t="str">
        <f>"01070155"</f>
        <v>01070155</v>
      </c>
    </row>
    <row r="24497" spans="1:2" x14ac:dyDescent="0.25">
      <c r="A24497" s="2">
        <v>24492</v>
      </c>
      <c r="B24497" s="3" t="str">
        <f>"01070165"</f>
        <v>01070165</v>
      </c>
    </row>
    <row r="24498" spans="1:2" x14ac:dyDescent="0.25">
      <c r="A24498" s="2">
        <v>24493</v>
      </c>
      <c r="B24498" s="3" t="str">
        <f>"01070174"</f>
        <v>01070174</v>
      </c>
    </row>
    <row r="24499" spans="1:2" x14ac:dyDescent="0.25">
      <c r="A24499" s="2">
        <v>24494</v>
      </c>
      <c r="B24499" s="3" t="str">
        <f>"01070178"</f>
        <v>01070178</v>
      </c>
    </row>
    <row r="24500" spans="1:2" x14ac:dyDescent="0.25">
      <c r="A24500" s="2">
        <v>24495</v>
      </c>
      <c r="B24500" s="3" t="str">
        <f>"01070185"</f>
        <v>01070185</v>
      </c>
    </row>
    <row r="24501" spans="1:2" x14ac:dyDescent="0.25">
      <c r="A24501" s="2">
        <v>24496</v>
      </c>
      <c r="B24501" s="3" t="str">
        <f>"01070187"</f>
        <v>01070187</v>
      </c>
    </row>
    <row r="24502" spans="1:2" x14ac:dyDescent="0.25">
      <c r="A24502" s="2">
        <v>24497</v>
      </c>
      <c r="B24502" s="3" t="str">
        <f>"01070188"</f>
        <v>01070188</v>
      </c>
    </row>
    <row r="24503" spans="1:2" x14ac:dyDescent="0.25">
      <c r="A24503" s="2">
        <v>24498</v>
      </c>
      <c r="B24503" s="3" t="str">
        <f>"01070201"</f>
        <v>01070201</v>
      </c>
    </row>
    <row r="24504" spans="1:2" x14ac:dyDescent="0.25">
      <c r="A24504" s="2">
        <v>24499</v>
      </c>
      <c r="B24504" s="3" t="str">
        <f>"01070207"</f>
        <v>01070207</v>
      </c>
    </row>
    <row r="24505" spans="1:2" x14ac:dyDescent="0.25">
      <c r="A24505" s="2">
        <v>24500</v>
      </c>
      <c r="B24505" s="3" t="str">
        <f>"01070223"</f>
        <v>01070223</v>
      </c>
    </row>
    <row r="24506" spans="1:2" x14ac:dyDescent="0.25">
      <c r="A24506" s="2">
        <v>24501</v>
      </c>
      <c r="B24506" s="3" t="str">
        <f>"01070229"</f>
        <v>01070229</v>
      </c>
    </row>
    <row r="24507" spans="1:2" x14ac:dyDescent="0.25">
      <c r="A24507" s="2">
        <v>24502</v>
      </c>
      <c r="B24507" s="3" t="str">
        <f>"01070234"</f>
        <v>01070234</v>
      </c>
    </row>
    <row r="24508" spans="1:2" x14ac:dyDescent="0.25">
      <c r="A24508" s="2">
        <v>24503</v>
      </c>
      <c r="B24508" s="3" t="str">
        <f>"01070253"</f>
        <v>01070253</v>
      </c>
    </row>
    <row r="24509" spans="1:2" x14ac:dyDescent="0.25">
      <c r="A24509" s="2">
        <v>24504</v>
      </c>
      <c r="B24509" s="3" t="str">
        <f>"01070254"</f>
        <v>01070254</v>
      </c>
    </row>
    <row r="24510" spans="1:2" x14ac:dyDescent="0.25">
      <c r="A24510" s="2">
        <v>24505</v>
      </c>
      <c r="B24510" s="3" t="str">
        <f>"01070257"</f>
        <v>01070257</v>
      </c>
    </row>
    <row r="24511" spans="1:2" x14ac:dyDescent="0.25">
      <c r="A24511" s="2">
        <v>24506</v>
      </c>
      <c r="B24511" s="3" t="str">
        <f>"01070258"</f>
        <v>01070258</v>
      </c>
    </row>
    <row r="24512" spans="1:2" x14ac:dyDescent="0.25">
      <c r="A24512" s="2">
        <v>24507</v>
      </c>
      <c r="B24512" s="3" t="str">
        <f>"01070263"</f>
        <v>01070263</v>
      </c>
    </row>
    <row r="24513" spans="1:2" x14ac:dyDescent="0.25">
      <c r="A24513" s="2">
        <v>24508</v>
      </c>
      <c r="B24513" s="3" t="str">
        <f>"01070264"</f>
        <v>01070264</v>
      </c>
    </row>
    <row r="24514" spans="1:2" x14ac:dyDescent="0.25">
      <c r="A24514" s="2">
        <v>24509</v>
      </c>
      <c r="B24514" s="3" t="str">
        <f>"01070266"</f>
        <v>01070266</v>
      </c>
    </row>
    <row r="24515" spans="1:2" x14ac:dyDescent="0.25">
      <c r="A24515" s="2">
        <v>24510</v>
      </c>
      <c r="B24515" s="3" t="str">
        <f>"01070268"</f>
        <v>01070268</v>
      </c>
    </row>
    <row r="24516" spans="1:2" x14ac:dyDescent="0.25">
      <c r="A24516" s="2">
        <v>24511</v>
      </c>
      <c r="B24516" s="3" t="str">
        <f>"01070275"</f>
        <v>01070275</v>
      </c>
    </row>
    <row r="24517" spans="1:2" x14ac:dyDescent="0.25">
      <c r="A24517" s="2">
        <v>24512</v>
      </c>
      <c r="B24517" s="3" t="str">
        <f>"01070279"</f>
        <v>01070279</v>
      </c>
    </row>
    <row r="24518" spans="1:2" x14ac:dyDescent="0.25">
      <c r="A24518" s="2">
        <v>24513</v>
      </c>
      <c r="B24518" s="3" t="str">
        <f>"01070280"</f>
        <v>01070280</v>
      </c>
    </row>
    <row r="24519" spans="1:2" x14ac:dyDescent="0.25">
      <c r="A24519" s="2">
        <v>24514</v>
      </c>
      <c r="B24519" s="3" t="str">
        <f>"01070283"</f>
        <v>01070283</v>
      </c>
    </row>
    <row r="24520" spans="1:2" x14ac:dyDescent="0.25">
      <c r="A24520" s="2">
        <v>24515</v>
      </c>
      <c r="B24520" s="3" t="str">
        <f>"01070284"</f>
        <v>01070284</v>
      </c>
    </row>
    <row r="24521" spans="1:2" x14ac:dyDescent="0.25">
      <c r="A24521" s="2">
        <v>24516</v>
      </c>
      <c r="B24521" s="3" t="str">
        <f>"01070287"</f>
        <v>01070287</v>
      </c>
    </row>
    <row r="24522" spans="1:2" x14ac:dyDescent="0.25">
      <c r="A24522" s="2">
        <v>24517</v>
      </c>
      <c r="B24522" s="3" t="str">
        <f>"01070297"</f>
        <v>01070297</v>
      </c>
    </row>
    <row r="24523" spans="1:2" x14ac:dyDescent="0.25">
      <c r="A24523" s="2">
        <v>24518</v>
      </c>
      <c r="B24523" s="3" t="str">
        <f>"01070301"</f>
        <v>01070301</v>
      </c>
    </row>
    <row r="24524" spans="1:2" x14ac:dyDescent="0.25">
      <c r="A24524" s="2">
        <v>24519</v>
      </c>
      <c r="B24524" s="3" t="str">
        <f>"01070303"</f>
        <v>01070303</v>
      </c>
    </row>
    <row r="24525" spans="1:2" x14ac:dyDescent="0.25">
      <c r="A24525" s="2">
        <v>24520</v>
      </c>
      <c r="B24525" s="3" t="str">
        <f>"01070304"</f>
        <v>01070304</v>
      </c>
    </row>
    <row r="24526" spans="1:2" x14ac:dyDescent="0.25">
      <c r="A24526" s="2">
        <v>24521</v>
      </c>
      <c r="B24526" s="3" t="str">
        <f>"01070307"</f>
        <v>01070307</v>
      </c>
    </row>
    <row r="24527" spans="1:2" x14ac:dyDescent="0.25">
      <c r="A24527" s="2">
        <v>24522</v>
      </c>
      <c r="B24527" s="3" t="str">
        <f>"01070311"</f>
        <v>01070311</v>
      </c>
    </row>
    <row r="24528" spans="1:2" x14ac:dyDescent="0.25">
      <c r="A24528" s="2">
        <v>24523</v>
      </c>
      <c r="B24528" s="3" t="str">
        <f>"01070316"</f>
        <v>01070316</v>
      </c>
    </row>
    <row r="24529" spans="1:2" x14ac:dyDescent="0.25">
      <c r="A24529" s="2">
        <v>24524</v>
      </c>
      <c r="B24529" s="3" t="str">
        <f>"01070323"</f>
        <v>01070323</v>
      </c>
    </row>
    <row r="24530" spans="1:2" x14ac:dyDescent="0.25">
      <c r="A24530" s="2">
        <v>24525</v>
      </c>
      <c r="B24530" s="3" t="str">
        <f>"01070326"</f>
        <v>01070326</v>
      </c>
    </row>
    <row r="24531" spans="1:2" x14ac:dyDescent="0.25">
      <c r="A24531" s="2">
        <v>24526</v>
      </c>
      <c r="B24531" s="3" t="str">
        <f>"01070329"</f>
        <v>01070329</v>
      </c>
    </row>
    <row r="24532" spans="1:2" x14ac:dyDescent="0.25">
      <c r="A24532" s="2">
        <v>24527</v>
      </c>
      <c r="B24532" s="3" t="str">
        <f>"01070332"</f>
        <v>01070332</v>
      </c>
    </row>
    <row r="24533" spans="1:2" x14ac:dyDescent="0.25">
      <c r="A24533" s="2">
        <v>24528</v>
      </c>
      <c r="B24533" s="3" t="str">
        <f>"01070334"</f>
        <v>01070334</v>
      </c>
    </row>
    <row r="24534" spans="1:2" x14ac:dyDescent="0.25">
      <c r="A24534" s="2">
        <v>24529</v>
      </c>
      <c r="B24534" s="3" t="str">
        <f>"01070336"</f>
        <v>01070336</v>
      </c>
    </row>
    <row r="24535" spans="1:2" x14ac:dyDescent="0.25">
      <c r="A24535" s="2">
        <v>24530</v>
      </c>
      <c r="B24535" s="3" t="str">
        <f>"01070339"</f>
        <v>01070339</v>
      </c>
    </row>
    <row r="24536" spans="1:2" x14ac:dyDescent="0.25">
      <c r="A24536" s="2">
        <v>24531</v>
      </c>
      <c r="B24536" s="3" t="str">
        <f>"01070340"</f>
        <v>01070340</v>
      </c>
    </row>
    <row r="24537" spans="1:2" x14ac:dyDescent="0.25">
      <c r="A24537" s="2">
        <v>24532</v>
      </c>
      <c r="B24537" s="3" t="str">
        <f>"01070343"</f>
        <v>01070343</v>
      </c>
    </row>
    <row r="24538" spans="1:2" x14ac:dyDescent="0.25">
      <c r="A24538" s="2">
        <v>24533</v>
      </c>
      <c r="B24538" s="3" t="str">
        <f>"01070347"</f>
        <v>01070347</v>
      </c>
    </row>
    <row r="24539" spans="1:2" x14ac:dyDescent="0.25">
      <c r="A24539" s="2">
        <v>24534</v>
      </c>
      <c r="B24539" s="3" t="str">
        <f>"01070350"</f>
        <v>01070350</v>
      </c>
    </row>
    <row r="24540" spans="1:2" x14ac:dyDescent="0.25">
      <c r="A24540" s="2">
        <v>24535</v>
      </c>
      <c r="B24540" s="3" t="str">
        <f>"01070359"</f>
        <v>01070359</v>
      </c>
    </row>
    <row r="24541" spans="1:2" x14ac:dyDescent="0.25">
      <c r="A24541" s="2">
        <v>24536</v>
      </c>
      <c r="B24541" s="3" t="str">
        <f>"01070362"</f>
        <v>01070362</v>
      </c>
    </row>
    <row r="24542" spans="1:2" x14ac:dyDescent="0.25">
      <c r="A24542" s="2">
        <v>24537</v>
      </c>
      <c r="B24542" s="3" t="str">
        <f>"01070364"</f>
        <v>01070364</v>
      </c>
    </row>
    <row r="24543" spans="1:2" x14ac:dyDescent="0.25">
      <c r="A24543" s="2">
        <v>24538</v>
      </c>
      <c r="B24543" s="3" t="str">
        <f>"01070371"</f>
        <v>01070371</v>
      </c>
    </row>
    <row r="24544" spans="1:2" x14ac:dyDescent="0.25">
      <c r="A24544" s="2">
        <v>24539</v>
      </c>
      <c r="B24544" s="3" t="str">
        <f>"01070372"</f>
        <v>01070372</v>
      </c>
    </row>
    <row r="24545" spans="1:2" x14ac:dyDescent="0.25">
      <c r="A24545" s="2">
        <v>24540</v>
      </c>
      <c r="B24545" s="3" t="str">
        <f>"01070374"</f>
        <v>01070374</v>
      </c>
    </row>
    <row r="24546" spans="1:2" x14ac:dyDescent="0.25">
      <c r="A24546" s="2">
        <v>24541</v>
      </c>
      <c r="B24546" s="3" t="str">
        <f>"01070381"</f>
        <v>01070381</v>
      </c>
    </row>
    <row r="24547" spans="1:2" x14ac:dyDescent="0.25">
      <c r="A24547" s="2">
        <v>24542</v>
      </c>
      <c r="B24547" s="3" t="str">
        <f>"01070386"</f>
        <v>01070386</v>
      </c>
    </row>
    <row r="24548" spans="1:2" x14ac:dyDescent="0.25">
      <c r="A24548" s="2">
        <v>24543</v>
      </c>
      <c r="B24548" s="3" t="str">
        <f>"01070389"</f>
        <v>01070389</v>
      </c>
    </row>
    <row r="24549" spans="1:2" x14ac:dyDescent="0.25">
      <c r="A24549" s="2">
        <v>24544</v>
      </c>
      <c r="B24549" s="3" t="str">
        <f>"01070390"</f>
        <v>01070390</v>
      </c>
    </row>
    <row r="24550" spans="1:2" x14ac:dyDescent="0.25">
      <c r="A24550" s="2">
        <v>24545</v>
      </c>
      <c r="B24550" s="3" t="str">
        <f>"01070393"</f>
        <v>01070393</v>
      </c>
    </row>
    <row r="24551" spans="1:2" x14ac:dyDescent="0.25">
      <c r="A24551" s="2">
        <v>24546</v>
      </c>
      <c r="B24551" s="3" t="str">
        <f>"01070397"</f>
        <v>01070397</v>
      </c>
    </row>
    <row r="24552" spans="1:2" x14ac:dyDescent="0.25">
      <c r="A24552" s="2">
        <v>24547</v>
      </c>
      <c r="B24552" s="3" t="str">
        <f>"01070407"</f>
        <v>01070407</v>
      </c>
    </row>
    <row r="24553" spans="1:2" x14ac:dyDescent="0.25">
      <c r="A24553" s="2">
        <v>24548</v>
      </c>
      <c r="B24553" s="3" t="str">
        <f>"01070421"</f>
        <v>01070421</v>
      </c>
    </row>
    <row r="24554" spans="1:2" x14ac:dyDescent="0.25">
      <c r="A24554" s="2">
        <v>24549</v>
      </c>
      <c r="B24554" s="3" t="str">
        <f>"01070423"</f>
        <v>01070423</v>
      </c>
    </row>
    <row r="24555" spans="1:2" x14ac:dyDescent="0.25">
      <c r="A24555" s="2">
        <v>24550</v>
      </c>
      <c r="B24555" s="3" t="str">
        <f>"01070430"</f>
        <v>01070430</v>
      </c>
    </row>
    <row r="24556" spans="1:2" x14ac:dyDescent="0.25">
      <c r="A24556" s="2">
        <v>24551</v>
      </c>
      <c r="B24556" s="3" t="str">
        <f>"01070435"</f>
        <v>01070435</v>
      </c>
    </row>
    <row r="24557" spans="1:2" x14ac:dyDescent="0.25">
      <c r="A24557" s="2">
        <v>24552</v>
      </c>
      <c r="B24557" s="3" t="str">
        <f>"01070440"</f>
        <v>01070440</v>
      </c>
    </row>
    <row r="24558" spans="1:2" x14ac:dyDescent="0.25">
      <c r="A24558" s="2">
        <v>24553</v>
      </c>
      <c r="B24558" s="3" t="str">
        <f>"01070451"</f>
        <v>01070451</v>
      </c>
    </row>
    <row r="24559" spans="1:2" x14ac:dyDescent="0.25">
      <c r="A24559" s="2">
        <v>24554</v>
      </c>
      <c r="B24559" s="3" t="str">
        <f>"01070455"</f>
        <v>01070455</v>
      </c>
    </row>
    <row r="24560" spans="1:2" x14ac:dyDescent="0.25">
      <c r="A24560" s="2">
        <v>24555</v>
      </c>
      <c r="B24560" s="3" t="str">
        <f>"01070456"</f>
        <v>01070456</v>
      </c>
    </row>
    <row r="24561" spans="1:2" x14ac:dyDescent="0.25">
      <c r="A24561" s="2">
        <v>24556</v>
      </c>
      <c r="B24561" s="3" t="str">
        <f>"01070457"</f>
        <v>01070457</v>
      </c>
    </row>
    <row r="24562" spans="1:2" x14ac:dyDescent="0.25">
      <c r="A24562" s="2">
        <v>24557</v>
      </c>
      <c r="B24562" s="3" t="str">
        <f>"01070467"</f>
        <v>01070467</v>
      </c>
    </row>
    <row r="24563" spans="1:2" x14ac:dyDescent="0.25">
      <c r="A24563" s="2">
        <v>24558</v>
      </c>
      <c r="B24563" s="3" t="str">
        <f>"01070481"</f>
        <v>01070481</v>
      </c>
    </row>
    <row r="24564" spans="1:2" x14ac:dyDescent="0.25">
      <c r="A24564" s="2">
        <v>24559</v>
      </c>
      <c r="B24564" s="3" t="str">
        <f>"01070484"</f>
        <v>01070484</v>
      </c>
    </row>
    <row r="24565" spans="1:2" x14ac:dyDescent="0.25">
      <c r="A24565" s="2">
        <v>24560</v>
      </c>
      <c r="B24565" s="3" t="str">
        <f>"01070488"</f>
        <v>01070488</v>
      </c>
    </row>
    <row r="24566" spans="1:2" x14ac:dyDescent="0.25">
      <c r="A24566" s="2">
        <v>24561</v>
      </c>
      <c r="B24566" s="3" t="str">
        <f>"01070502"</f>
        <v>01070502</v>
      </c>
    </row>
    <row r="24567" spans="1:2" x14ac:dyDescent="0.25">
      <c r="A24567" s="2">
        <v>24562</v>
      </c>
      <c r="B24567" s="3" t="str">
        <f>"01070505"</f>
        <v>01070505</v>
      </c>
    </row>
    <row r="24568" spans="1:2" x14ac:dyDescent="0.25">
      <c r="A24568" s="2">
        <v>24563</v>
      </c>
      <c r="B24568" s="3" t="str">
        <f>"01070506"</f>
        <v>01070506</v>
      </c>
    </row>
    <row r="24569" spans="1:2" x14ac:dyDescent="0.25">
      <c r="A24569" s="2">
        <v>24564</v>
      </c>
      <c r="B24569" s="3" t="str">
        <f>"01070511"</f>
        <v>01070511</v>
      </c>
    </row>
    <row r="24570" spans="1:2" x14ac:dyDescent="0.25">
      <c r="A24570" s="2">
        <v>24565</v>
      </c>
      <c r="B24570" s="3" t="str">
        <f>"01070513"</f>
        <v>01070513</v>
      </c>
    </row>
    <row r="24571" spans="1:2" x14ac:dyDescent="0.25">
      <c r="A24571" s="2">
        <v>24566</v>
      </c>
      <c r="B24571" s="3" t="str">
        <f>"01070520"</f>
        <v>01070520</v>
      </c>
    </row>
    <row r="24572" spans="1:2" x14ac:dyDescent="0.25">
      <c r="A24572" s="2">
        <v>24567</v>
      </c>
      <c r="B24572" s="3" t="str">
        <f>"01070528"</f>
        <v>01070528</v>
      </c>
    </row>
    <row r="24573" spans="1:2" x14ac:dyDescent="0.25">
      <c r="A24573" s="2">
        <v>24568</v>
      </c>
      <c r="B24573" s="3" t="str">
        <f>"01070535"</f>
        <v>01070535</v>
      </c>
    </row>
    <row r="24574" spans="1:2" x14ac:dyDescent="0.25">
      <c r="A24574" s="2">
        <v>24569</v>
      </c>
      <c r="B24574" s="3" t="str">
        <f>"01070542"</f>
        <v>01070542</v>
      </c>
    </row>
    <row r="24575" spans="1:2" x14ac:dyDescent="0.25">
      <c r="A24575" s="2">
        <v>24570</v>
      </c>
      <c r="B24575" s="3" t="str">
        <f>"01070556"</f>
        <v>01070556</v>
      </c>
    </row>
    <row r="24576" spans="1:2" x14ac:dyDescent="0.25">
      <c r="A24576" s="2">
        <v>24571</v>
      </c>
      <c r="B24576" s="3" t="str">
        <f>"01070559"</f>
        <v>01070559</v>
      </c>
    </row>
    <row r="24577" spans="1:2" x14ac:dyDescent="0.25">
      <c r="A24577" s="2">
        <v>24572</v>
      </c>
      <c r="B24577" s="3" t="str">
        <f>"01070562"</f>
        <v>01070562</v>
      </c>
    </row>
    <row r="24578" spans="1:2" x14ac:dyDescent="0.25">
      <c r="A24578" s="2">
        <v>24573</v>
      </c>
      <c r="B24578" s="3" t="str">
        <f>"01070568"</f>
        <v>01070568</v>
      </c>
    </row>
    <row r="24579" spans="1:2" x14ac:dyDescent="0.25">
      <c r="A24579" s="2">
        <v>24574</v>
      </c>
      <c r="B24579" s="3" t="str">
        <f>"01070573"</f>
        <v>01070573</v>
      </c>
    </row>
    <row r="24580" spans="1:2" x14ac:dyDescent="0.25">
      <c r="A24580" s="2">
        <v>24575</v>
      </c>
      <c r="B24580" s="3" t="str">
        <f>"01070578"</f>
        <v>01070578</v>
      </c>
    </row>
    <row r="24581" spans="1:2" x14ac:dyDescent="0.25">
      <c r="A24581" s="2">
        <v>24576</v>
      </c>
      <c r="B24581" s="3" t="str">
        <f>"01070584"</f>
        <v>01070584</v>
      </c>
    </row>
    <row r="24582" spans="1:2" x14ac:dyDescent="0.25">
      <c r="A24582" s="2">
        <v>24577</v>
      </c>
      <c r="B24582" s="3" t="str">
        <f>"01070590"</f>
        <v>01070590</v>
      </c>
    </row>
    <row r="24583" spans="1:2" x14ac:dyDescent="0.25">
      <c r="A24583" s="2">
        <v>24578</v>
      </c>
      <c r="B24583" s="3" t="str">
        <f>"01070591"</f>
        <v>01070591</v>
      </c>
    </row>
    <row r="24584" spans="1:2" x14ac:dyDescent="0.25">
      <c r="A24584" s="2">
        <v>24579</v>
      </c>
      <c r="B24584" s="3" t="str">
        <f>"01070592"</f>
        <v>01070592</v>
      </c>
    </row>
    <row r="24585" spans="1:2" x14ac:dyDescent="0.25">
      <c r="A24585" s="2">
        <v>24580</v>
      </c>
      <c r="B24585" s="3" t="str">
        <f>"01070593"</f>
        <v>01070593</v>
      </c>
    </row>
    <row r="24586" spans="1:2" x14ac:dyDescent="0.25">
      <c r="A24586" s="2">
        <v>24581</v>
      </c>
      <c r="B24586" s="3" t="str">
        <f>"01070594"</f>
        <v>01070594</v>
      </c>
    </row>
    <row r="24587" spans="1:2" x14ac:dyDescent="0.25">
      <c r="A24587" s="2">
        <v>24582</v>
      </c>
      <c r="B24587" s="3" t="str">
        <f>"01070604"</f>
        <v>01070604</v>
      </c>
    </row>
    <row r="24588" spans="1:2" x14ac:dyDescent="0.25">
      <c r="A24588" s="2">
        <v>24583</v>
      </c>
      <c r="B24588" s="3" t="str">
        <f>"01070605"</f>
        <v>01070605</v>
      </c>
    </row>
    <row r="24589" spans="1:2" x14ac:dyDescent="0.25">
      <c r="A24589" s="2">
        <v>24584</v>
      </c>
      <c r="B24589" s="3" t="str">
        <f>"01070607"</f>
        <v>01070607</v>
      </c>
    </row>
    <row r="24590" spans="1:2" x14ac:dyDescent="0.25">
      <c r="A24590" s="2">
        <v>24585</v>
      </c>
      <c r="B24590" s="3" t="str">
        <f>"01070610"</f>
        <v>01070610</v>
      </c>
    </row>
    <row r="24591" spans="1:2" x14ac:dyDescent="0.25">
      <c r="A24591" s="2">
        <v>24586</v>
      </c>
      <c r="B24591" s="3" t="str">
        <f>"01070612"</f>
        <v>01070612</v>
      </c>
    </row>
    <row r="24592" spans="1:2" x14ac:dyDescent="0.25">
      <c r="A24592" s="2">
        <v>24587</v>
      </c>
      <c r="B24592" s="3" t="str">
        <f>"01070625"</f>
        <v>01070625</v>
      </c>
    </row>
    <row r="24593" spans="1:2" x14ac:dyDescent="0.25">
      <c r="A24593" s="2">
        <v>24588</v>
      </c>
      <c r="B24593" s="3" t="str">
        <f>"01070627"</f>
        <v>01070627</v>
      </c>
    </row>
    <row r="24594" spans="1:2" x14ac:dyDescent="0.25">
      <c r="A24594" s="2">
        <v>24589</v>
      </c>
      <c r="B24594" s="3" t="str">
        <f>"01070628"</f>
        <v>01070628</v>
      </c>
    </row>
    <row r="24595" spans="1:2" x14ac:dyDescent="0.25">
      <c r="A24595" s="2">
        <v>24590</v>
      </c>
      <c r="B24595" s="3" t="str">
        <f>"01070638"</f>
        <v>01070638</v>
      </c>
    </row>
    <row r="24596" spans="1:2" x14ac:dyDescent="0.25">
      <c r="A24596" s="2">
        <v>24591</v>
      </c>
      <c r="B24596" s="3" t="str">
        <f>"01070641"</f>
        <v>01070641</v>
      </c>
    </row>
    <row r="24597" spans="1:2" x14ac:dyDescent="0.25">
      <c r="A24597" s="2">
        <v>24592</v>
      </c>
      <c r="B24597" s="3" t="str">
        <f>"01070642"</f>
        <v>01070642</v>
      </c>
    </row>
    <row r="24598" spans="1:2" x14ac:dyDescent="0.25">
      <c r="A24598" s="2">
        <v>24593</v>
      </c>
      <c r="B24598" s="3" t="str">
        <f>"01070644"</f>
        <v>01070644</v>
      </c>
    </row>
    <row r="24599" spans="1:2" x14ac:dyDescent="0.25">
      <c r="A24599" s="2">
        <v>24594</v>
      </c>
      <c r="B24599" s="3" t="str">
        <f>"01070647"</f>
        <v>01070647</v>
      </c>
    </row>
    <row r="24600" spans="1:2" x14ac:dyDescent="0.25">
      <c r="A24600" s="2">
        <v>24595</v>
      </c>
      <c r="B24600" s="3" t="str">
        <f>"01070651"</f>
        <v>01070651</v>
      </c>
    </row>
    <row r="24601" spans="1:2" x14ac:dyDescent="0.25">
      <c r="A24601" s="2">
        <v>24596</v>
      </c>
      <c r="B24601" s="3" t="str">
        <f>"01070653"</f>
        <v>01070653</v>
      </c>
    </row>
    <row r="24602" spans="1:2" x14ac:dyDescent="0.25">
      <c r="A24602" s="2">
        <v>24597</v>
      </c>
      <c r="B24602" s="3" t="str">
        <f>"01070655"</f>
        <v>01070655</v>
      </c>
    </row>
    <row r="24603" spans="1:2" x14ac:dyDescent="0.25">
      <c r="A24603" s="2">
        <v>24598</v>
      </c>
      <c r="B24603" s="3" t="str">
        <f>"01070663"</f>
        <v>01070663</v>
      </c>
    </row>
    <row r="24604" spans="1:2" x14ac:dyDescent="0.25">
      <c r="A24604" s="2">
        <v>24599</v>
      </c>
      <c r="B24604" s="3" t="str">
        <f>"01070664"</f>
        <v>01070664</v>
      </c>
    </row>
    <row r="24605" spans="1:2" x14ac:dyDescent="0.25">
      <c r="A24605" s="2">
        <v>24600</v>
      </c>
      <c r="B24605" s="3" t="str">
        <f>"01070666"</f>
        <v>01070666</v>
      </c>
    </row>
    <row r="24606" spans="1:2" x14ac:dyDescent="0.25">
      <c r="A24606" s="2">
        <v>24601</v>
      </c>
      <c r="B24606" s="3" t="str">
        <f>"01070672"</f>
        <v>01070672</v>
      </c>
    </row>
    <row r="24607" spans="1:2" x14ac:dyDescent="0.25">
      <c r="A24607" s="2">
        <v>24602</v>
      </c>
      <c r="B24607" s="3" t="str">
        <f>"01070679"</f>
        <v>01070679</v>
      </c>
    </row>
    <row r="24608" spans="1:2" x14ac:dyDescent="0.25">
      <c r="A24608" s="2">
        <v>24603</v>
      </c>
      <c r="B24608" s="3" t="str">
        <f>"01070680"</f>
        <v>01070680</v>
      </c>
    </row>
    <row r="24609" spans="1:2" x14ac:dyDescent="0.25">
      <c r="A24609" s="2">
        <v>24604</v>
      </c>
      <c r="B24609" s="3" t="str">
        <f>"01070697"</f>
        <v>01070697</v>
      </c>
    </row>
    <row r="24610" spans="1:2" x14ac:dyDescent="0.25">
      <c r="A24610" s="2">
        <v>24605</v>
      </c>
      <c r="B24610" s="3" t="str">
        <f>"01070703"</f>
        <v>01070703</v>
      </c>
    </row>
    <row r="24611" spans="1:2" x14ac:dyDescent="0.25">
      <c r="A24611" s="2">
        <v>24606</v>
      </c>
      <c r="B24611" s="3" t="str">
        <f>"01070705"</f>
        <v>01070705</v>
      </c>
    </row>
    <row r="24612" spans="1:2" x14ac:dyDescent="0.25">
      <c r="A24612" s="2">
        <v>24607</v>
      </c>
      <c r="B24612" s="3" t="str">
        <f>"01070706"</f>
        <v>01070706</v>
      </c>
    </row>
    <row r="24613" spans="1:2" x14ac:dyDescent="0.25">
      <c r="A24613" s="2">
        <v>24608</v>
      </c>
      <c r="B24613" s="3" t="str">
        <f>"01070710"</f>
        <v>01070710</v>
      </c>
    </row>
    <row r="24614" spans="1:2" x14ac:dyDescent="0.25">
      <c r="A24614" s="2">
        <v>24609</v>
      </c>
      <c r="B24614" s="3" t="str">
        <f>"01070717"</f>
        <v>01070717</v>
      </c>
    </row>
    <row r="24615" spans="1:2" x14ac:dyDescent="0.25">
      <c r="A24615" s="2">
        <v>24610</v>
      </c>
      <c r="B24615" s="3" t="str">
        <f>"01070732"</f>
        <v>01070732</v>
      </c>
    </row>
    <row r="24616" spans="1:2" x14ac:dyDescent="0.25">
      <c r="A24616" s="2">
        <v>24611</v>
      </c>
      <c r="B24616" s="3" t="str">
        <f>"01070733"</f>
        <v>01070733</v>
      </c>
    </row>
    <row r="24617" spans="1:2" x14ac:dyDescent="0.25">
      <c r="A24617" s="2">
        <v>24612</v>
      </c>
      <c r="B24617" s="3" t="str">
        <f>"01070736"</f>
        <v>01070736</v>
      </c>
    </row>
    <row r="24618" spans="1:2" x14ac:dyDescent="0.25">
      <c r="A24618" s="2">
        <v>24613</v>
      </c>
      <c r="B24618" s="3" t="str">
        <f>"01070741"</f>
        <v>01070741</v>
      </c>
    </row>
    <row r="24619" spans="1:2" x14ac:dyDescent="0.25">
      <c r="A24619" s="2">
        <v>24614</v>
      </c>
      <c r="B24619" s="3" t="str">
        <f>"01070756"</f>
        <v>01070756</v>
      </c>
    </row>
    <row r="24620" spans="1:2" x14ac:dyDescent="0.25">
      <c r="A24620" s="2">
        <v>24615</v>
      </c>
      <c r="B24620" s="3" t="str">
        <f>"01070761"</f>
        <v>01070761</v>
      </c>
    </row>
    <row r="24621" spans="1:2" x14ac:dyDescent="0.25">
      <c r="A24621" s="2">
        <v>24616</v>
      </c>
      <c r="B24621" s="3" t="str">
        <f>"01070765"</f>
        <v>01070765</v>
      </c>
    </row>
    <row r="24622" spans="1:2" x14ac:dyDescent="0.25">
      <c r="A24622" s="2">
        <v>24617</v>
      </c>
      <c r="B24622" s="3" t="str">
        <f>"01070766"</f>
        <v>01070766</v>
      </c>
    </row>
    <row r="24623" spans="1:2" x14ac:dyDescent="0.25">
      <c r="A24623" s="2">
        <v>24618</v>
      </c>
      <c r="B24623" s="3" t="str">
        <f>"01070773"</f>
        <v>01070773</v>
      </c>
    </row>
    <row r="24624" spans="1:2" x14ac:dyDescent="0.25">
      <c r="A24624" s="2">
        <v>24619</v>
      </c>
      <c r="B24624" s="3" t="str">
        <f>"01070776"</f>
        <v>01070776</v>
      </c>
    </row>
    <row r="24625" spans="1:2" x14ac:dyDescent="0.25">
      <c r="A24625" s="2">
        <v>24620</v>
      </c>
      <c r="B24625" s="3" t="str">
        <f>"01070799"</f>
        <v>01070799</v>
      </c>
    </row>
    <row r="24626" spans="1:2" x14ac:dyDescent="0.25">
      <c r="A24626" s="2">
        <v>24621</v>
      </c>
      <c r="B24626" s="3" t="str">
        <f>"01070805"</f>
        <v>01070805</v>
      </c>
    </row>
    <row r="24627" spans="1:2" x14ac:dyDescent="0.25">
      <c r="A24627" s="2">
        <v>24622</v>
      </c>
      <c r="B24627" s="3" t="str">
        <f>"01070819"</f>
        <v>01070819</v>
      </c>
    </row>
    <row r="24628" spans="1:2" x14ac:dyDescent="0.25">
      <c r="A24628" s="2">
        <v>24623</v>
      </c>
      <c r="B24628" s="3" t="str">
        <f>"01070828"</f>
        <v>01070828</v>
      </c>
    </row>
    <row r="24629" spans="1:2" x14ac:dyDescent="0.25">
      <c r="A24629" s="2">
        <v>24624</v>
      </c>
      <c r="B24629" s="3" t="str">
        <f>"01070839"</f>
        <v>01070839</v>
      </c>
    </row>
    <row r="24630" spans="1:2" x14ac:dyDescent="0.25">
      <c r="A24630" s="2">
        <v>24625</v>
      </c>
      <c r="B24630" s="3" t="str">
        <f>"01070842"</f>
        <v>01070842</v>
      </c>
    </row>
    <row r="24631" spans="1:2" x14ac:dyDescent="0.25">
      <c r="A24631" s="2">
        <v>24626</v>
      </c>
      <c r="B24631" s="3" t="str">
        <f>"01070844"</f>
        <v>01070844</v>
      </c>
    </row>
    <row r="24632" spans="1:2" x14ac:dyDescent="0.25">
      <c r="A24632" s="2">
        <v>24627</v>
      </c>
      <c r="B24632" s="3" t="str">
        <f>"01070846"</f>
        <v>01070846</v>
      </c>
    </row>
    <row r="24633" spans="1:2" x14ac:dyDescent="0.25">
      <c r="A24633" s="2">
        <v>24628</v>
      </c>
      <c r="B24633" s="3" t="str">
        <f>"01070851"</f>
        <v>01070851</v>
      </c>
    </row>
    <row r="24634" spans="1:2" x14ac:dyDescent="0.25">
      <c r="A24634" s="2">
        <v>24629</v>
      </c>
      <c r="B24634" s="3" t="str">
        <f>"01070857"</f>
        <v>01070857</v>
      </c>
    </row>
    <row r="24635" spans="1:2" x14ac:dyDescent="0.25">
      <c r="A24635" s="2">
        <v>24630</v>
      </c>
      <c r="B24635" s="3" t="str">
        <f>"01070860"</f>
        <v>01070860</v>
      </c>
    </row>
    <row r="24636" spans="1:2" x14ac:dyDescent="0.25">
      <c r="A24636" s="2">
        <v>24631</v>
      </c>
      <c r="B24636" s="3" t="str">
        <f>"01070861"</f>
        <v>01070861</v>
      </c>
    </row>
    <row r="24637" spans="1:2" x14ac:dyDescent="0.25">
      <c r="A24637" s="2">
        <v>24632</v>
      </c>
      <c r="B24637" s="3" t="str">
        <f>"01070866"</f>
        <v>01070866</v>
      </c>
    </row>
    <row r="24638" spans="1:2" x14ac:dyDescent="0.25">
      <c r="A24638" s="2">
        <v>24633</v>
      </c>
      <c r="B24638" s="3" t="str">
        <f>"01070877"</f>
        <v>01070877</v>
      </c>
    </row>
    <row r="24639" spans="1:2" x14ac:dyDescent="0.25">
      <c r="A24639" s="2">
        <v>24634</v>
      </c>
      <c r="B24639" s="3" t="str">
        <f>"01070879"</f>
        <v>01070879</v>
      </c>
    </row>
    <row r="24640" spans="1:2" x14ac:dyDescent="0.25">
      <c r="A24640" s="2">
        <v>24635</v>
      </c>
      <c r="B24640" s="3" t="str">
        <f>"01070911"</f>
        <v>01070911</v>
      </c>
    </row>
    <row r="24641" spans="1:2" x14ac:dyDescent="0.25">
      <c r="A24641" s="2">
        <v>24636</v>
      </c>
      <c r="B24641" s="3" t="str">
        <f>"01070914"</f>
        <v>01070914</v>
      </c>
    </row>
    <row r="24642" spans="1:2" x14ac:dyDescent="0.25">
      <c r="A24642" s="2">
        <v>24637</v>
      </c>
      <c r="B24642" s="3" t="str">
        <f>"01070920"</f>
        <v>01070920</v>
      </c>
    </row>
    <row r="24643" spans="1:2" x14ac:dyDescent="0.25">
      <c r="A24643" s="2">
        <v>24638</v>
      </c>
      <c r="B24643" s="3" t="str">
        <f>"01070921"</f>
        <v>01070921</v>
      </c>
    </row>
    <row r="24644" spans="1:2" x14ac:dyDescent="0.25">
      <c r="A24644" s="2">
        <v>24639</v>
      </c>
      <c r="B24644" s="3" t="str">
        <f>"01070922"</f>
        <v>01070922</v>
      </c>
    </row>
    <row r="24645" spans="1:2" x14ac:dyDescent="0.25">
      <c r="A24645" s="2">
        <v>24640</v>
      </c>
      <c r="B24645" s="3" t="str">
        <f>"01070926"</f>
        <v>01070926</v>
      </c>
    </row>
    <row r="24646" spans="1:2" x14ac:dyDescent="0.25">
      <c r="A24646" s="2">
        <v>24641</v>
      </c>
      <c r="B24646" s="3" t="str">
        <f>"01070927"</f>
        <v>01070927</v>
      </c>
    </row>
    <row r="24647" spans="1:2" x14ac:dyDescent="0.25">
      <c r="A24647" s="2">
        <v>24642</v>
      </c>
      <c r="B24647" s="3" t="str">
        <f>"01070935"</f>
        <v>01070935</v>
      </c>
    </row>
    <row r="24648" spans="1:2" x14ac:dyDescent="0.25">
      <c r="A24648" s="2">
        <v>24643</v>
      </c>
      <c r="B24648" s="3" t="str">
        <f>"01070936"</f>
        <v>01070936</v>
      </c>
    </row>
    <row r="24649" spans="1:2" x14ac:dyDescent="0.25">
      <c r="A24649" s="2">
        <v>24644</v>
      </c>
      <c r="B24649" s="3" t="str">
        <f>"01070940"</f>
        <v>01070940</v>
      </c>
    </row>
    <row r="24650" spans="1:2" x14ac:dyDescent="0.25">
      <c r="A24650" s="2">
        <v>24645</v>
      </c>
      <c r="B24650" s="3" t="str">
        <f>"01070941"</f>
        <v>01070941</v>
      </c>
    </row>
    <row r="24651" spans="1:2" x14ac:dyDescent="0.25">
      <c r="A24651" s="2">
        <v>24646</v>
      </c>
      <c r="B24651" s="3" t="str">
        <f>"01070943"</f>
        <v>01070943</v>
      </c>
    </row>
    <row r="24652" spans="1:2" x14ac:dyDescent="0.25">
      <c r="A24652" s="2">
        <v>24647</v>
      </c>
      <c r="B24652" s="3" t="str">
        <f>"01070944"</f>
        <v>01070944</v>
      </c>
    </row>
    <row r="24653" spans="1:2" x14ac:dyDescent="0.25">
      <c r="A24653" s="2">
        <v>24648</v>
      </c>
      <c r="B24653" s="3" t="str">
        <f>"01070945"</f>
        <v>01070945</v>
      </c>
    </row>
    <row r="24654" spans="1:2" x14ac:dyDescent="0.25">
      <c r="A24654" s="2">
        <v>24649</v>
      </c>
      <c r="B24654" s="3" t="str">
        <f>"01070946"</f>
        <v>01070946</v>
      </c>
    </row>
    <row r="24655" spans="1:2" x14ac:dyDescent="0.25">
      <c r="A24655" s="2">
        <v>24650</v>
      </c>
      <c r="B24655" s="3" t="str">
        <f>"01070948"</f>
        <v>01070948</v>
      </c>
    </row>
    <row r="24656" spans="1:2" x14ac:dyDescent="0.25">
      <c r="A24656" s="2">
        <v>24651</v>
      </c>
      <c r="B24656" s="3" t="str">
        <f>"01070952"</f>
        <v>01070952</v>
      </c>
    </row>
    <row r="24657" spans="1:2" x14ac:dyDescent="0.25">
      <c r="A24657" s="2">
        <v>24652</v>
      </c>
      <c r="B24657" s="3" t="str">
        <f>"01070955"</f>
        <v>01070955</v>
      </c>
    </row>
    <row r="24658" spans="1:2" x14ac:dyDescent="0.25">
      <c r="A24658" s="2">
        <v>24653</v>
      </c>
      <c r="B24658" s="3" t="str">
        <f>"01070956"</f>
        <v>01070956</v>
      </c>
    </row>
    <row r="24659" spans="1:2" x14ac:dyDescent="0.25">
      <c r="A24659" s="2">
        <v>24654</v>
      </c>
      <c r="B24659" s="3" t="str">
        <f>"01070963"</f>
        <v>01070963</v>
      </c>
    </row>
    <row r="24660" spans="1:2" x14ac:dyDescent="0.25">
      <c r="A24660" s="2">
        <v>24655</v>
      </c>
      <c r="B24660" s="3" t="str">
        <f>"01070967"</f>
        <v>01070967</v>
      </c>
    </row>
    <row r="24661" spans="1:2" x14ac:dyDescent="0.25">
      <c r="A24661" s="2">
        <v>24656</v>
      </c>
      <c r="B24661" s="3" t="str">
        <f>"01070969"</f>
        <v>01070969</v>
      </c>
    </row>
    <row r="24662" spans="1:2" x14ac:dyDescent="0.25">
      <c r="A24662" s="2">
        <v>24657</v>
      </c>
      <c r="B24662" s="3" t="str">
        <f>"01070977"</f>
        <v>01070977</v>
      </c>
    </row>
    <row r="24663" spans="1:2" x14ac:dyDescent="0.25">
      <c r="A24663" s="2">
        <v>24658</v>
      </c>
      <c r="B24663" s="3" t="str">
        <f>"01070979"</f>
        <v>01070979</v>
      </c>
    </row>
    <row r="24664" spans="1:2" x14ac:dyDescent="0.25">
      <c r="A24664" s="2">
        <v>24659</v>
      </c>
      <c r="B24664" s="3" t="str">
        <f>"01070986"</f>
        <v>01070986</v>
      </c>
    </row>
    <row r="24665" spans="1:2" x14ac:dyDescent="0.25">
      <c r="A24665" s="2">
        <v>24660</v>
      </c>
      <c r="B24665" s="3" t="str">
        <f>"01070996"</f>
        <v>01070996</v>
      </c>
    </row>
    <row r="24666" spans="1:2" x14ac:dyDescent="0.25">
      <c r="A24666" s="2">
        <v>24661</v>
      </c>
      <c r="B24666" s="3" t="str">
        <f>"01070997"</f>
        <v>01070997</v>
      </c>
    </row>
    <row r="24667" spans="1:2" x14ac:dyDescent="0.25">
      <c r="A24667" s="2">
        <v>24662</v>
      </c>
      <c r="B24667" s="3" t="str">
        <f>"01071000"</f>
        <v>01071000</v>
      </c>
    </row>
    <row r="24668" spans="1:2" x14ac:dyDescent="0.25">
      <c r="A24668" s="2">
        <v>24663</v>
      </c>
      <c r="B24668" s="3" t="str">
        <f>"01071001"</f>
        <v>01071001</v>
      </c>
    </row>
    <row r="24669" spans="1:2" x14ac:dyDescent="0.25">
      <c r="A24669" s="2">
        <v>24664</v>
      </c>
      <c r="B24669" s="3" t="str">
        <f>"01071004"</f>
        <v>01071004</v>
      </c>
    </row>
    <row r="24670" spans="1:2" x14ac:dyDescent="0.25">
      <c r="A24670" s="2">
        <v>24665</v>
      </c>
      <c r="B24670" s="3" t="str">
        <f>"01071014"</f>
        <v>01071014</v>
      </c>
    </row>
    <row r="24671" spans="1:2" x14ac:dyDescent="0.25">
      <c r="A24671" s="2">
        <v>24666</v>
      </c>
      <c r="B24671" s="3" t="str">
        <f>"01071015"</f>
        <v>01071015</v>
      </c>
    </row>
    <row r="24672" spans="1:2" x14ac:dyDescent="0.25">
      <c r="A24672" s="2">
        <v>24667</v>
      </c>
      <c r="B24672" s="3" t="str">
        <f>"01071018"</f>
        <v>01071018</v>
      </c>
    </row>
    <row r="24673" spans="1:2" x14ac:dyDescent="0.25">
      <c r="A24673" s="2">
        <v>24668</v>
      </c>
      <c r="B24673" s="3" t="str">
        <f>"01071022"</f>
        <v>01071022</v>
      </c>
    </row>
    <row r="24674" spans="1:2" x14ac:dyDescent="0.25">
      <c r="A24674" s="2">
        <v>24669</v>
      </c>
      <c r="B24674" s="3" t="str">
        <f>"01071023"</f>
        <v>01071023</v>
      </c>
    </row>
    <row r="24675" spans="1:2" x14ac:dyDescent="0.25">
      <c r="A24675" s="2">
        <v>24670</v>
      </c>
      <c r="B24675" s="3" t="str">
        <f>"01071024"</f>
        <v>01071024</v>
      </c>
    </row>
    <row r="24676" spans="1:2" x14ac:dyDescent="0.25">
      <c r="A24676" s="2">
        <v>24671</v>
      </c>
      <c r="B24676" s="3" t="str">
        <f>"01071031"</f>
        <v>01071031</v>
      </c>
    </row>
    <row r="24677" spans="1:2" x14ac:dyDescent="0.25">
      <c r="A24677" s="2">
        <v>24672</v>
      </c>
      <c r="B24677" s="3" t="str">
        <f>"01071032"</f>
        <v>01071032</v>
      </c>
    </row>
    <row r="24678" spans="1:2" x14ac:dyDescent="0.25">
      <c r="A24678" s="2">
        <v>24673</v>
      </c>
      <c r="B24678" s="3" t="str">
        <f>"01071034"</f>
        <v>01071034</v>
      </c>
    </row>
    <row r="24679" spans="1:2" x14ac:dyDescent="0.25">
      <c r="A24679" s="2">
        <v>24674</v>
      </c>
      <c r="B24679" s="3" t="str">
        <f>"01071036"</f>
        <v>01071036</v>
      </c>
    </row>
    <row r="24680" spans="1:2" x14ac:dyDescent="0.25">
      <c r="A24680" s="2">
        <v>24675</v>
      </c>
      <c r="B24680" s="3" t="str">
        <f>"01071045"</f>
        <v>01071045</v>
      </c>
    </row>
    <row r="24681" spans="1:2" x14ac:dyDescent="0.25">
      <c r="A24681" s="2">
        <v>24676</v>
      </c>
      <c r="B24681" s="3" t="str">
        <f>"01071047"</f>
        <v>01071047</v>
      </c>
    </row>
    <row r="24682" spans="1:2" x14ac:dyDescent="0.25">
      <c r="A24682" s="2">
        <v>24677</v>
      </c>
      <c r="B24682" s="3" t="str">
        <f>"01071063"</f>
        <v>01071063</v>
      </c>
    </row>
    <row r="24683" spans="1:2" x14ac:dyDescent="0.25">
      <c r="A24683" s="2">
        <v>24678</v>
      </c>
      <c r="B24683" s="3" t="str">
        <f>"01071069"</f>
        <v>01071069</v>
      </c>
    </row>
    <row r="24684" spans="1:2" x14ac:dyDescent="0.25">
      <c r="A24684" s="2">
        <v>24679</v>
      </c>
      <c r="B24684" s="3" t="str">
        <f>"01071070"</f>
        <v>01071070</v>
      </c>
    </row>
    <row r="24685" spans="1:2" x14ac:dyDescent="0.25">
      <c r="A24685" s="2">
        <v>24680</v>
      </c>
      <c r="B24685" s="3" t="str">
        <f>"01071074"</f>
        <v>01071074</v>
      </c>
    </row>
    <row r="24686" spans="1:2" x14ac:dyDescent="0.25">
      <c r="A24686" s="2">
        <v>24681</v>
      </c>
      <c r="B24686" s="3" t="str">
        <f>"01071076"</f>
        <v>01071076</v>
      </c>
    </row>
    <row r="24687" spans="1:2" x14ac:dyDescent="0.25">
      <c r="A24687" s="2">
        <v>24682</v>
      </c>
      <c r="B24687" s="3" t="str">
        <f>"01071091"</f>
        <v>01071091</v>
      </c>
    </row>
    <row r="24688" spans="1:2" x14ac:dyDescent="0.25">
      <c r="A24688" s="2">
        <v>24683</v>
      </c>
      <c r="B24688" s="3" t="str">
        <f>"01071092"</f>
        <v>01071092</v>
      </c>
    </row>
    <row r="24689" spans="1:2" x14ac:dyDescent="0.25">
      <c r="A24689" s="2">
        <v>24684</v>
      </c>
      <c r="B24689" s="3" t="str">
        <f>"01071102"</f>
        <v>01071102</v>
      </c>
    </row>
    <row r="24690" spans="1:2" x14ac:dyDescent="0.25">
      <c r="A24690" s="2">
        <v>24685</v>
      </c>
      <c r="B24690" s="3" t="str">
        <f>"01071103"</f>
        <v>01071103</v>
      </c>
    </row>
    <row r="24691" spans="1:2" x14ac:dyDescent="0.25">
      <c r="A24691" s="2">
        <v>24686</v>
      </c>
      <c r="B24691" s="3" t="str">
        <f>"01071105"</f>
        <v>01071105</v>
      </c>
    </row>
    <row r="24692" spans="1:2" x14ac:dyDescent="0.25">
      <c r="A24692" s="2">
        <v>24687</v>
      </c>
      <c r="B24692" s="3" t="str">
        <f>"01071114"</f>
        <v>01071114</v>
      </c>
    </row>
    <row r="24693" spans="1:2" x14ac:dyDescent="0.25">
      <c r="A24693" s="2">
        <v>24688</v>
      </c>
      <c r="B24693" s="3" t="str">
        <f>"01071119"</f>
        <v>01071119</v>
      </c>
    </row>
    <row r="24694" spans="1:2" x14ac:dyDescent="0.25">
      <c r="A24694" s="2">
        <v>24689</v>
      </c>
      <c r="B24694" s="3" t="str">
        <f>"01071121"</f>
        <v>01071121</v>
      </c>
    </row>
    <row r="24695" spans="1:2" x14ac:dyDescent="0.25">
      <c r="A24695" s="2">
        <v>24690</v>
      </c>
      <c r="B24695" s="3" t="str">
        <f>"01071123"</f>
        <v>01071123</v>
      </c>
    </row>
    <row r="24696" spans="1:2" x14ac:dyDescent="0.25">
      <c r="A24696" s="2">
        <v>24691</v>
      </c>
      <c r="B24696" s="3" t="str">
        <f>"01071126"</f>
        <v>01071126</v>
      </c>
    </row>
    <row r="24697" spans="1:2" x14ac:dyDescent="0.25">
      <c r="A24697" s="2">
        <v>24692</v>
      </c>
      <c r="B24697" s="3" t="str">
        <f>"01071130"</f>
        <v>01071130</v>
      </c>
    </row>
    <row r="24698" spans="1:2" x14ac:dyDescent="0.25">
      <c r="A24698" s="2">
        <v>24693</v>
      </c>
      <c r="B24698" s="3" t="str">
        <f>"01071132"</f>
        <v>01071132</v>
      </c>
    </row>
    <row r="24699" spans="1:2" x14ac:dyDescent="0.25">
      <c r="A24699" s="2">
        <v>24694</v>
      </c>
      <c r="B24699" s="3" t="str">
        <f>"01071144"</f>
        <v>01071144</v>
      </c>
    </row>
    <row r="24700" spans="1:2" x14ac:dyDescent="0.25">
      <c r="A24700" s="2">
        <v>24695</v>
      </c>
      <c r="B24700" s="3" t="str">
        <f>"01071155"</f>
        <v>01071155</v>
      </c>
    </row>
    <row r="24701" spans="1:2" x14ac:dyDescent="0.25">
      <c r="A24701" s="2">
        <v>24696</v>
      </c>
      <c r="B24701" s="3" t="str">
        <f>"01071157"</f>
        <v>01071157</v>
      </c>
    </row>
    <row r="24702" spans="1:2" x14ac:dyDescent="0.25">
      <c r="A24702" s="2">
        <v>24697</v>
      </c>
      <c r="B24702" s="3" t="str">
        <f>"01071159"</f>
        <v>01071159</v>
      </c>
    </row>
    <row r="24703" spans="1:2" x14ac:dyDescent="0.25">
      <c r="A24703" s="2">
        <v>24698</v>
      </c>
      <c r="B24703" s="3" t="str">
        <f>"01071161"</f>
        <v>01071161</v>
      </c>
    </row>
    <row r="24704" spans="1:2" x14ac:dyDescent="0.25">
      <c r="A24704" s="2">
        <v>24699</v>
      </c>
      <c r="B24704" s="3" t="str">
        <f>"01071180"</f>
        <v>01071180</v>
      </c>
    </row>
    <row r="24705" spans="1:2" x14ac:dyDescent="0.25">
      <c r="A24705" s="2">
        <v>24700</v>
      </c>
      <c r="B24705" s="3" t="str">
        <f>"01071185"</f>
        <v>01071185</v>
      </c>
    </row>
    <row r="24706" spans="1:2" x14ac:dyDescent="0.25">
      <c r="A24706" s="2">
        <v>24701</v>
      </c>
      <c r="B24706" s="3" t="str">
        <f>"01071188"</f>
        <v>01071188</v>
      </c>
    </row>
    <row r="24707" spans="1:2" x14ac:dyDescent="0.25">
      <c r="A24707" s="2">
        <v>24702</v>
      </c>
      <c r="B24707" s="3" t="str">
        <f>"01071198"</f>
        <v>01071198</v>
      </c>
    </row>
    <row r="24708" spans="1:2" x14ac:dyDescent="0.25">
      <c r="A24708" s="2">
        <v>24703</v>
      </c>
      <c r="B24708" s="3" t="str">
        <f>"01071215"</f>
        <v>01071215</v>
      </c>
    </row>
    <row r="24709" spans="1:2" x14ac:dyDescent="0.25">
      <c r="A24709" s="2">
        <v>24704</v>
      </c>
      <c r="B24709" s="3" t="str">
        <f>"01071222"</f>
        <v>01071222</v>
      </c>
    </row>
    <row r="24710" spans="1:2" x14ac:dyDescent="0.25">
      <c r="A24710" s="2">
        <v>24705</v>
      </c>
      <c r="B24710" s="3" t="str">
        <f>"01071225"</f>
        <v>01071225</v>
      </c>
    </row>
    <row r="24711" spans="1:2" x14ac:dyDescent="0.25">
      <c r="A24711" s="2">
        <v>24706</v>
      </c>
      <c r="B24711" s="3" t="str">
        <f>"01071227"</f>
        <v>01071227</v>
      </c>
    </row>
    <row r="24712" spans="1:2" x14ac:dyDescent="0.25">
      <c r="A24712" s="2">
        <v>24707</v>
      </c>
      <c r="B24712" s="3" t="str">
        <f>"01071232"</f>
        <v>01071232</v>
      </c>
    </row>
    <row r="24713" spans="1:2" x14ac:dyDescent="0.25">
      <c r="A24713" s="2">
        <v>24708</v>
      </c>
      <c r="B24713" s="3" t="str">
        <f>"01071234"</f>
        <v>01071234</v>
      </c>
    </row>
    <row r="24714" spans="1:2" x14ac:dyDescent="0.25">
      <c r="A24714" s="2">
        <v>24709</v>
      </c>
      <c r="B24714" s="3" t="str">
        <f>"01071239"</f>
        <v>01071239</v>
      </c>
    </row>
    <row r="24715" spans="1:2" x14ac:dyDescent="0.25">
      <c r="A24715" s="2">
        <v>24710</v>
      </c>
      <c r="B24715" s="3" t="str">
        <f>"01071241"</f>
        <v>01071241</v>
      </c>
    </row>
    <row r="24716" spans="1:2" x14ac:dyDescent="0.25">
      <c r="A24716" s="2">
        <v>24711</v>
      </c>
      <c r="B24716" s="3" t="str">
        <f>"01071242"</f>
        <v>01071242</v>
      </c>
    </row>
    <row r="24717" spans="1:2" x14ac:dyDescent="0.25">
      <c r="A24717" s="2">
        <v>24712</v>
      </c>
      <c r="B24717" s="3" t="str">
        <f>"01071246"</f>
        <v>01071246</v>
      </c>
    </row>
    <row r="24718" spans="1:2" x14ac:dyDescent="0.25">
      <c r="A24718" s="2">
        <v>24713</v>
      </c>
      <c r="B24718" s="3" t="str">
        <f>"01071251"</f>
        <v>01071251</v>
      </c>
    </row>
    <row r="24719" spans="1:2" x14ac:dyDescent="0.25">
      <c r="A24719" s="2">
        <v>24714</v>
      </c>
      <c r="B24719" s="3" t="str">
        <f>"01071254"</f>
        <v>01071254</v>
      </c>
    </row>
    <row r="24720" spans="1:2" x14ac:dyDescent="0.25">
      <c r="A24720" s="2">
        <v>24715</v>
      </c>
      <c r="B24720" s="3" t="str">
        <f>"01071258"</f>
        <v>01071258</v>
      </c>
    </row>
    <row r="24721" spans="1:2" x14ac:dyDescent="0.25">
      <c r="A24721" s="2">
        <v>24716</v>
      </c>
      <c r="B24721" s="3" t="str">
        <f>"01071269"</f>
        <v>01071269</v>
      </c>
    </row>
    <row r="24722" spans="1:2" x14ac:dyDescent="0.25">
      <c r="A24722" s="2">
        <v>24717</v>
      </c>
      <c r="B24722" s="3" t="str">
        <f>"01071270"</f>
        <v>01071270</v>
      </c>
    </row>
    <row r="24723" spans="1:2" x14ac:dyDescent="0.25">
      <c r="A24723" s="2">
        <v>24718</v>
      </c>
      <c r="B24723" s="3" t="str">
        <f>"01071274"</f>
        <v>01071274</v>
      </c>
    </row>
    <row r="24724" spans="1:2" x14ac:dyDescent="0.25">
      <c r="A24724" s="2">
        <v>24719</v>
      </c>
      <c r="B24724" s="3" t="str">
        <f>"01071275"</f>
        <v>01071275</v>
      </c>
    </row>
    <row r="24725" spans="1:2" x14ac:dyDescent="0.25">
      <c r="A24725" s="2">
        <v>24720</v>
      </c>
      <c r="B24725" s="3" t="str">
        <f>"01071283"</f>
        <v>01071283</v>
      </c>
    </row>
    <row r="24726" spans="1:2" x14ac:dyDescent="0.25">
      <c r="A24726" s="2">
        <v>24721</v>
      </c>
      <c r="B24726" s="3" t="str">
        <f>"01071286"</f>
        <v>01071286</v>
      </c>
    </row>
    <row r="24727" spans="1:2" x14ac:dyDescent="0.25">
      <c r="A24727" s="2">
        <v>24722</v>
      </c>
      <c r="B24727" s="3" t="str">
        <f>"01071289"</f>
        <v>01071289</v>
      </c>
    </row>
    <row r="24728" spans="1:2" x14ac:dyDescent="0.25">
      <c r="A24728" s="2">
        <v>24723</v>
      </c>
      <c r="B24728" s="3" t="str">
        <f>"01071299"</f>
        <v>01071299</v>
      </c>
    </row>
    <row r="24729" spans="1:2" x14ac:dyDescent="0.25">
      <c r="A24729" s="2">
        <v>24724</v>
      </c>
      <c r="B24729" s="3" t="str">
        <f>"01071301"</f>
        <v>01071301</v>
      </c>
    </row>
    <row r="24730" spans="1:2" x14ac:dyDescent="0.25">
      <c r="A24730" s="2">
        <v>24725</v>
      </c>
      <c r="B24730" s="3" t="str">
        <f>"01071305"</f>
        <v>01071305</v>
      </c>
    </row>
    <row r="24731" spans="1:2" x14ac:dyDescent="0.25">
      <c r="A24731" s="2">
        <v>24726</v>
      </c>
      <c r="B24731" s="3" t="str">
        <f>"01071312"</f>
        <v>01071312</v>
      </c>
    </row>
    <row r="24732" spans="1:2" x14ac:dyDescent="0.25">
      <c r="A24732" s="2">
        <v>24727</v>
      </c>
      <c r="B24732" s="3" t="str">
        <f>"01071321"</f>
        <v>01071321</v>
      </c>
    </row>
    <row r="24733" spans="1:2" x14ac:dyDescent="0.25">
      <c r="A24733" s="2">
        <v>24728</v>
      </c>
      <c r="B24733" s="3" t="str">
        <f>"01071322"</f>
        <v>01071322</v>
      </c>
    </row>
    <row r="24734" spans="1:2" x14ac:dyDescent="0.25">
      <c r="A24734" s="2">
        <v>24729</v>
      </c>
      <c r="B24734" s="3" t="str">
        <f>"01071323"</f>
        <v>01071323</v>
      </c>
    </row>
    <row r="24735" spans="1:2" x14ac:dyDescent="0.25">
      <c r="A24735" s="2">
        <v>24730</v>
      </c>
      <c r="B24735" s="3" t="str">
        <f>"01071326"</f>
        <v>01071326</v>
      </c>
    </row>
    <row r="24736" spans="1:2" x14ac:dyDescent="0.25">
      <c r="A24736" s="2">
        <v>24731</v>
      </c>
      <c r="B24736" s="3" t="str">
        <f>"01071328"</f>
        <v>01071328</v>
      </c>
    </row>
    <row r="24737" spans="1:2" x14ac:dyDescent="0.25">
      <c r="A24737" s="2">
        <v>24732</v>
      </c>
      <c r="B24737" s="3" t="str">
        <f>"01071342"</f>
        <v>01071342</v>
      </c>
    </row>
    <row r="24738" spans="1:2" x14ac:dyDescent="0.25">
      <c r="A24738" s="2">
        <v>24733</v>
      </c>
      <c r="B24738" s="3" t="str">
        <f>"01071346"</f>
        <v>01071346</v>
      </c>
    </row>
    <row r="24739" spans="1:2" x14ac:dyDescent="0.25">
      <c r="A24739" s="2">
        <v>24734</v>
      </c>
      <c r="B24739" s="3" t="str">
        <f>"01071356"</f>
        <v>01071356</v>
      </c>
    </row>
    <row r="24740" spans="1:2" x14ac:dyDescent="0.25">
      <c r="A24740" s="2">
        <v>24735</v>
      </c>
      <c r="B24740" s="3" t="str">
        <f>"01071357"</f>
        <v>01071357</v>
      </c>
    </row>
    <row r="24741" spans="1:2" x14ac:dyDescent="0.25">
      <c r="A24741" s="2">
        <v>24736</v>
      </c>
      <c r="B24741" s="3" t="str">
        <f>"01071364"</f>
        <v>01071364</v>
      </c>
    </row>
    <row r="24742" spans="1:2" x14ac:dyDescent="0.25">
      <c r="A24742" s="2">
        <v>24737</v>
      </c>
      <c r="B24742" s="3" t="str">
        <f>"01071369"</f>
        <v>01071369</v>
      </c>
    </row>
    <row r="24743" spans="1:2" x14ac:dyDescent="0.25">
      <c r="A24743" s="2">
        <v>24738</v>
      </c>
      <c r="B24743" s="3" t="str">
        <f>"01071370"</f>
        <v>01071370</v>
      </c>
    </row>
    <row r="24744" spans="1:2" x14ac:dyDescent="0.25">
      <c r="A24744" s="2">
        <v>24739</v>
      </c>
      <c r="B24744" s="3" t="str">
        <f>"01071372"</f>
        <v>01071372</v>
      </c>
    </row>
    <row r="24745" spans="1:2" x14ac:dyDescent="0.25">
      <c r="A24745" s="2">
        <v>24740</v>
      </c>
      <c r="B24745" s="3" t="str">
        <f>"01071375"</f>
        <v>01071375</v>
      </c>
    </row>
    <row r="24746" spans="1:2" x14ac:dyDescent="0.25">
      <c r="A24746" s="2">
        <v>24741</v>
      </c>
      <c r="B24746" s="3" t="str">
        <f>"01071376"</f>
        <v>01071376</v>
      </c>
    </row>
    <row r="24747" spans="1:2" x14ac:dyDescent="0.25">
      <c r="A24747" s="2">
        <v>24742</v>
      </c>
      <c r="B24747" s="3" t="str">
        <f>"01071378"</f>
        <v>01071378</v>
      </c>
    </row>
    <row r="24748" spans="1:2" x14ac:dyDescent="0.25">
      <c r="A24748" s="2">
        <v>24743</v>
      </c>
      <c r="B24748" s="3" t="str">
        <f>"01071382"</f>
        <v>01071382</v>
      </c>
    </row>
    <row r="24749" spans="1:2" x14ac:dyDescent="0.25">
      <c r="A24749" s="2">
        <v>24744</v>
      </c>
      <c r="B24749" s="3" t="str">
        <f>"01071383"</f>
        <v>01071383</v>
      </c>
    </row>
    <row r="24750" spans="1:2" x14ac:dyDescent="0.25">
      <c r="A24750" s="2">
        <v>24745</v>
      </c>
      <c r="B24750" s="3" t="str">
        <f>"01071387"</f>
        <v>01071387</v>
      </c>
    </row>
    <row r="24751" spans="1:2" x14ac:dyDescent="0.25">
      <c r="A24751" s="2">
        <v>24746</v>
      </c>
      <c r="B24751" s="3" t="str">
        <f>"01071392"</f>
        <v>01071392</v>
      </c>
    </row>
    <row r="24752" spans="1:2" x14ac:dyDescent="0.25">
      <c r="A24752" s="2">
        <v>24747</v>
      </c>
      <c r="B24752" s="3" t="str">
        <f>"01071393"</f>
        <v>01071393</v>
      </c>
    </row>
    <row r="24753" spans="1:2" x14ac:dyDescent="0.25">
      <c r="A24753" s="2">
        <v>24748</v>
      </c>
      <c r="B24753" s="3" t="str">
        <f>"01071396"</f>
        <v>01071396</v>
      </c>
    </row>
    <row r="24754" spans="1:2" x14ac:dyDescent="0.25">
      <c r="A24754" s="2">
        <v>24749</v>
      </c>
      <c r="B24754" s="3" t="str">
        <f>"01071407"</f>
        <v>01071407</v>
      </c>
    </row>
    <row r="24755" spans="1:2" x14ac:dyDescent="0.25">
      <c r="A24755" s="2">
        <v>24750</v>
      </c>
      <c r="B24755" s="3" t="str">
        <f>"01071411"</f>
        <v>01071411</v>
      </c>
    </row>
    <row r="24756" spans="1:2" x14ac:dyDescent="0.25">
      <c r="A24756" s="2">
        <v>24751</v>
      </c>
      <c r="B24756" s="3" t="str">
        <f>"01071413"</f>
        <v>01071413</v>
      </c>
    </row>
    <row r="24757" spans="1:2" x14ac:dyDescent="0.25">
      <c r="A24757" s="2">
        <v>24752</v>
      </c>
      <c r="B24757" s="3" t="str">
        <f>"01071417"</f>
        <v>01071417</v>
      </c>
    </row>
    <row r="24758" spans="1:2" x14ac:dyDescent="0.25">
      <c r="A24758" s="2">
        <v>24753</v>
      </c>
      <c r="B24758" s="3" t="str">
        <f>"01071424"</f>
        <v>01071424</v>
      </c>
    </row>
    <row r="24759" spans="1:2" x14ac:dyDescent="0.25">
      <c r="A24759" s="2">
        <v>24754</v>
      </c>
      <c r="B24759" s="3" t="str">
        <f>"01071425"</f>
        <v>01071425</v>
      </c>
    </row>
    <row r="24760" spans="1:2" x14ac:dyDescent="0.25">
      <c r="A24760" s="2">
        <v>24755</v>
      </c>
      <c r="B24760" s="3" t="str">
        <f>"01071435"</f>
        <v>01071435</v>
      </c>
    </row>
    <row r="24761" spans="1:2" x14ac:dyDescent="0.25">
      <c r="A24761" s="2">
        <v>24756</v>
      </c>
      <c r="B24761" s="3" t="str">
        <f>"01071437"</f>
        <v>01071437</v>
      </c>
    </row>
    <row r="24762" spans="1:2" x14ac:dyDescent="0.25">
      <c r="A24762" s="2">
        <v>24757</v>
      </c>
      <c r="B24762" s="3" t="str">
        <f>"01071443"</f>
        <v>01071443</v>
      </c>
    </row>
    <row r="24763" spans="1:2" x14ac:dyDescent="0.25">
      <c r="A24763" s="2">
        <v>24758</v>
      </c>
      <c r="B24763" s="3" t="str">
        <f>"01071467"</f>
        <v>01071467</v>
      </c>
    </row>
    <row r="24764" spans="1:2" x14ac:dyDescent="0.25">
      <c r="A24764" s="2">
        <v>24759</v>
      </c>
      <c r="B24764" s="3" t="str">
        <f>"01071470"</f>
        <v>01071470</v>
      </c>
    </row>
    <row r="24765" spans="1:2" x14ac:dyDescent="0.25">
      <c r="A24765" s="2">
        <v>24760</v>
      </c>
      <c r="B24765" s="3" t="str">
        <f>"01071476"</f>
        <v>01071476</v>
      </c>
    </row>
    <row r="24766" spans="1:2" x14ac:dyDescent="0.25">
      <c r="A24766" s="2">
        <v>24761</v>
      </c>
      <c r="B24766" s="3" t="str">
        <f>"01071484"</f>
        <v>01071484</v>
      </c>
    </row>
    <row r="24767" spans="1:2" x14ac:dyDescent="0.25">
      <c r="A24767" s="2">
        <v>24762</v>
      </c>
      <c r="B24767" s="3" t="str">
        <f>"01071490"</f>
        <v>01071490</v>
      </c>
    </row>
    <row r="24768" spans="1:2" x14ac:dyDescent="0.25">
      <c r="A24768" s="2">
        <v>24763</v>
      </c>
      <c r="B24768" s="3" t="str">
        <f>"01071492"</f>
        <v>01071492</v>
      </c>
    </row>
    <row r="24769" spans="1:2" x14ac:dyDescent="0.25">
      <c r="A24769" s="2">
        <v>24764</v>
      </c>
      <c r="B24769" s="3" t="str">
        <f>"01071493"</f>
        <v>01071493</v>
      </c>
    </row>
    <row r="24770" spans="1:2" x14ac:dyDescent="0.25">
      <c r="A24770" s="2">
        <v>24765</v>
      </c>
      <c r="B24770" s="3" t="str">
        <f>"01071496"</f>
        <v>01071496</v>
      </c>
    </row>
    <row r="24771" spans="1:2" x14ac:dyDescent="0.25">
      <c r="A24771" s="2">
        <v>24766</v>
      </c>
      <c r="B24771" s="3" t="str">
        <f>"01071505"</f>
        <v>01071505</v>
      </c>
    </row>
    <row r="24772" spans="1:2" x14ac:dyDescent="0.25">
      <c r="A24772" s="2">
        <v>24767</v>
      </c>
      <c r="B24772" s="3" t="str">
        <f>"01071511"</f>
        <v>01071511</v>
      </c>
    </row>
    <row r="24773" spans="1:2" x14ac:dyDescent="0.25">
      <c r="A24773" s="2">
        <v>24768</v>
      </c>
      <c r="B24773" s="3" t="str">
        <f>"01071514"</f>
        <v>01071514</v>
      </c>
    </row>
    <row r="24774" spans="1:2" x14ac:dyDescent="0.25">
      <c r="A24774" s="2">
        <v>24769</v>
      </c>
      <c r="B24774" s="3" t="str">
        <f>"01071517"</f>
        <v>01071517</v>
      </c>
    </row>
    <row r="24775" spans="1:2" x14ac:dyDescent="0.25">
      <c r="A24775" s="2">
        <v>24770</v>
      </c>
      <c r="B24775" s="3" t="str">
        <f>"01071519"</f>
        <v>01071519</v>
      </c>
    </row>
    <row r="24776" spans="1:2" x14ac:dyDescent="0.25">
      <c r="A24776" s="2">
        <v>24771</v>
      </c>
      <c r="B24776" s="3" t="str">
        <f>"01071527"</f>
        <v>01071527</v>
      </c>
    </row>
    <row r="24777" spans="1:2" x14ac:dyDescent="0.25">
      <c r="A24777" s="2">
        <v>24772</v>
      </c>
      <c r="B24777" s="3" t="str">
        <f>"01071530"</f>
        <v>01071530</v>
      </c>
    </row>
    <row r="24778" spans="1:2" x14ac:dyDescent="0.25">
      <c r="A24778" s="2">
        <v>24773</v>
      </c>
      <c r="B24778" s="3" t="str">
        <f>"01071539"</f>
        <v>01071539</v>
      </c>
    </row>
    <row r="24779" spans="1:2" x14ac:dyDescent="0.25">
      <c r="A24779" s="2">
        <v>24774</v>
      </c>
      <c r="B24779" s="3" t="str">
        <f>"01071543"</f>
        <v>01071543</v>
      </c>
    </row>
    <row r="24780" spans="1:2" x14ac:dyDescent="0.25">
      <c r="A24780" s="2">
        <v>24775</v>
      </c>
      <c r="B24780" s="3" t="str">
        <f>"01071545"</f>
        <v>01071545</v>
      </c>
    </row>
    <row r="24781" spans="1:2" x14ac:dyDescent="0.25">
      <c r="A24781" s="2">
        <v>24776</v>
      </c>
      <c r="B24781" s="3" t="str">
        <f>"01071551"</f>
        <v>01071551</v>
      </c>
    </row>
    <row r="24782" spans="1:2" x14ac:dyDescent="0.25">
      <c r="A24782" s="2">
        <v>24777</v>
      </c>
      <c r="B24782" s="3" t="str">
        <f>"01071554"</f>
        <v>01071554</v>
      </c>
    </row>
    <row r="24783" spans="1:2" x14ac:dyDescent="0.25">
      <c r="A24783" s="2">
        <v>24778</v>
      </c>
      <c r="B24783" s="3" t="str">
        <f>"01071557"</f>
        <v>01071557</v>
      </c>
    </row>
    <row r="24784" spans="1:2" x14ac:dyDescent="0.25">
      <c r="A24784" s="2">
        <v>24779</v>
      </c>
      <c r="B24784" s="3" t="str">
        <f>"01071559"</f>
        <v>01071559</v>
      </c>
    </row>
    <row r="24785" spans="1:2" x14ac:dyDescent="0.25">
      <c r="A24785" s="2">
        <v>24780</v>
      </c>
      <c r="B24785" s="3" t="str">
        <f>"01071562"</f>
        <v>01071562</v>
      </c>
    </row>
    <row r="24786" spans="1:2" x14ac:dyDescent="0.25">
      <c r="A24786" s="2">
        <v>24781</v>
      </c>
      <c r="B24786" s="3" t="str">
        <f>"01071568"</f>
        <v>01071568</v>
      </c>
    </row>
    <row r="24787" spans="1:2" x14ac:dyDescent="0.25">
      <c r="A24787" s="2">
        <v>24782</v>
      </c>
      <c r="B24787" s="3" t="str">
        <f>"01071570"</f>
        <v>01071570</v>
      </c>
    </row>
    <row r="24788" spans="1:2" x14ac:dyDescent="0.25">
      <c r="A24788" s="2">
        <v>24783</v>
      </c>
      <c r="B24788" s="3" t="str">
        <f>"01071577"</f>
        <v>01071577</v>
      </c>
    </row>
    <row r="24789" spans="1:2" x14ac:dyDescent="0.25">
      <c r="A24789" s="2">
        <v>24784</v>
      </c>
      <c r="B24789" s="3" t="str">
        <f>"01071581"</f>
        <v>01071581</v>
      </c>
    </row>
    <row r="24790" spans="1:2" x14ac:dyDescent="0.25">
      <c r="A24790" s="2">
        <v>24785</v>
      </c>
      <c r="B24790" s="3" t="str">
        <f>"01071584"</f>
        <v>01071584</v>
      </c>
    </row>
    <row r="24791" spans="1:2" x14ac:dyDescent="0.25">
      <c r="A24791" s="2">
        <v>24786</v>
      </c>
      <c r="B24791" s="3" t="str">
        <f>"01071598"</f>
        <v>01071598</v>
      </c>
    </row>
    <row r="24792" spans="1:2" x14ac:dyDescent="0.25">
      <c r="A24792" s="2">
        <v>24787</v>
      </c>
      <c r="B24792" s="3" t="str">
        <f>"01071599"</f>
        <v>01071599</v>
      </c>
    </row>
    <row r="24793" spans="1:2" x14ac:dyDescent="0.25">
      <c r="A24793" s="2">
        <v>24788</v>
      </c>
      <c r="B24793" s="3" t="str">
        <f>"01071601"</f>
        <v>01071601</v>
      </c>
    </row>
    <row r="24794" spans="1:2" x14ac:dyDescent="0.25">
      <c r="A24794" s="2">
        <v>24789</v>
      </c>
      <c r="B24794" s="3" t="str">
        <f>"01071615"</f>
        <v>01071615</v>
      </c>
    </row>
    <row r="24795" spans="1:2" x14ac:dyDescent="0.25">
      <c r="A24795" s="2">
        <v>24790</v>
      </c>
      <c r="B24795" s="3" t="str">
        <f>"01071617"</f>
        <v>01071617</v>
      </c>
    </row>
    <row r="24796" spans="1:2" x14ac:dyDescent="0.25">
      <c r="A24796" s="2">
        <v>24791</v>
      </c>
      <c r="B24796" s="3" t="str">
        <f>"01071630"</f>
        <v>01071630</v>
      </c>
    </row>
    <row r="24797" spans="1:2" x14ac:dyDescent="0.25">
      <c r="A24797" s="2">
        <v>24792</v>
      </c>
      <c r="B24797" s="3" t="str">
        <f>"01071639"</f>
        <v>01071639</v>
      </c>
    </row>
    <row r="24798" spans="1:2" x14ac:dyDescent="0.25">
      <c r="A24798" s="2">
        <v>24793</v>
      </c>
      <c r="B24798" s="3" t="str">
        <f>"01071645"</f>
        <v>01071645</v>
      </c>
    </row>
    <row r="24799" spans="1:2" x14ac:dyDescent="0.25">
      <c r="A24799" s="2">
        <v>24794</v>
      </c>
      <c r="B24799" s="3" t="str">
        <f>"01071653"</f>
        <v>01071653</v>
      </c>
    </row>
    <row r="24800" spans="1:2" x14ac:dyDescent="0.25">
      <c r="A24800" s="2">
        <v>24795</v>
      </c>
      <c r="B24800" s="3" t="str">
        <f>"01071655"</f>
        <v>01071655</v>
      </c>
    </row>
    <row r="24801" spans="1:2" x14ac:dyDescent="0.25">
      <c r="A24801" s="2">
        <v>24796</v>
      </c>
      <c r="B24801" s="3" t="str">
        <f>"01071657"</f>
        <v>01071657</v>
      </c>
    </row>
    <row r="24802" spans="1:2" x14ac:dyDescent="0.25">
      <c r="A24802" s="2">
        <v>24797</v>
      </c>
      <c r="B24802" s="3" t="str">
        <f>"01071658"</f>
        <v>01071658</v>
      </c>
    </row>
    <row r="24803" spans="1:2" x14ac:dyDescent="0.25">
      <c r="A24803" s="2">
        <v>24798</v>
      </c>
      <c r="B24803" s="3" t="str">
        <f>"01071659"</f>
        <v>01071659</v>
      </c>
    </row>
    <row r="24804" spans="1:2" x14ac:dyDescent="0.25">
      <c r="A24804" s="2">
        <v>24799</v>
      </c>
      <c r="B24804" s="3" t="str">
        <f>"01071668"</f>
        <v>01071668</v>
      </c>
    </row>
    <row r="24805" spans="1:2" x14ac:dyDescent="0.25">
      <c r="A24805" s="2">
        <v>24800</v>
      </c>
      <c r="B24805" s="3" t="str">
        <f>"01071680"</f>
        <v>01071680</v>
      </c>
    </row>
    <row r="24806" spans="1:2" x14ac:dyDescent="0.25">
      <c r="A24806" s="2">
        <v>24801</v>
      </c>
      <c r="B24806" s="3" t="str">
        <f>"01071682"</f>
        <v>01071682</v>
      </c>
    </row>
    <row r="24807" spans="1:2" x14ac:dyDescent="0.25">
      <c r="A24807" s="2">
        <v>24802</v>
      </c>
      <c r="B24807" s="3" t="str">
        <f>"01071686"</f>
        <v>01071686</v>
      </c>
    </row>
    <row r="24808" spans="1:2" x14ac:dyDescent="0.25">
      <c r="A24808" s="2">
        <v>24803</v>
      </c>
      <c r="B24808" s="3" t="str">
        <f>"01071690"</f>
        <v>01071690</v>
      </c>
    </row>
    <row r="24809" spans="1:2" x14ac:dyDescent="0.25">
      <c r="A24809" s="2">
        <v>24804</v>
      </c>
      <c r="B24809" s="3" t="str">
        <f>"01071694"</f>
        <v>01071694</v>
      </c>
    </row>
    <row r="24810" spans="1:2" x14ac:dyDescent="0.25">
      <c r="A24810" s="2">
        <v>24805</v>
      </c>
      <c r="B24810" s="3" t="str">
        <f>"01071704"</f>
        <v>01071704</v>
      </c>
    </row>
    <row r="24811" spans="1:2" x14ac:dyDescent="0.25">
      <c r="A24811" s="2">
        <v>24806</v>
      </c>
      <c r="B24811" s="3" t="str">
        <f>"01071709"</f>
        <v>01071709</v>
      </c>
    </row>
    <row r="24812" spans="1:2" x14ac:dyDescent="0.25">
      <c r="A24812" s="2">
        <v>24807</v>
      </c>
      <c r="B24812" s="3" t="str">
        <f>"01071715"</f>
        <v>01071715</v>
      </c>
    </row>
    <row r="24813" spans="1:2" x14ac:dyDescent="0.25">
      <c r="A24813" s="2">
        <v>24808</v>
      </c>
      <c r="B24813" s="3" t="str">
        <f>"01071726"</f>
        <v>01071726</v>
      </c>
    </row>
    <row r="24814" spans="1:2" x14ac:dyDescent="0.25">
      <c r="A24814" s="2">
        <v>24809</v>
      </c>
      <c r="B24814" s="3" t="str">
        <f>"01071735"</f>
        <v>01071735</v>
      </c>
    </row>
    <row r="24815" spans="1:2" x14ac:dyDescent="0.25">
      <c r="A24815" s="2">
        <v>24810</v>
      </c>
      <c r="B24815" s="3" t="str">
        <f>"01071748"</f>
        <v>01071748</v>
      </c>
    </row>
    <row r="24816" spans="1:2" x14ac:dyDescent="0.25">
      <c r="A24816" s="2">
        <v>24811</v>
      </c>
      <c r="B24816" s="3" t="str">
        <f>"01071749"</f>
        <v>01071749</v>
      </c>
    </row>
    <row r="24817" spans="1:2" x14ac:dyDescent="0.25">
      <c r="A24817" s="2">
        <v>24812</v>
      </c>
      <c r="B24817" s="3" t="str">
        <f>"01071751"</f>
        <v>01071751</v>
      </c>
    </row>
    <row r="24818" spans="1:2" x14ac:dyDescent="0.25">
      <c r="A24818" s="2">
        <v>24813</v>
      </c>
      <c r="B24818" s="3" t="str">
        <f>"01071752"</f>
        <v>01071752</v>
      </c>
    </row>
    <row r="24819" spans="1:2" x14ac:dyDescent="0.25">
      <c r="A24819" s="2">
        <v>24814</v>
      </c>
      <c r="B24819" s="3" t="str">
        <f>"01071761"</f>
        <v>01071761</v>
      </c>
    </row>
    <row r="24820" spans="1:2" x14ac:dyDescent="0.25">
      <c r="A24820" s="2">
        <v>24815</v>
      </c>
      <c r="B24820" s="3" t="str">
        <f>"01071770"</f>
        <v>01071770</v>
      </c>
    </row>
    <row r="24821" spans="1:2" x14ac:dyDescent="0.25">
      <c r="A24821" s="2">
        <v>24816</v>
      </c>
      <c r="B24821" s="3" t="str">
        <f>"01071775"</f>
        <v>01071775</v>
      </c>
    </row>
    <row r="24822" spans="1:2" x14ac:dyDescent="0.25">
      <c r="A24822" s="2">
        <v>24817</v>
      </c>
      <c r="B24822" s="3" t="str">
        <f>"01071780"</f>
        <v>01071780</v>
      </c>
    </row>
    <row r="24823" spans="1:2" x14ac:dyDescent="0.25">
      <c r="A24823" s="2">
        <v>24818</v>
      </c>
      <c r="B24823" s="3" t="str">
        <f>"01071783"</f>
        <v>01071783</v>
      </c>
    </row>
    <row r="24824" spans="1:2" x14ac:dyDescent="0.25">
      <c r="A24824" s="2">
        <v>24819</v>
      </c>
      <c r="B24824" s="3" t="str">
        <f>"01071804"</f>
        <v>01071804</v>
      </c>
    </row>
    <row r="24825" spans="1:2" x14ac:dyDescent="0.25">
      <c r="A24825" s="2">
        <v>24820</v>
      </c>
      <c r="B24825" s="3" t="str">
        <f>"01071808"</f>
        <v>01071808</v>
      </c>
    </row>
    <row r="24826" spans="1:2" x14ac:dyDescent="0.25">
      <c r="A24826" s="2">
        <v>24821</v>
      </c>
      <c r="B24826" s="3" t="str">
        <f>"01071812"</f>
        <v>01071812</v>
      </c>
    </row>
    <row r="24827" spans="1:2" x14ac:dyDescent="0.25">
      <c r="A24827" s="2">
        <v>24822</v>
      </c>
      <c r="B24827" s="3" t="str">
        <f>"01071825"</f>
        <v>01071825</v>
      </c>
    </row>
    <row r="24828" spans="1:2" x14ac:dyDescent="0.25">
      <c r="A24828" s="2">
        <v>24823</v>
      </c>
      <c r="B24828" s="3" t="str">
        <f>"01071829"</f>
        <v>01071829</v>
      </c>
    </row>
    <row r="24829" spans="1:2" x14ac:dyDescent="0.25">
      <c r="A24829" s="2">
        <v>24824</v>
      </c>
      <c r="B24829" s="3" t="str">
        <f>"01071831"</f>
        <v>01071831</v>
      </c>
    </row>
    <row r="24830" spans="1:2" x14ac:dyDescent="0.25">
      <c r="A24830" s="2">
        <v>24825</v>
      </c>
      <c r="B24830" s="3" t="str">
        <f>"01071842"</f>
        <v>01071842</v>
      </c>
    </row>
    <row r="24831" spans="1:2" x14ac:dyDescent="0.25">
      <c r="A24831" s="2">
        <v>24826</v>
      </c>
      <c r="B24831" s="3" t="str">
        <f>"01071843"</f>
        <v>01071843</v>
      </c>
    </row>
    <row r="24832" spans="1:2" x14ac:dyDescent="0.25">
      <c r="A24832" s="2">
        <v>24827</v>
      </c>
      <c r="B24832" s="3" t="str">
        <f>"01071844"</f>
        <v>01071844</v>
      </c>
    </row>
    <row r="24833" spans="1:2" x14ac:dyDescent="0.25">
      <c r="A24833" s="2">
        <v>24828</v>
      </c>
      <c r="B24833" s="3" t="str">
        <f>"01071847"</f>
        <v>01071847</v>
      </c>
    </row>
    <row r="24834" spans="1:2" x14ac:dyDescent="0.25">
      <c r="A24834" s="2">
        <v>24829</v>
      </c>
      <c r="B24834" s="3" t="str">
        <f>"01071848"</f>
        <v>01071848</v>
      </c>
    </row>
    <row r="24835" spans="1:2" x14ac:dyDescent="0.25">
      <c r="A24835" s="2">
        <v>24830</v>
      </c>
      <c r="B24835" s="3" t="str">
        <f>"01071853"</f>
        <v>01071853</v>
      </c>
    </row>
    <row r="24836" spans="1:2" x14ac:dyDescent="0.25">
      <c r="A24836" s="2">
        <v>24831</v>
      </c>
      <c r="B24836" s="3" t="str">
        <f>"01071879"</f>
        <v>01071879</v>
      </c>
    </row>
    <row r="24837" spans="1:2" x14ac:dyDescent="0.25">
      <c r="A24837" s="2">
        <v>24832</v>
      </c>
      <c r="B24837" s="3" t="str">
        <f>"01071891"</f>
        <v>01071891</v>
      </c>
    </row>
    <row r="24838" spans="1:2" x14ac:dyDescent="0.25">
      <c r="A24838" s="2">
        <v>24833</v>
      </c>
      <c r="B24838" s="3" t="str">
        <f>"01071894"</f>
        <v>01071894</v>
      </c>
    </row>
    <row r="24839" spans="1:2" x14ac:dyDescent="0.25">
      <c r="A24839" s="2">
        <v>24834</v>
      </c>
      <c r="B24839" s="3" t="str">
        <f>"01071902"</f>
        <v>01071902</v>
      </c>
    </row>
    <row r="24840" spans="1:2" x14ac:dyDescent="0.25">
      <c r="A24840" s="2">
        <v>24835</v>
      </c>
      <c r="B24840" s="3" t="str">
        <f>"01071904"</f>
        <v>01071904</v>
      </c>
    </row>
    <row r="24841" spans="1:2" x14ac:dyDescent="0.25">
      <c r="A24841" s="2">
        <v>24836</v>
      </c>
      <c r="B24841" s="3" t="str">
        <f>"01071913"</f>
        <v>01071913</v>
      </c>
    </row>
    <row r="24842" spans="1:2" x14ac:dyDescent="0.25">
      <c r="A24842" s="2">
        <v>24837</v>
      </c>
      <c r="B24842" s="3" t="str">
        <f>"01071918"</f>
        <v>01071918</v>
      </c>
    </row>
    <row r="24843" spans="1:2" x14ac:dyDescent="0.25">
      <c r="A24843" s="2">
        <v>24838</v>
      </c>
      <c r="B24843" s="3" t="str">
        <f>"01071925"</f>
        <v>01071925</v>
      </c>
    </row>
    <row r="24844" spans="1:2" x14ac:dyDescent="0.25">
      <c r="A24844" s="2">
        <v>24839</v>
      </c>
      <c r="B24844" s="3" t="str">
        <f>"01071929"</f>
        <v>01071929</v>
      </c>
    </row>
    <row r="24845" spans="1:2" x14ac:dyDescent="0.25">
      <c r="A24845" s="2">
        <v>24840</v>
      </c>
      <c r="B24845" s="3" t="str">
        <f>"01071934"</f>
        <v>01071934</v>
      </c>
    </row>
    <row r="24846" spans="1:2" x14ac:dyDescent="0.25">
      <c r="A24846" s="2">
        <v>24841</v>
      </c>
      <c r="B24846" s="3" t="str">
        <f>"01071938"</f>
        <v>01071938</v>
      </c>
    </row>
    <row r="24847" spans="1:2" x14ac:dyDescent="0.25">
      <c r="A24847" s="2">
        <v>24842</v>
      </c>
      <c r="B24847" s="3" t="str">
        <f>"01071942"</f>
        <v>01071942</v>
      </c>
    </row>
    <row r="24848" spans="1:2" x14ac:dyDescent="0.25">
      <c r="A24848" s="2">
        <v>24843</v>
      </c>
      <c r="B24848" s="3" t="str">
        <f>"01071944"</f>
        <v>01071944</v>
      </c>
    </row>
    <row r="24849" spans="1:2" x14ac:dyDescent="0.25">
      <c r="A24849" s="2">
        <v>24844</v>
      </c>
      <c r="B24849" s="3" t="str">
        <f>"01071961"</f>
        <v>01071961</v>
      </c>
    </row>
    <row r="24850" spans="1:2" x14ac:dyDescent="0.25">
      <c r="A24850" s="2">
        <v>24845</v>
      </c>
      <c r="B24850" s="3" t="str">
        <f>"01071967"</f>
        <v>01071967</v>
      </c>
    </row>
    <row r="24851" spans="1:2" x14ac:dyDescent="0.25">
      <c r="A24851" s="2">
        <v>24846</v>
      </c>
      <c r="B24851" s="3" t="str">
        <f>"01071971"</f>
        <v>01071971</v>
      </c>
    </row>
    <row r="24852" spans="1:2" x14ac:dyDescent="0.25">
      <c r="A24852" s="2">
        <v>24847</v>
      </c>
      <c r="B24852" s="3" t="str">
        <f>"01071973"</f>
        <v>01071973</v>
      </c>
    </row>
    <row r="24853" spans="1:2" x14ac:dyDescent="0.25">
      <c r="A24853" s="2">
        <v>24848</v>
      </c>
      <c r="B24853" s="3" t="str">
        <f>"01071977"</f>
        <v>01071977</v>
      </c>
    </row>
    <row r="24854" spans="1:2" x14ac:dyDescent="0.25">
      <c r="A24854" s="2">
        <v>24849</v>
      </c>
      <c r="B24854" s="3" t="str">
        <f>"01072002"</f>
        <v>01072002</v>
      </c>
    </row>
    <row r="24855" spans="1:2" x14ac:dyDescent="0.25">
      <c r="A24855" s="2">
        <v>24850</v>
      </c>
      <c r="B24855" s="3" t="str">
        <f>"01072012"</f>
        <v>01072012</v>
      </c>
    </row>
    <row r="24856" spans="1:2" x14ac:dyDescent="0.25">
      <c r="A24856" s="2">
        <v>24851</v>
      </c>
      <c r="B24856" s="3" t="str">
        <f>"01072013"</f>
        <v>01072013</v>
      </c>
    </row>
    <row r="24857" spans="1:2" x14ac:dyDescent="0.25">
      <c r="A24857" s="2">
        <v>24852</v>
      </c>
      <c r="B24857" s="3" t="str">
        <f>"01072020"</f>
        <v>01072020</v>
      </c>
    </row>
    <row r="24858" spans="1:2" x14ac:dyDescent="0.25">
      <c r="A24858" s="2">
        <v>24853</v>
      </c>
      <c r="B24858" s="3" t="str">
        <f>"01072029"</f>
        <v>01072029</v>
      </c>
    </row>
    <row r="24859" spans="1:2" x14ac:dyDescent="0.25">
      <c r="A24859" s="2">
        <v>24854</v>
      </c>
      <c r="B24859" s="3" t="str">
        <f>"01072038"</f>
        <v>01072038</v>
      </c>
    </row>
    <row r="24860" spans="1:2" x14ac:dyDescent="0.25">
      <c r="A24860" s="2">
        <v>24855</v>
      </c>
      <c r="B24860" s="3" t="str">
        <f>"01072048"</f>
        <v>01072048</v>
      </c>
    </row>
    <row r="24861" spans="1:2" x14ac:dyDescent="0.25">
      <c r="A24861" s="2">
        <v>24856</v>
      </c>
      <c r="B24861" s="3" t="str">
        <f>"01072056"</f>
        <v>01072056</v>
      </c>
    </row>
    <row r="24862" spans="1:2" x14ac:dyDescent="0.25">
      <c r="A24862" s="2">
        <v>24857</v>
      </c>
      <c r="B24862" s="3" t="str">
        <f>"01072057"</f>
        <v>01072057</v>
      </c>
    </row>
    <row r="24863" spans="1:2" x14ac:dyDescent="0.25">
      <c r="A24863" s="2">
        <v>24858</v>
      </c>
      <c r="B24863" s="3" t="str">
        <f>"01072058"</f>
        <v>01072058</v>
      </c>
    </row>
    <row r="24864" spans="1:2" x14ac:dyDescent="0.25">
      <c r="A24864" s="2">
        <v>24859</v>
      </c>
      <c r="B24864" s="3" t="str">
        <f>"01072061"</f>
        <v>01072061</v>
      </c>
    </row>
    <row r="24865" spans="1:2" x14ac:dyDescent="0.25">
      <c r="A24865" s="2">
        <v>24860</v>
      </c>
      <c r="B24865" s="3" t="str">
        <f>"01072071"</f>
        <v>01072071</v>
      </c>
    </row>
    <row r="24866" spans="1:2" x14ac:dyDescent="0.25">
      <c r="A24866" s="2">
        <v>24861</v>
      </c>
      <c r="B24866" s="3" t="str">
        <f>"01072078"</f>
        <v>01072078</v>
      </c>
    </row>
    <row r="24867" spans="1:2" x14ac:dyDescent="0.25">
      <c r="A24867" s="2">
        <v>24862</v>
      </c>
      <c r="B24867" s="3" t="str">
        <f>"01072083"</f>
        <v>01072083</v>
      </c>
    </row>
    <row r="24868" spans="1:2" x14ac:dyDescent="0.25">
      <c r="A24868" s="2">
        <v>24863</v>
      </c>
      <c r="B24868" s="3" t="str">
        <f>"01072088"</f>
        <v>01072088</v>
      </c>
    </row>
    <row r="24869" spans="1:2" x14ac:dyDescent="0.25">
      <c r="A24869" s="2">
        <v>24864</v>
      </c>
      <c r="B24869" s="3" t="str">
        <f>"01072093"</f>
        <v>01072093</v>
      </c>
    </row>
    <row r="24870" spans="1:2" x14ac:dyDescent="0.25">
      <c r="A24870" s="2">
        <v>24865</v>
      </c>
      <c r="B24870" s="3" t="str">
        <f>"01072094"</f>
        <v>01072094</v>
      </c>
    </row>
    <row r="24871" spans="1:2" x14ac:dyDescent="0.25">
      <c r="A24871" s="2">
        <v>24866</v>
      </c>
      <c r="B24871" s="3" t="str">
        <f>"01072106"</f>
        <v>01072106</v>
      </c>
    </row>
    <row r="24872" spans="1:2" x14ac:dyDescent="0.25">
      <c r="A24872" s="2">
        <v>24867</v>
      </c>
      <c r="B24872" s="3" t="str">
        <f>"01072114"</f>
        <v>01072114</v>
      </c>
    </row>
    <row r="24873" spans="1:2" x14ac:dyDescent="0.25">
      <c r="A24873" s="2">
        <v>24868</v>
      </c>
      <c r="B24873" s="3" t="str">
        <f>"01072115"</f>
        <v>01072115</v>
      </c>
    </row>
    <row r="24874" spans="1:2" x14ac:dyDescent="0.25">
      <c r="A24874" s="2">
        <v>24869</v>
      </c>
      <c r="B24874" s="3" t="str">
        <f>"01072120"</f>
        <v>01072120</v>
      </c>
    </row>
    <row r="24875" spans="1:2" x14ac:dyDescent="0.25">
      <c r="A24875" s="2">
        <v>24870</v>
      </c>
      <c r="B24875" s="3" t="str">
        <f>"01072125"</f>
        <v>01072125</v>
      </c>
    </row>
    <row r="24876" spans="1:2" x14ac:dyDescent="0.25">
      <c r="A24876" s="2">
        <v>24871</v>
      </c>
      <c r="B24876" s="3" t="str">
        <f>"01072137"</f>
        <v>01072137</v>
      </c>
    </row>
    <row r="24877" spans="1:2" x14ac:dyDescent="0.25">
      <c r="A24877" s="2">
        <v>24872</v>
      </c>
      <c r="B24877" s="3" t="str">
        <f>"01072150"</f>
        <v>01072150</v>
      </c>
    </row>
    <row r="24878" spans="1:2" x14ac:dyDescent="0.25">
      <c r="A24878" s="2">
        <v>24873</v>
      </c>
      <c r="B24878" s="3" t="str">
        <f>"01072152"</f>
        <v>01072152</v>
      </c>
    </row>
    <row r="24879" spans="1:2" x14ac:dyDescent="0.25">
      <c r="A24879" s="2">
        <v>24874</v>
      </c>
      <c r="B24879" s="3" t="str">
        <f>"01072153"</f>
        <v>01072153</v>
      </c>
    </row>
    <row r="24880" spans="1:2" x14ac:dyDescent="0.25">
      <c r="A24880" s="2">
        <v>24875</v>
      </c>
      <c r="B24880" s="3" t="str">
        <f>"01072162"</f>
        <v>01072162</v>
      </c>
    </row>
    <row r="24881" spans="1:2" x14ac:dyDescent="0.25">
      <c r="A24881" s="2">
        <v>24876</v>
      </c>
      <c r="B24881" s="3" t="str">
        <f>"01072167"</f>
        <v>01072167</v>
      </c>
    </row>
    <row r="24882" spans="1:2" x14ac:dyDescent="0.25">
      <c r="A24882" s="2">
        <v>24877</v>
      </c>
      <c r="B24882" s="3" t="str">
        <f>"01072170"</f>
        <v>01072170</v>
      </c>
    </row>
    <row r="24883" spans="1:2" x14ac:dyDescent="0.25">
      <c r="A24883" s="2">
        <v>24878</v>
      </c>
      <c r="B24883" s="3" t="str">
        <f>"01072174"</f>
        <v>01072174</v>
      </c>
    </row>
    <row r="24884" spans="1:2" x14ac:dyDescent="0.25">
      <c r="A24884" s="2">
        <v>24879</v>
      </c>
      <c r="B24884" s="3" t="str">
        <f>"01072181"</f>
        <v>01072181</v>
      </c>
    </row>
    <row r="24885" spans="1:2" x14ac:dyDescent="0.25">
      <c r="A24885" s="2">
        <v>24880</v>
      </c>
      <c r="B24885" s="3" t="str">
        <f>"01072183"</f>
        <v>01072183</v>
      </c>
    </row>
    <row r="24886" spans="1:2" x14ac:dyDescent="0.25">
      <c r="A24886" s="2">
        <v>24881</v>
      </c>
      <c r="B24886" s="3" t="str">
        <f>"01072186"</f>
        <v>01072186</v>
      </c>
    </row>
    <row r="24887" spans="1:2" x14ac:dyDescent="0.25">
      <c r="A24887" s="2">
        <v>24882</v>
      </c>
      <c r="B24887" s="3" t="str">
        <f>"01072188"</f>
        <v>01072188</v>
      </c>
    </row>
    <row r="24888" spans="1:2" x14ac:dyDescent="0.25">
      <c r="A24888" s="2">
        <v>24883</v>
      </c>
      <c r="B24888" s="3" t="str">
        <f>"01072189"</f>
        <v>01072189</v>
      </c>
    </row>
    <row r="24889" spans="1:2" x14ac:dyDescent="0.25">
      <c r="A24889" s="2">
        <v>24884</v>
      </c>
      <c r="B24889" s="3" t="str">
        <f>"01072199"</f>
        <v>01072199</v>
      </c>
    </row>
    <row r="24890" spans="1:2" x14ac:dyDescent="0.25">
      <c r="A24890" s="2">
        <v>24885</v>
      </c>
      <c r="B24890" s="3" t="str">
        <f>"01072211"</f>
        <v>01072211</v>
      </c>
    </row>
    <row r="24891" spans="1:2" x14ac:dyDescent="0.25">
      <c r="A24891" s="2">
        <v>24886</v>
      </c>
      <c r="B24891" s="3" t="str">
        <f>"01072214"</f>
        <v>01072214</v>
      </c>
    </row>
    <row r="24892" spans="1:2" x14ac:dyDescent="0.25">
      <c r="A24892" s="2">
        <v>24887</v>
      </c>
      <c r="B24892" s="3" t="str">
        <f>"01072220"</f>
        <v>01072220</v>
      </c>
    </row>
    <row r="24893" spans="1:2" x14ac:dyDescent="0.25">
      <c r="A24893" s="2">
        <v>24888</v>
      </c>
      <c r="B24893" s="3" t="str">
        <f>"01072225"</f>
        <v>01072225</v>
      </c>
    </row>
    <row r="24894" spans="1:2" x14ac:dyDescent="0.25">
      <c r="A24894" s="2">
        <v>24889</v>
      </c>
      <c r="B24894" s="3" t="str">
        <f>"01072229"</f>
        <v>01072229</v>
      </c>
    </row>
    <row r="24895" spans="1:2" x14ac:dyDescent="0.25">
      <c r="A24895" s="2">
        <v>24890</v>
      </c>
      <c r="B24895" s="3" t="str">
        <f>"01072233"</f>
        <v>01072233</v>
      </c>
    </row>
    <row r="24896" spans="1:2" x14ac:dyDescent="0.25">
      <c r="A24896" s="2">
        <v>24891</v>
      </c>
      <c r="B24896" s="3" t="str">
        <f>"01072235"</f>
        <v>01072235</v>
      </c>
    </row>
    <row r="24897" spans="1:2" x14ac:dyDescent="0.25">
      <c r="A24897" s="2">
        <v>24892</v>
      </c>
      <c r="B24897" s="3" t="str">
        <f>"01072239"</f>
        <v>01072239</v>
      </c>
    </row>
    <row r="24898" spans="1:2" x14ac:dyDescent="0.25">
      <c r="A24898" s="2">
        <v>24893</v>
      </c>
      <c r="B24898" s="3" t="str">
        <f>"01072240"</f>
        <v>01072240</v>
      </c>
    </row>
    <row r="24899" spans="1:2" x14ac:dyDescent="0.25">
      <c r="A24899" s="2">
        <v>24894</v>
      </c>
      <c r="B24899" s="3" t="str">
        <f>"01072241"</f>
        <v>01072241</v>
      </c>
    </row>
    <row r="24900" spans="1:2" x14ac:dyDescent="0.25">
      <c r="A24900" s="2">
        <v>24895</v>
      </c>
      <c r="B24900" s="3" t="str">
        <f>"01072244"</f>
        <v>01072244</v>
      </c>
    </row>
    <row r="24901" spans="1:2" x14ac:dyDescent="0.25">
      <c r="A24901" s="2">
        <v>24896</v>
      </c>
      <c r="B24901" s="3" t="str">
        <f>"01072248"</f>
        <v>01072248</v>
      </c>
    </row>
    <row r="24902" spans="1:2" x14ac:dyDescent="0.25">
      <c r="A24902" s="2">
        <v>24897</v>
      </c>
      <c r="B24902" s="3" t="str">
        <f>"01072254"</f>
        <v>01072254</v>
      </c>
    </row>
    <row r="24903" spans="1:2" x14ac:dyDescent="0.25">
      <c r="A24903" s="2">
        <v>24898</v>
      </c>
      <c r="B24903" s="3" t="str">
        <f>"01072264"</f>
        <v>01072264</v>
      </c>
    </row>
    <row r="24904" spans="1:2" x14ac:dyDescent="0.25">
      <c r="A24904" s="2">
        <v>24899</v>
      </c>
      <c r="B24904" s="3" t="str">
        <f>"01072276"</f>
        <v>01072276</v>
      </c>
    </row>
    <row r="24905" spans="1:2" x14ac:dyDescent="0.25">
      <c r="A24905" s="2">
        <v>24900</v>
      </c>
      <c r="B24905" s="3" t="str">
        <f>"01072278"</f>
        <v>01072278</v>
      </c>
    </row>
    <row r="24906" spans="1:2" x14ac:dyDescent="0.25">
      <c r="A24906" s="2">
        <v>24901</v>
      </c>
      <c r="B24906" s="3" t="str">
        <f>"01072284"</f>
        <v>01072284</v>
      </c>
    </row>
    <row r="24907" spans="1:2" x14ac:dyDescent="0.25">
      <c r="A24907" s="2">
        <v>24902</v>
      </c>
      <c r="B24907" s="3" t="str">
        <f>"01072295"</f>
        <v>01072295</v>
      </c>
    </row>
    <row r="24908" spans="1:2" x14ac:dyDescent="0.25">
      <c r="A24908" s="2">
        <v>24903</v>
      </c>
      <c r="B24908" s="3" t="str">
        <f>"01072299"</f>
        <v>01072299</v>
      </c>
    </row>
    <row r="24909" spans="1:2" x14ac:dyDescent="0.25">
      <c r="A24909" s="2">
        <v>24904</v>
      </c>
      <c r="B24909" s="3" t="str">
        <f>"01072303"</f>
        <v>01072303</v>
      </c>
    </row>
    <row r="24910" spans="1:2" x14ac:dyDescent="0.25">
      <c r="A24910" s="2">
        <v>24905</v>
      </c>
      <c r="B24910" s="3" t="str">
        <f>"01072306"</f>
        <v>01072306</v>
      </c>
    </row>
    <row r="24911" spans="1:2" x14ac:dyDescent="0.25">
      <c r="A24911" s="2">
        <v>24906</v>
      </c>
      <c r="B24911" s="3" t="str">
        <f>"01072307"</f>
        <v>01072307</v>
      </c>
    </row>
    <row r="24912" spans="1:2" x14ac:dyDescent="0.25">
      <c r="A24912" s="2">
        <v>24907</v>
      </c>
      <c r="B24912" s="3" t="str">
        <f>"01072310"</f>
        <v>01072310</v>
      </c>
    </row>
    <row r="24913" spans="1:2" x14ac:dyDescent="0.25">
      <c r="A24913" s="2">
        <v>24908</v>
      </c>
      <c r="B24913" s="3" t="str">
        <f>"01072319"</f>
        <v>01072319</v>
      </c>
    </row>
    <row r="24914" spans="1:2" x14ac:dyDescent="0.25">
      <c r="A24914" s="2">
        <v>24909</v>
      </c>
      <c r="B24914" s="3" t="str">
        <f>"01072320"</f>
        <v>01072320</v>
      </c>
    </row>
    <row r="24915" spans="1:2" x14ac:dyDescent="0.25">
      <c r="A24915" s="2">
        <v>24910</v>
      </c>
      <c r="B24915" s="3" t="str">
        <f>"01072325"</f>
        <v>01072325</v>
      </c>
    </row>
    <row r="24916" spans="1:2" x14ac:dyDescent="0.25">
      <c r="A24916" s="2">
        <v>24911</v>
      </c>
      <c r="B24916" s="3" t="str">
        <f>"01072329"</f>
        <v>01072329</v>
      </c>
    </row>
    <row r="24917" spans="1:2" x14ac:dyDescent="0.25">
      <c r="A24917" s="2">
        <v>24912</v>
      </c>
      <c r="B24917" s="3" t="str">
        <f>"01072368"</f>
        <v>01072368</v>
      </c>
    </row>
    <row r="24918" spans="1:2" x14ac:dyDescent="0.25">
      <c r="A24918" s="2">
        <v>24913</v>
      </c>
      <c r="B24918" s="3" t="str">
        <f>"01072375"</f>
        <v>01072375</v>
      </c>
    </row>
    <row r="24919" spans="1:2" x14ac:dyDescent="0.25">
      <c r="A24919" s="2">
        <v>24914</v>
      </c>
      <c r="B24919" s="3" t="str">
        <f>"01072378"</f>
        <v>01072378</v>
      </c>
    </row>
    <row r="24920" spans="1:2" x14ac:dyDescent="0.25">
      <c r="A24920" s="2">
        <v>24915</v>
      </c>
      <c r="B24920" s="3" t="str">
        <f>"01072379"</f>
        <v>01072379</v>
      </c>
    </row>
    <row r="24921" spans="1:2" x14ac:dyDescent="0.25">
      <c r="A24921" s="2">
        <v>24916</v>
      </c>
      <c r="B24921" s="3" t="str">
        <f>"01072390"</f>
        <v>01072390</v>
      </c>
    </row>
    <row r="24922" spans="1:2" x14ac:dyDescent="0.25">
      <c r="A24922" s="2">
        <v>24917</v>
      </c>
      <c r="B24922" s="3" t="str">
        <f>"01072400"</f>
        <v>01072400</v>
      </c>
    </row>
    <row r="24923" spans="1:2" x14ac:dyDescent="0.25">
      <c r="A24923" s="2">
        <v>24918</v>
      </c>
      <c r="B24923" s="3" t="str">
        <f>"01072401"</f>
        <v>01072401</v>
      </c>
    </row>
    <row r="24924" spans="1:2" x14ac:dyDescent="0.25">
      <c r="A24924" s="2">
        <v>24919</v>
      </c>
      <c r="B24924" s="3" t="str">
        <f>"01072411"</f>
        <v>01072411</v>
      </c>
    </row>
    <row r="24925" spans="1:2" x14ac:dyDescent="0.25">
      <c r="A24925" s="2">
        <v>24920</v>
      </c>
      <c r="B24925" s="3" t="str">
        <f>"01072422"</f>
        <v>01072422</v>
      </c>
    </row>
    <row r="24926" spans="1:2" x14ac:dyDescent="0.25">
      <c r="A24926" s="2">
        <v>24921</v>
      </c>
      <c r="B24926" s="3" t="str">
        <f>"01072424"</f>
        <v>01072424</v>
      </c>
    </row>
    <row r="24927" spans="1:2" x14ac:dyDescent="0.25">
      <c r="A24927" s="2">
        <v>24922</v>
      </c>
      <c r="B24927" s="3" t="str">
        <f>"01072430"</f>
        <v>01072430</v>
      </c>
    </row>
    <row r="24928" spans="1:2" x14ac:dyDescent="0.25">
      <c r="A24928" s="2">
        <v>24923</v>
      </c>
      <c r="B24928" s="3" t="str">
        <f>"01072432"</f>
        <v>01072432</v>
      </c>
    </row>
    <row r="24929" spans="1:2" x14ac:dyDescent="0.25">
      <c r="A24929" s="2">
        <v>24924</v>
      </c>
      <c r="B24929" s="3" t="str">
        <f>"01072448"</f>
        <v>01072448</v>
      </c>
    </row>
    <row r="24930" spans="1:2" x14ac:dyDescent="0.25">
      <c r="A24930" s="2">
        <v>24925</v>
      </c>
      <c r="B24930" s="3" t="str">
        <f>"01072461"</f>
        <v>01072461</v>
      </c>
    </row>
    <row r="24931" spans="1:2" x14ac:dyDescent="0.25">
      <c r="A24931" s="2">
        <v>24926</v>
      </c>
      <c r="B24931" s="3" t="str">
        <f>"01072463"</f>
        <v>01072463</v>
      </c>
    </row>
    <row r="24932" spans="1:2" x14ac:dyDescent="0.25">
      <c r="A24932" s="2">
        <v>24927</v>
      </c>
      <c r="B24932" s="3" t="str">
        <f>"01072473"</f>
        <v>01072473</v>
      </c>
    </row>
    <row r="24933" spans="1:2" x14ac:dyDescent="0.25">
      <c r="A24933" s="2">
        <v>24928</v>
      </c>
      <c r="B24933" s="3" t="str">
        <f>"01072475"</f>
        <v>01072475</v>
      </c>
    </row>
    <row r="24934" spans="1:2" x14ac:dyDescent="0.25">
      <c r="A24934" s="2">
        <v>24929</v>
      </c>
      <c r="B24934" s="3" t="str">
        <f>"01072498"</f>
        <v>01072498</v>
      </c>
    </row>
    <row r="24935" spans="1:2" x14ac:dyDescent="0.25">
      <c r="A24935" s="2">
        <v>24930</v>
      </c>
      <c r="B24935" s="3" t="str">
        <f>"01072502"</f>
        <v>01072502</v>
      </c>
    </row>
    <row r="24936" spans="1:2" x14ac:dyDescent="0.25">
      <c r="A24936" s="2">
        <v>24931</v>
      </c>
      <c r="B24936" s="3" t="str">
        <f>"01072515"</f>
        <v>01072515</v>
      </c>
    </row>
    <row r="24937" spans="1:2" x14ac:dyDescent="0.25">
      <c r="A24937" s="2">
        <v>24932</v>
      </c>
      <c r="B24937" s="3" t="str">
        <f>"01072516"</f>
        <v>01072516</v>
      </c>
    </row>
    <row r="24938" spans="1:2" x14ac:dyDescent="0.25">
      <c r="A24938" s="2">
        <v>24933</v>
      </c>
      <c r="B24938" s="3" t="str">
        <f>"01072521"</f>
        <v>01072521</v>
      </c>
    </row>
    <row r="24939" spans="1:2" x14ac:dyDescent="0.25">
      <c r="A24939" s="2">
        <v>24934</v>
      </c>
      <c r="B24939" s="3" t="str">
        <f>"01072527"</f>
        <v>01072527</v>
      </c>
    </row>
    <row r="24940" spans="1:2" x14ac:dyDescent="0.25">
      <c r="A24940" s="2">
        <v>24935</v>
      </c>
      <c r="B24940" s="3" t="str">
        <f>"01072535"</f>
        <v>01072535</v>
      </c>
    </row>
    <row r="24941" spans="1:2" x14ac:dyDescent="0.25">
      <c r="A24941" s="2">
        <v>24936</v>
      </c>
      <c r="B24941" s="3" t="str">
        <f>"01072538"</f>
        <v>01072538</v>
      </c>
    </row>
    <row r="24942" spans="1:2" x14ac:dyDescent="0.25">
      <c r="A24942" s="2">
        <v>24937</v>
      </c>
      <c r="B24942" s="3" t="str">
        <f>"01072547"</f>
        <v>01072547</v>
      </c>
    </row>
    <row r="24943" spans="1:2" x14ac:dyDescent="0.25">
      <c r="A24943" s="2">
        <v>24938</v>
      </c>
      <c r="B24943" s="3" t="str">
        <f>"01072551"</f>
        <v>01072551</v>
      </c>
    </row>
    <row r="24944" spans="1:2" x14ac:dyDescent="0.25">
      <c r="A24944" s="2">
        <v>24939</v>
      </c>
      <c r="B24944" s="3" t="str">
        <f>"01072566"</f>
        <v>01072566</v>
      </c>
    </row>
    <row r="24945" spans="1:2" x14ac:dyDescent="0.25">
      <c r="A24945" s="2">
        <v>24940</v>
      </c>
      <c r="B24945" s="3" t="str">
        <f>"01072569"</f>
        <v>01072569</v>
      </c>
    </row>
    <row r="24946" spans="1:2" x14ac:dyDescent="0.25">
      <c r="A24946" s="2">
        <v>24941</v>
      </c>
      <c r="B24946" s="3" t="str">
        <f>"01072571"</f>
        <v>01072571</v>
      </c>
    </row>
    <row r="24947" spans="1:2" x14ac:dyDescent="0.25">
      <c r="A24947" s="2">
        <v>24942</v>
      </c>
      <c r="B24947" s="3" t="str">
        <f>"01072573"</f>
        <v>01072573</v>
      </c>
    </row>
    <row r="24948" spans="1:2" x14ac:dyDescent="0.25">
      <c r="A24948" s="2">
        <v>24943</v>
      </c>
      <c r="B24948" s="3" t="str">
        <f>"01072581"</f>
        <v>01072581</v>
      </c>
    </row>
    <row r="24949" spans="1:2" x14ac:dyDescent="0.25">
      <c r="A24949" s="2">
        <v>24944</v>
      </c>
      <c r="B24949" s="3" t="str">
        <f>"01072589"</f>
        <v>01072589</v>
      </c>
    </row>
    <row r="24950" spans="1:2" x14ac:dyDescent="0.25">
      <c r="A24950" s="2">
        <v>24945</v>
      </c>
      <c r="B24950" s="3" t="str">
        <f>"01072591"</f>
        <v>01072591</v>
      </c>
    </row>
    <row r="24951" spans="1:2" x14ac:dyDescent="0.25">
      <c r="A24951" s="2">
        <v>24946</v>
      </c>
      <c r="B24951" s="3" t="str">
        <f>"01072593"</f>
        <v>01072593</v>
      </c>
    </row>
    <row r="24952" spans="1:2" x14ac:dyDescent="0.25">
      <c r="A24952" s="2">
        <v>24947</v>
      </c>
      <c r="B24952" s="3" t="str">
        <f>"01072599"</f>
        <v>01072599</v>
      </c>
    </row>
    <row r="24953" spans="1:2" x14ac:dyDescent="0.25">
      <c r="A24953" s="2">
        <v>24948</v>
      </c>
      <c r="B24953" s="3" t="str">
        <f>"01072608"</f>
        <v>01072608</v>
      </c>
    </row>
    <row r="24954" spans="1:2" x14ac:dyDescent="0.25">
      <c r="A24954" s="2">
        <v>24949</v>
      </c>
      <c r="B24954" s="3" t="str">
        <f>"01072617"</f>
        <v>01072617</v>
      </c>
    </row>
    <row r="24955" spans="1:2" x14ac:dyDescent="0.25">
      <c r="A24955" s="2">
        <v>24950</v>
      </c>
      <c r="B24955" s="3" t="str">
        <f>"01072619"</f>
        <v>01072619</v>
      </c>
    </row>
    <row r="24956" spans="1:2" x14ac:dyDescent="0.25">
      <c r="A24956" s="2">
        <v>24951</v>
      </c>
      <c r="B24956" s="3" t="str">
        <f>"01072621"</f>
        <v>01072621</v>
      </c>
    </row>
    <row r="24957" spans="1:2" x14ac:dyDescent="0.25">
      <c r="A24957" s="2">
        <v>24952</v>
      </c>
      <c r="B24957" s="3" t="str">
        <f>"01072623"</f>
        <v>01072623</v>
      </c>
    </row>
    <row r="24958" spans="1:2" x14ac:dyDescent="0.25">
      <c r="A24958" s="2">
        <v>24953</v>
      </c>
      <c r="B24958" s="3" t="str">
        <f>"01072626"</f>
        <v>01072626</v>
      </c>
    </row>
    <row r="24959" spans="1:2" x14ac:dyDescent="0.25">
      <c r="A24959" s="2">
        <v>24954</v>
      </c>
      <c r="B24959" s="3" t="str">
        <f>"01072636"</f>
        <v>01072636</v>
      </c>
    </row>
    <row r="24960" spans="1:2" x14ac:dyDescent="0.25">
      <c r="A24960" s="2">
        <v>24955</v>
      </c>
      <c r="B24960" s="3" t="str">
        <f>"01072646"</f>
        <v>01072646</v>
      </c>
    </row>
    <row r="24961" spans="1:2" x14ac:dyDescent="0.25">
      <c r="A24961" s="2">
        <v>24956</v>
      </c>
      <c r="B24961" s="3" t="str">
        <f>"01072647"</f>
        <v>01072647</v>
      </c>
    </row>
    <row r="24962" spans="1:2" x14ac:dyDescent="0.25">
      <c r="A24962" s="2">
        <v>24957</v>
      </c>
      <c r="B24962" s="3" t="str">
        <f>"01072652"</f>
        <v>01072652</v>
      </c>
    </row>
    <row r="24963" spans="1:2" x14ac:dyDescent="0.25">
      <c r="A24963" s="2">
        <v>24958</v>
      </c>
      <c r="B24963" s="3" t="str">
        <f>"01072659"</f>
        <v>01072659</v>
      </c>
    </row>
    <row r="24964" spans="1:2" x14ac:dyDescent="0.25">
      <c r="A24964" s="2">
        <v>24959</v>
      </c>
      <c r="B24964" s="3" t="str">
        <f>"01072668"</f>
        <v>01072668</v>
      </c>
    </row>
    <row r="24965" spans="1:2" x14ac:dyDescent="0.25">
      <c r="A24965" s="2">
        <v>24960</v>
      </c>
      <c r="B24965" s="3" t="str">
        <f>"01072673"</f>
        <v>01072673</v>
      </c>
    </row>
    <row r="24966" spans="1:2" x14ac:dyDescent="0.25">
      <c r="A24966" s="2">
        <v>24961</v>
      </c>
      <c r="B24966" s="3" t="str">
        <f>"01072677"</f>
        <v>01072677</v>
      </c>
    </row>
    <row r="24967" spans="1:2" x14ac:dyDescent="0.25">
      <c r="A24967" s="2">
        <v>24962</v>
      </c>
      <c r="B24967" s="3" t="str">
        <f>"01072678"</f>
        <v>01072678</v>
      </c>
    </row>
    <row r="24968" spans="1:2" x14ac:dyDescent="0.25">
      <c r="A24968" s="2">
        <v>24963</v>
      </c>
      <c r="B24968" s="3" t="str">
        <f>"01072681"</f>
        <v>01072681</v>
      </c>
    </row>
    <row r="24969" spans="1:2" x14ac:dyDescent="0.25">
      <c r="A24969" s="2">
        <v>24964</v>
      </c>
      <c r="B24969" s="3" t="str">
        <f>"01072683"</f>
        <v>01072683</v>
      </c>
    </row>
    <row r="24970" spans="1:2" x14ac:dyDescent="0.25">
      <c r="A24970" s="2">
        <v>24965</v>
      </c>
      <c r="B24970" s="3" t="str">
        <f>"01072688"</f>
        <v>01072688</v>
      </c>
    </row>
    <row r="24971" spans="1:2" x14ac:dyDescent="0.25">
      <c r="A24971" s="2">
        <v>24966</v>
      </c>
      <c r="B24971" s="3" t="str">
        <f>"01072690"</f>
        <v>01072690</v>
      </c>
    </row>
    <row r="24972" spans="1:2" x14ac:dyDescent="0.25">
      <c r="A24972" s="2">
        <v>24967</v>
      </c>
      <c r="B24972" s="3" t="str">
        <f>"01072692"</f>
        <v>01072692</v>
      </c>
    </row>
    <row r="24973" spans="1:2" x14ac:dyDescent="0.25">
      <c r="A24973" s="2">
        <v>24968</v>
      </c>
      <c r="B24973" s="3" t="str">
        <f>"01072695"</f>
        <v>01072695</v>
      </c>
    </row>
    <row r="24974" spans="1:2" x14ac:dyDescent="0.25">
      <c r="A24974" s="2">
        <v>24969</v>
      </c>
      <c r="B24974" s="3" t="str">
        <f>"01072699"</f>
        <v>01072699</v>
      </c>
    </row>
    <row r="24975" spans="1:2" x14ac:dyDescent="0.25">
      <c r="A24975" s="2">
        <v>24970</v>
      </c>
      <c r="B24975" s="3" t="str">
        <f>"01072703"</f>
        <v>01072703</v>
      </c>
    </row>
    <row r="24976" spans="1:2" x14ac:dyDescent="0.25">
      <c r="A24976" s="2">
        <v>24971</v>
      </c>
      <c r="B24976" s="3" t="str">
        <f>"01072707"</f>
        <v>01072707</v>
      </c>
    </row>
    <row r="24977" spans="1:2" x14ac:dyDescent="0.25">
      <c r="A24977" s="2">
        <v>24972</v>
      </c>
      <c r="B24977" s="3" t="str">
        <f>"01072709"</f>
        <v>01072709</v>
      </c>
    </row>
    <row r="24978" spans="1:2" x14ac:dyDescent="0.25">
      <c r="A24978" s="2">
        <v>24973</v>
      </c>
      <c r="B24978" s="3" t="str">
        <f>"01072712"</f>
        <v>01072712</v>
      </c>
    </row>
    <row r="24979" spans="1:2" x14ac:dyDescent="0.25">
      <c r="A24979" s="2">
        <v>24974</v>
      </c>
      <c r="B24979" s="3" t="str">
        <f>"01072721"</f>
        <v>01072721</v>
      </c>
    </row>
    <row r="24980" spans="1:2" x14ac:dyDescent="0.25">
      <c r="A24980" s="2">
        <v>24975</v>
      </c>
      <c r="B24980" s="3" t="str">
        <f>"01072731"</f>
        <v>01072731</v>
      </c>
    </row>
    <row r="24981" spans="1:2" x14ac:dyDescent="0.25">
      <c r="A24981" s="2">
        <v>24976</v>
      </c>
      <c r="B24981" s="3" t="str">
        <f>"01072733"</f>
        <v>01072733</v>
      </c>
    </row>
    <row r="24982" spans="1:2" x14ac:dyDescent="0.25">
      <c r="A24982" s="2">
        <v>24977</v>
      </c>
      <c r="B24982" s="3" t="str">
        <f>"01072735"</f>
        <v>01072735</v>
      </c>
    </row>
    <row r="24983" spans="1:2" x14ac:dyDescent="0.25">
      <c r="A24983" s="2">
        <v>24978</v>
      </c>
      <c r="B24983" s="3" t="str">
        <f>"01072736"</f>
        <v>01072736</v>
      </c>
    </row>
    <row r="24984" spans="1:2" x14ac:dyDescent="0.25">
      <c r="A24984" s="2">
        <v>24979</v>
      </c>
      <c r="B24984" s="3" t="str">
        <f>"01072743"</f>
        <v>01072743</v>
      </c>
    </row>
    <row r="24985" spans="1:2" x14ac:dyDescent="0.25">
      <c r="A24985" s="2">
        <v>24980</v>
      </c>
      <c r="B24985" s="3" t="str">
        <f>"01072744"</f>
        <v>01072744</v>
      </c>
    </row>
    <row r="24986" spans="1:2" x14ac:dyDescent="0.25">
      <c r="A24986" s="2">
        <v>24981</v>
      </c>
      <c r="B24986" s="3" t="str">
        <f>"01072745"</f>
        <v>01072745</v>
      </c>
    </row>
    <row r="24987" spans="1:2" x14ac:dyDescent="0.25">
      <c r="A24987" s="2">
        <v>24982</v>
      </c>
      <c r="B24987" s="3" t="str">
        <f>"01072752"</f>
        <v>01072752</v>
      </c>
    </row>
    <row r="24988" spans="1:2" x14ac:dyDescent="0.25">
      <c r="A24988" s="2">
        <v>24983</v>
      </c>
      <c r="B24988" s="3" t="str">
        <f>"01072755"</f>
        <v>01072755</v>
      </c>
    </row>
    <row r="24989" spans="1:2" x14ac:dyDescent="0.25">
      <c r="A24989" s="2">
        <v>24984</v>
      </c>
      <c r="B24989" s="3" t="str">
        <f>"01072762"</f>
        <v>01072762</v>
      </c>
    </row>
    <row r="24990" spans="1:2" x14ac:dyDescent="0.25">
      <c r="A24990" s="2">
        <v>24985</v>
      </c>
      <c r="B24990" s="3" t="str">
        <f>"01072769"</f>
        <v>01072769</v>
      </c>
    </row>
    <row r="24991" spans="1:2" x14ac:dyDescent="0.25">
      <c r="A24991" s="2">
        <v>24986</v>
      </c>
      <c r="B24991" s="3" t="str">
        <f>"01072770"</f>
        <v>01072770</v>
      </c>
    </row>
    <row r="24992" spans="1:2" x14ac:dyDescent="0.25">
      <c r="A24992" s="2">
        <v>24987</v>
      </c>
      <c r="B24992" s="3" t="str">
        <f>"01072772"</f>
        <v>01072772</v>
      </c>
    </row>
    <row r="24993" spans="1:2" x14ac:dyDescent="0.25">
      <c r="A24993" s="2">
        <v>24988</v>
      </c>
      <c r="B24993" s="3" t="str">
        <f>"01072774"</f>
        <v>01072774</v>
      </c>
    </row>
    <row r="24994" spans="1:2" x14ac:dyDescent="0.25">
      <c r="A24994" s="2">
        <v>24989</v>
      </c>
      <c r="B24994" s="3" t="str">
        <f>"01072776"</f>
        <v>01072776</v>
      </c>
    </row>
    <row r="24995" spans="1:2" x14ac:dyDescent="0.25">
      <c r="A24995" s="2">
        <v>24990</v>
      </c>
      <c r="B24995" s="3" t="str">
        <f>"01072778"</f>
        <v>01072778</v>
      </c>
    </row>
    <row r="24996" spans="1:2" x14ac:dyDescent="0.25">
      <c r="A24996" s="2">
        <v>24991</v>
      </c>
      <c r="B24996" s="3" t="str">
        <f>"01072782"</f>
        <v>01072782</v>
      </c>
    </row>
    <row r="24997" spans="1:2" x14ac:dyDescent="0.25">
      <c r="A24997" s="2">
        <v>24992</v>
      </c>
      <c r="B24997" s="3" t="str">
        <f>"01072794"</f>
        <v>01072794</v>
      </c>
    </row>
    <row r="24998" spans="1:2" x14ac:dyDescent="0.25">
      <c r="A24998" s="2">
        <v>24993</v>
      </c>
      <c r="B24998" s="3" t="str">
        <f>"01072796"</f>
        <v>01072796</v>
      </c>
    </row>
    <row r="24999" spans="1:2" x14ac:dyDescent="0.25">
      <c r="A24999" s="2">
        <v>24994</v>
      </c>
      <c r="B24999" s="3" t="str">
        <f>"01072802"</f>
        <v>01072802</v>
      </c>
    </row>
    <row r="25000" spans="1:2" x14ac:dyDescent="0.25">
      <c r="A25000" s="2">
        <v>24995</v>
      </c>
      <c r="B25000" s="3" t="str">
        <f>"01072803"</f>
        <v>01072803</v>
      </c>
    </row>
    <row r="25001" spans="1:2" x14ac:dyDescent="0.25">
      <c r="A25001" s="2">
        <v>24996</v>
      </c>
      <c r="B25001" s="3" t="str">
        <f>"01072805"</f>
        <v>01072805</v>
      </c>
    </row>
    <row r="25002" spans="1:2" x14ac:dyDescent="0.25">
      <c r="A25002" s="2">
        <v>24997</v>
      </c>
      <c r="B25002" s="3" t="str">
        <f>"01072806"</f>
        <v>01072806</v>
      </c>
    </row>
    <row r="25003" spans="1:2" x14ac:dyDescent="0.25">
      <c r="A25003" s="2">
        <v>24998</v>
      </c>
      <c r="B25003" s="3" t="str">
        <f>"01072813"</f>
        <v>01072813</v>
      </c>
    </row>
    <row r="25004" spans="1:2" x14ac:dyDescent="0.25">
      <c r="A25004" s="2">
        <v>24999</v>
      </c>
      <c r="B25004" s="3" t="str">
        <f>"01072826"</f>
        <v>01072826</v>
      </c>
    </row>
    <row r="25005" spans="1:2" x14ac:dyDescent="0.25">
      <c r="A25005" s="2">
        <v>25000</v>
      </c>
      <c r="B25005" s="3" t="str">
        <f>"01072844"</f>
        <v>01072844</v>
      </c>
    </row>
    <row r="25006" spans="1:2" x14ac:dyDescent="0.25">
      <c r="A25006" s="2">
        <v>25001</v>
      </c>
      <c r="B25006" s="3" t="str">
        <f>"01072846"</f>
        <v>01072846</v>
      </c>
    </row>
    <row r="25007" spans="1:2" x14ac:dyDescent="0.25">
      <c r="A25007" s="2">
        <v>25002</v>
      </c>
      <c r="B25007" s="3" t="str">
        <f>"01072848"</f>
        <v>01072848</v>
      </c>
    </row>
    <row r="25008" spans="1:2" x14ac:dyDescent="0.25">
      <c r="A25008" s="2">
        <v>25003</v>
      </c>
      <c r="B25008" s="3" t="str">
        <f>"01072849"</f>
        <v>01072849</v>
      </c>
    </row>
    <row r="25009" spans="1:2" x14ac:dyDescent="0.25">
      <c r="A25009" s="2">
        <v>25004</v>
      </c>
      <c r="B25009" s="3" t="str">
        <f>"01072856"</f>
        <v>01072856</v>
      </c>
    </row>
    <row r="25010" spans="1:2" x14ac:dyDescent="0.25">
      <c r="A25010" s="2">
        <v>25005</v>
      </c>
      <c r="B25010" s="3" t="str">
        <f>"01072859"</f>
        <v>01072859</v>
      </c>
    </row>
    <row r="25011" spans="1:2" x14ac:dyDescent="0.25">
      <c r="A25011" s="2">
        <v>25006</v>
      </c>
      <c r="B25011" s="3" t="str">
        <f>"01072866"</f>
        <v>01072866</v>
      </c>
    </row>
    <row r="25012" spans="1:2" x14ac:dyDescent="0.25">
      <c r="A25012" s="2">
        <v>25007</v>
      </c>
      <c r="B25012" s="3" t="str">
        <f>"01072873"</f>
        <v>01072873</v>
      </c>
    </row>
    <row r="25013" spans="1:2" x14ac:dyDescent="0.25">
      <c r="A25013" s="2">
        <v>25008</v>
      </c>
      <c r="B25013" s="3" t="str">
        <f>"01072877"</f>
        <v>01072877</v>
      </c>
    </row>
    <row r="25014" spans="1:2" x14ac:dyDescent="0.25">
      <c r="A25014" s="2">
        <v>25009</v>
      </c>
      <c r="B25014" s="3" t="str">
        <f>"01072878"</f>
        <v>01072878</v>
      </c>
    </row>
    <row r="25015" spans="1:2" x14ac:dyDescent="0.25">
      <c r="A25015" s="2">
        <v>25010</v>
      </c>
      <c r="B25015" s="3" t="str">
        <f>"01072879"</f>
        <v>01072879</v>
      </c>
    </row>
    <row r="25016" spans="1:2" x14ac:dyDescent="0.25">
      <c r="A25016" s="2">
        <v>25011</v>
      </c>
      <c r="B25016" s="3" t="str">
        <f>"01072890"</f>
        <v>01072890</v>
      </c>
    </row>
    <row r="25017" spans="1:2" x14ac:dyDescent="0.25">
      <c r="A25017" s="2">
        <v>25012</v>
      </c>
      <c r="B25017" s="3" t="str">
        <f>"01072895"</f>
        <v>01072895</v>
      </c>
    </row>
    <row r="25018" spans="1:2" x14ac:dyDescent="0.25">
      <c r="A25018" s="2">
        <v>25013</v>
      </c>
      <c r="B25018" s="3" t="str">
        <f>"01072896"</f>
        <v>01072896</v>
      </c>
    </row>
    <row r="25019" spans="1:2" x14ac:dyDescent="0.25">
      <c r="A25019" s="2">
        <v>25014</v>
      </c>
      <c r="B25019" s="3" t="str">
        <f>"01072901"</f>
        <v>01072901</v>
      </c>
    </row>
    <row r="25020" spans="1:2" x14ac:dyDescent="0.25">
      <c r="A25020" s="2">
        <v>25015</v>
      </c>
      <c r="B25020" s="3" t="str">
        <f>"01072902"</f>
        <v>01072902</v>
      </c>
    </row>
    <row r="25021" spans="1:2" x14ac:dyDescent="0.25">
      <c r="A25021" s="2">
        <v>25016</v>
      </c>
      <c r="B25021" s="3" t="str">
        <f>"01072910"</f>
        <v>01072910</v>
      </c>
    </row>
    <row r="25022" spans="1:2" x14ac:dyDescent="0.25">
      <c r="A25022" s="2">
        <v>25017</v>
      </c>
      <c r="B25022" s="3" t="str">
        <f>"01072920"</f>
        <v>01072920</v>
      </c>
    </row>
    <row r="25023" spans="1:2" x14ac:dyDescent="0.25">
      <c r="A25023" s="2">
        <v>25018</v>
      </c>
      <c r="B25023" s="3" t="str">
        <f>"01072926"</f>
        <v>01072926</v>
      </c>
    </row>
    <row r="25024" spans="1:2" x14ac:dyDescent="0.25">
      <c r="A25024" s="2">
        <v>25019</v>
      </c>
      <c r="B25024" s="3" t="str">
        <f>"01072937"</f>
        <v>01072937</v>
      </c>
    </row>
    <row r="25025" spans="1:2" x14ac:dyDescent="0.25">
      <c r="A25025" s="2">
        <v>25020</v>
      </c>
      <c r="B25025" s="3" t="str">
        <f>"01072938"</f>
        <v>01072938</v>
      </c>
    </row>
    <row r="25026" spans="1:2" x14ac:dyDescent="0.25">
      <c r="A25026" s="2">
        <v>25021</v>
      </c>
      <c r="B25026" s="3" t="str">
        <f>"01072940"</f>
        <v>01072940</v>
      </c>
    </row>
    <row r="25027" spans="1:2" x14ac:dyDescent="0.25">
      <c r="A25027" s="2">
        <v>25022</v>
      </c>
      <c r="B25027" s="3" t="str">
        <f>"01072947"</f>
        <v>01072947</v>
      </c>
    </row>
    <row r="25028" spans="1:2" x14ac:dyDescent="0.25">
      <c r="A25028" s="2">
        <v>25023</v>
      </c>
      <c r="B25028" s="3" t="str">
        <f>"01072951"</f>
        <v>01072951</v>
      </c>
    </row>
    <row r="25029" spans="1:2" x14ac:dyDescent="0.25">
      <c r="A25029" s="2">
        <v>25024</v>
      </c>
      <c r="B25029" s="3" t="str">
        <f>"01072953"</f>
        <v>01072953</v>
      </c>
    </row>
    <row r="25030" spans="1:2" x14ac:dyDescent="0.25">
      <c r="A25030" s="2">
        <v>25025</v>
      </c>
      <c r="B25030" s="3" t="str">
        <f>"01072958"</f>
        <v>01072958</v>
      </c>
    </row>
    <row r="25031" spans="1:2" x14ac:dyDescent="0.25">
      <c r="A25031" s="2">
        <v>25026</v>
      </c>
      <c r="B25031" s="3" t="str">
        <f>"01072964"</f>
        <v>01072964</v>
      </c>
    </row>
    <row r="25032" spans="1:2" x14ac:dyDescent="0.25">
      <c r="A25032" s="2">
        <v>25027</v>
      </c>
      <c r="B25032" s="3" t="str">
        <f>"01072965"</f>
        <v>01072965</v>
      </c>
    </row>
    <row r="25033" spans="1:2" x14ac:dyDescent="0.25">
      <c r="A25033" s="2">
        <v>25028</v>
      </c>
      <c r="B25033" s="3" t="str">
        <f>"01072966"</f>
        <v>01072966</v>
      </c>
    </row>
    <row r="25034" spans="1:2" x14ac:dyDescent="0.25">
      <c r="A25034" s="2">
        <v>25029</v>
      </c>
      <c r="B25034" s="3" t="str">
        <f>"01072967"</f>
        <v>01072967</v>
      </c>
    </row>
    <row r="25035" spans="1:2" x14ac:dyDescent="0.25">
      <c r="A25035" s="2">
        <v>25030</v>
      </c>
      <c r="B25035" s="3" t="str">
        <f>"01072969"</f>
        <v>01072969</v>
      </c>
    </row>
    <row r="25036" spans="1:2" x14ac:dyDescent="0.25">
      <c r="A25036" s="2">
        <v>25031</v>
      </c>
      <c r="B25036" s="3" t="str">
        <f>"01072970"</f>
        <v>01072970</v>
      </c>
    </row>
    <row r="25037" spans="1:2" x14ac:dyDescent="0.25">
      <c r="A25037" s="2">
        <v>25032</v>
      </c>
      <c r="B25037" s="3" t="str">
        <f>"01072976"</f>
        <v>01072976</v>
      </c>
    </row>
    <row r="25038" spans="1:2" x14ac:dyDescent="0.25">
      <c r="A25038" s="2">
        <v>25033</v>
      </c>
      <c r="B25038" s="3" t="str">
        <f>"01072990"</f>
        <v>01072990</v>
      </c>
    </row>
    <row r="25039" spans="1:2" x14ac:dyDescent="0.25">
      <c r="A25039" s="2">
        <v>25034</v>
      </c>
      <c r="B25039" s="3" t="str">
        <f>"01072991"</f>
        <v>01072991</v>
      </c>
    </row>
    <row r="25040" spans="1:2" x14ac:dyDescent="0.25">
      <c r="A25040" s="2">
        <v>25035</v>
      </c>
      <c r="B25040" s="3" t="str">
        <f>"01072996"</f>
        <v>01072996</v>
      </c>
    </row>
    <row r="25041" spans="1:2" x14ac:dyDescent="0.25">
      <c r="A25041" s="2">
        <v>25036</v>
      </c>
      <c r="B25041" s="3" t="str">
        <f>"01073002"</f>
        <v>01073002</v>
      </c>
    </row>
    <row r="25042" spans="1:2" x14ac:dyDescent="0.25">
      <c r="A25042" s="2">
        <v>25037</v>
      </c>
      <c r="B25042" s="3" t="str">
        <f>"01073005"</f>
        <v>01073005</v>
      </c>
    </row>
    <row r="25043" spans="1:2" x14ac:dyDescent="0.25">
      <c r="A25043" s="2">
        <v>25038</v>
      </c>
      <c r="B25043" s="3" t="str">
        <f>"01073006"</f>
        <v>01073006</v>
      </c>
    </row>
    <row r="25044" spans="1:2" x14ac:dyDescent="0.25">
      <c r="A25044" s="2">
        <v>25039</v>
      </c>
      <c r="B25044" s="3" t="str">
        <f>"01073009"</f>
        <v>01073009</v>
      </c>
    </row>
    <row r="25045" spans="1:2" x14ac:dyDescent="0.25">
      <c r="A25045" s="2">
        <v>25040</v>
      </c>
      <c r="B25045" s="3" t="str">
        <f>"01073013"</f>
        <v>01073013</v>
      </c>
    </row>
    <row r="25046" spans="1:2" x14ac:dyDescent="0.25">
      <c r="A25046" s="2">
        <v>25041</v>
      </c>
      <c r="B25046" s="3" t="str">
        <f>"01073015"</f>
        <v>01073015</v>
      </c>
    </row>
    <row r="25047" spans="1:2" x14ac:dyDescent="0.25">
      <c r="A25047" s="2">
        <v>25042</v>
      </c>
      <c r="B25047" s="3" t="str">
        <f>"01073017"</f>
        <v>01073017</v>
      </c>
    </row>
    <row r="25048" spans="1:2" x14ac:dyDescent="0.25">
      <c r="A25048" s="2">
        <v>25043</v>
      </c>
      <c r="B25048" s="3" t="str">
        <f>"01073023"</f>
        <v>01073023</v>
      </c>
    </row>
    <row r="25049" spans="1:2" x14ac:dyDescent="0.25">
      <c r="A25049" s="2">
        <v>25044</v>
      </c>
      <c r="B25049" s="3" t="str">
        <f>"01073024"</f>
        <v>01073024</v>
      </c>
    </row>
    <row r="25050" spans="1:2" x14ac:dyDescent="0.25">
      <c r="A25050" s="2">
        <v>25045</v>
      </c>
      <c r="B25050" s="3" t="str">
        <f>"01073027"</f>
        <v>01073027</v>
      </c>
    </row>
    <row r="25051" spans="1:2" x14ac:dyDescent="0.25">
      <c r="A25051" s="2">
        <v>25046</v>
      </c>
      <c r="B25051" s="3" t="str">
        <f>"01073030"</f>
        <v>01073030</v>
      </c>
    </row>
    <row r="25052" spans="1:2" x14ac:dyDescent="0.25">
      <c r="A25052" s="2">
        <v>25047</v>
      </c>
      <c r="B25052" s="3" t="str">
        <f>"01073031"</f>
        <v>01073031</v>
      </c>
    </row>
    <row r="25053" spans="1:2" x14ac:dyDescent="0.25">
      <c r="A25053" s="2">
        <v>25048</v>
      </c>
      <c r="B25053" s="3" t="str">
        <f>"01073040"</f>
        <v>01073040</v>
      </c>
    </row>
    <row r="25054" spans="1:2" x14ac:dyDescent="0.25">
      <c r="A25054" s="2">
        <v>25049</v>
      </c>
      <c r="B25054" s="3" t="str">
        <f>"01073044"</f>
        <v>01073044</v>
      </c>
    </row>
    <row r="25055" spans="1:2" x14ac:dyDescent="0.25">
      <c r="A25055" s="2">
        <v>25050</v>
      </c>
      <c r="B25055" s="3" t="str">
        <f>"01073052"</f>
        <v>01073052</v>
      </c>
    </row>
    <row r="25056" spans="1:2" x14ac:dyDescent="0.25">
      <c r="A25056" s="2">
        <v>25051</v>
      </c>
      <c r="B25056" s="3" t="str">
        <f>"01073058"</f>
        <v>01073058</v>
      </c>
    </row>
    <row r="25057" spans="1:2" x14ac:dyDescent="0.25">
      <c r="A25057" s="2">
        <v>25052</v>
      </c>
      <c r="B25057" s="3" t="str">
        <f>"01073060"</f>
        <v>01073060</v>
      </c>
    </row>
    <row r="25058" spans="1:2" x14ac:dyDescent="0.25">
      <c r="A25058" s="2">
        <v>25053</v>
      </c>
      <c r="B25058" s="3" t="str">
        <f>"01073061"</f>
        <v>01073061</v>
      </c>
    </row>
    <row r="25059" spans="1:2" x14ac:dyDescent="0.25">
      <c r="A25059" s="2">
        <v>25054</v>
      </c>
      <c r="B25059" s="3" t="str">
        <f>"01073065"</f>
        <v>01073065</v>
      </c>
    </row>
    <row r="25060" spans="1:2" x14ac:dyDescent="0.25">
      <c r="A25060" s="2">
        <v>25055</v>
      </c>
      <c r="B25060" s="3" t="str">
        <f>"01073069"</f>
        <v>01073069</v>
      </c>
    </row>
    <row r="25061" spans="1:2" x14ac:dyDescent="0.25">
      <c r="A25061" s="2">
        <v>25056</v>
      </c>
      <c r="B25061" s="3" t="str">
        <f>"01073070"</f>
        <v>01073070</v>
      </c>
    </row>
    <row r="25062" spans="1:2" x14ac:dyDescent="0.25">
      <c r="A25062" s="2">
        <v>25057</v>
      </c>
      <c r="B25062" s="3" t="str">
        <f>"01073072"</f>
        <v>01073072</v>
      </c>
    </row>
    <row r="25063" spans="1:2" x14ac:dyDescent="0.25">
      <c r="A25063" s="2">
        <v>25058</v>
      </c>
      <c r="B25063" s="3" t="str">
        <f>"01073080"</f>
        <v>01073080</v>
      </c>
    </row>
    <row r="25064" spans="1:2" x14ac:dyDescent="0.25">
      <c r="A25064" s="2">
        <v>25059</v>
      </c>
      <c r="B25064" s="3" t="str">
        <f>"01073082"</f>
        <v>01073082</v>
      </c>
    </row>
    <row r="25065" spans="1:2" x14ac:dyDescent="0.25">
      <c r="A25065" s="2">
        <v>25060</v>
      </c>
      <c r="B25065" s="3" t="str">
        <f>"01073084"</f>
        <v>01073084</v>
      </c>
    </row>
    <row r="25066" spans="1:2" x14ac:dyDescent="0.25">
      <c r="A25066" s="2">
        <v>25061</v>
      </c>
      <c r="B25066" s="3" t="str">
        <f>"01073090"</f>
        <v>01073090</v>
      </c>
    </row>
    <row r="25067" spans="1:2" x14ac:dyDescent="0.25">
      <c r="A25067" s="2">
        <v>25062</v>
      </c>
      <c r="B25067" s="3" t="str">
        <f>"01073095"</f>
        <v>01073095</v>
      </c>
    </row>
    <row r="25068" spans="1:2" x14ac:dyDescent="0.25">
      <c r="A25068" s="2">
        <v>25063</v>
      </c>
      <c r="B25068" s="3" t="str">
        <f>"01073098"</f>
        <v>01073098</v>
      </c>
    </row>
    <row r="25069" spans="1:2" x14ac:dyDescent="0.25">
      <c r="A25069" s="2">
        <v>25064</v>
      </c>
      <c r="B25069" s="3" t="str">
        <f>"01073106"</f>
        <v>01073106</v>
      </c>
    </row>
    <row r="25070" spans="1:2" x14ac:dyDescent="0.25">
      <c r="A25070" s="2">
        <v>25065</v>
      </c>
      <c r="B25070" s="3" t="str">
        <f>"01073112"</f>
        <v>01073112</v>
      </c>
    </row>
    <row r="25071" spans="1:2" x14ac:dyDescent="0.25">
      <c r="A25071" s="2">
        <v>25066</v>
      </c>
      <c r="B25071" s="3" t="str">
        <f>"01073119"</f>
        <v>01073119</v>
      </c>
    </row>
    <row r="25072" spans="1:2" x14ac:dyDescent="0.25">
      <c r="A25072" s="2">
        <v>25067</v>
      </c>
      <c r="B25072" s="3" t="str">
        <f>"01073132"</f>
        <v>01073132</v>
      </c>
    </row>
    <row r="25073" spans="1:2" x14ac:dyDescent="0.25">
      <c r="A25073" s="2">
        <v>25068</v>
      </c>
      <c r="B25073" s="3" t="str">
        <f>"01073135"</f>
        <v>01073135</v>
      </c>
    </row>
    <row r="25074" spans="1:2" x14ac:dyDescent="0.25">
      <c r="A25074" s="2">
        <v>25069</v>
      </c>
      <c r="B25074" s="3" t="str">
        <f>"01073136"</f>
        <v>01073136</v>
      </c>
    </row>
    <row r="25075" spans="1:2" x14ac:dyDescent="0.25">
      <c r="A25075" s="2">
        <v>25070</v>
      </c>
      <c r="B25075" s="3" t="str">
        <f>"01073137"</f>
        <v>01073137</v>
      </c>
    </row>
    <row r="25076" spans="1:2" x14ac:dyDescent="0.25">
      <c r="A25076" s="2">
        <v>25071</v>
      </c>
      <c r="B25076" s="3" t="str">
        <f>"01073138"</f>
        <v>01073138</v>
      </c>
    </row>
    <row r="25077" spans="1:2" x14ac:dyDescent="0.25">
      <c r="A25077" s="2">
        <v>25072</v>
      </c>
      <c r="B25077" s="3" t="str">
        <f>"01073139"</f>
        <v>01073139</v>
      </c>
    </row>
    <row r="25078" spans="1:2" x14ac:dyDescent="0.25">
      <c r="A25078" s="2">
        <v>25073</v>
      </c>
      <c r="B25078" s="3" t="str">
        <f>"01073141"</f>
        <v>01073141</v>
      </c>
    </row>
    <row r="25079" spans="1:2" x14ac:dyDescent="0.25">
      <c r="A25079" s="2">
        <v>25074</v>
      </c>
      <c r="B25079" s="3" t="str">
        <f>"01073149"</f>
        <v>01073149</v>
      </c>
    </row>
    <row r="25080" spans="1:2" x14ac:dyDescent="0.25">
      <c r="A25080" s="2">
        <v>25075</v>
      </c>
      <c r="B25080" s="3" t="str">
        <f>"01073154"</f>
        <v>01073154</v>
      </c>
    </row>
    <row r="25081" spans="1:2" x14ac:dyDescent="0.25">
      <c r="A25081" s="2">
        <v>25076</v>
      </c>
      <c r="B25081" s="3" t="str">
        <f>"01073157"</f>
        <v>01073157</v>
      </c>
    </row>
    <row r="25082" spans="1:2" x14ac:dyDescent="0.25">
      <c r="A25082" s="2">
        <v>25077</v>
      </c>
      <c r="B25082" s="3" t="str">
        <f>"01073173"</f>
        <v>01073173</v>
      </c>
    </row>
    <row r="25083" spans="1:2" x14ac:dyDescent="0.25">
      <c r="A25083" s="2">
        <v>25078</v>
      </c>
      <c r="B25083" s="3" t="str">
        <f>"01073174"</f>
        <v>01073174</v>
      </c>
    </row>
    <row r="25084" spans="1:2" x14ac:dyDescent="0.25">
      <c r="A25084" s="2">
        <v>25079</v>
      </c>
      <c r="B25084" s="3" t="str">
        <f>"01073176"</f>
        <v>01073176</v>
      </c>
    </row>
    <row r="25085" spans="1:2" x14ac:dyDescent="0.25">
      <c r="A25085" s="2">
        <v>25080</v>
      </c>
      <c r="B25085" s="3" t="str">
        <f>"01073177"</f>
        <v>01073177</v>
      </c>
    </row>
    <row r="25086" spans="1:2" x14ac:dyDescent="0.25">
      <c r="A25086" s="2">
        <v>25081</v>
      </c>
      <c r="B25086" s="3" t="str">
        <f>"01073184"</f>
        <v>01073184</v>
      </c>
    </row>
    <row r="25087" spans="1:2" x14ac:dyDescent="0.25">
      <c r="A25087" s="2">
        <v>25082</v>
      </c>
      <c r="B25087" s="3" t="str">
        <f>"01073189"</f>
        <v>01073189</v>
      </c>
    </row>
    <row r="25088" spans="1:2" x14ac:dyDescent="0.25">
      <c r="A25088" s="2">
        <v>25083</v>
      </c>
      <c r="B25088" s="3" t="str">
        <f>"01073191"</f>
        <v>01073191</v>
      </c>
    </row>
    <row r="25089" spans="1:2" x14ac:dyDescent="0.25">
      <c r="A25089" s="2">
        <v>25084</v>
      </c>
      <c r="B25089" s="3" t="str">
        <f>"01073214"</f>
        <v>01073214</v>
      </c>
    </row>
    <row r="25090" spans="1:2" x14ac:dyDescent="0.25">
      <c r="A25090" s="2">
        <v>25085</v>
      </c>
      <c r="B25090" s="3" t="str">
        <f>"01073215"</f>
        <v>01073215</v>
      </c>
    </row>
    <row r="25091" spans="1:2" x14ac:dyDescent="0.25">
      <c r="A25091" s="2">
        <v>25086</v>
      </c>
      <c r="B25091" s="3" t="str">
        <f>"01073218"</f>
        <v>01073218</v>
      </c>
    </row>
    <row r="25092" spans="1:2" x14ac:dyDescent="0.25">
      <c r="A25092" s="2">
        <v>25087</v>
      </c>
      <c r="B25092" s="3" t="str">
        <f>"01073219"</f>
        <v>01073219</v>
      </c>
    </row>
    <row r="25093" spans="1:2" x14ac:dyDescent="0.25">
      <c r="A25093" s="2">
        <v>25088</v>
      </c>
      <c r="B25093" s="3" t="str">
        <f>"01073229"</f>
        <v>01073229</v>
      </c>
    </row>
    <row r="25094" spans="1:2" x14ac:dyDescent="0.25">
      <c r="A25094" s="2">
        <v>25089</v>
      </c>
      <c r="B25094" s="3" t="str">
        <f>"01073244"</f>
        <v>01073244</v>
      </c>
    </row>
    <row r="25095" spans="1:2" x14ac:dyDescent="0.25">
      <c r="A25095" s="2">
        <v>25090</v>
      </c>
      <c r="B25095" s="3" t="str">
        <f>"01073247"</f>
        <v>01073247</v>
      </c>
    </row>
    <row r="25096" spans="1:2" x14ac:dyDescent="0.25">
      <c r="A25096" s="2">
        <v>25091</v>
      </c>
      <c r="B25096" s="3" t="str">
        <f>"01073248"</f>
        <v>01073248</v>
      </c>
    </row>
    <row r="25097" spans="1:2" x14ac:dyDescent="0.25">
      <c r="A25097" s="2">
        <v>25092</v>
      </c>
      <c r="B25097" s="3" t="str">
        <f>"01073249"</f>
        <v>01073249</v>
      </c>
    </row>
    <row r="25098" spans="1:2" x14ac:dyDescent="0.25">
      <c r="A25098" s="2">
        <v>25093</v>
      </c>
      <c r="B25098" s="3" t="str">
        <f>"01073253"</f>
        <v>01073253</v>
      </c>
    </row>
    <row r="25099" spans="1:2" x14ac:dyDescent="0.25">
      <c r="A25099" s="2">
        <v>25094</v>
      </c>
      <c r="B25099" s="3" t="str">
        <f>"01073267"</f>
        <v>01073267</v>
      </c>
    </row>
    <row r="25100" spans="1:2" x14ac:dyDescent="0.25">
      <c r="A25100" s="2">
        <v>25095</v>
      </c>
      <c r="B25100" s="3" t="str">
        <f>"01073269"</f>
        <v>01073269</v>
      </c>
    </row>
    <row r="25101" spans="1:2" x14ac:dyDescent="0.25">
      <c r="A25101" s="2">
        <v>25096</v>
      </c>
      <c r="B25101" s="3" t="str">
        <f>"01073272"</f>
        <v>01073272</v>
      </c>
    </row>
    <row r="25102" spans="1:2" x14ac:dyDescent="0.25">
      <c r="A25102" s="2">
        <v>25097</v>
      </c>
      <c r="B25102" s="3" t="str">
        <f>"01073275"</f>
        <v>01073275</v>
      </c>
    </row>
    <row r="25103" spans="1:2" x14ac:dyDescent="0.25">
      <c r="A25103" s="2">
        <v>25098</v>
      </c>
      <c r="B25103" s="3" t="str">
        <f>"01073277"</f>
        <v>01073277</v>
      </c>
    </row>
    <row r="25104" spans="1:2" x14ac:dyDescent="0.25">
      <c r="A25104" s="2">
        <v>25099</v>
      </c>
      <c r="B25104" s="3" t="str">
        <f>"01073278"</f>
        <v>01073278</v>
      </c>
    </row>
    <row r="25105" spans="1:2" x14ac:dyDescent="0.25">
      <c r="A25105" s="2">
        <v>25100</v>
      </c>
      <c r="B25105" s="3" t="str">
        <f>"01073283"</f>
        <v>01073283</v>
      </c>
    </row>
    <row r="25106" spans="1:2" x14ac:dyDescent="0.25">
      <c r="A25106" s="2">
        <v>25101</v>
      </c>
      <c r="B25106" s="3" t="str">
        <f>"01073294"</f>
        <v>01073294</v>
      </c>
    </row>
    <row r="25107" spans="1:2" x14ac:dyDescent="0.25">
      <c r="A25107" s="2">
        <v>25102</v>
      </c>
      <c r="B25107" s="3" t="str">
        <f>"01073295"</f>
        <v>01073295</v>
      </c>
    </row>
    <row r="25108" spans="1:2" x14ac:dyDescent="0.25">
      <c r="A25108" s="2">
        <v>25103</v>
      </c>
      <c r="B25108" s="3" t="str">
        <f>"01073298"</f>
        <v>01073298</v>
      </c>
    </row>
    <row r="25109" spans="1:2" x14ac:dyDescent="0.25">
      <c r="A25109" s="2">
        <v>25104</v>
      </c>
      <c r="B25109" s="3" t="str">
        <f>"01073310"</f>
        <v>01073310</v>
      </c>
    </row>
    <row r="25110" spans="1:2" x14ac:dyDescent="0.25">
      <c r="A25110" s="2">
        <v>25105</v>
      </c>
      <c r="B25110" s="3" t="str">
        <f>"01073313"</f>
        <v>01073313</v>
      </c>
    </row>
    <row r="25111" spans="1:2" x14ac:dyDescent="0.25">
      <c r="A25111" s="2">
        <v>25106</v>
      </c>
      <c r="B25111" s="3" t="str">
        <f>"01073324"</f>
        <v>01073324</v>
      </c>
    </row>
    <row r="25112" spans="1:2" x14ac:dyDescent="0.25">
      <c r="A25112" s="2">
        <v>25107</v>
      </c>
      <c r="B25112" s="3" t="str">
        <f>"01073329"</f>
        <v>01073329</v>
      </c>
    </row>
    <row r="25113" spans="1:2" x14ac:dyDescent="0.25">
      <c r="A25113" s="2">
        <v>25108</v>
      </c>
      <c r="B25113" s="3" t="str">
        <f>"01073340"</f>
        <v>01073340</v>
      </c>
    </row>
    <row r="25114" spans="1:2" x14ac:dyDescent="0.25">
      <c r="A25114" s="2">
        <v>25109</v>
      </c>
      <c r="B25114" s="3" t="str">
        <f>"01073347"</f>
        <v>01073347</v>
      </c>
    </row>
    <row r="25115" spans="1:2" x14ac:dyDescent="0.25">
      <c r="A25115" s="2">
        <v>25110</v>
      </c>
      <c r="B25115" s="3" t="str">
        <f>"01073348"</f>
        <v>01073348</v>
      </c>
    </row>
    <row r="25116" spans="1:2" x14ac:dyDescent="0.25">
      <c r="A25116" s="2">
        <v>25111</v>
      </c>
      <c r="B25116" s="3" t="str">
        <f>"01073351"</f>
        <v>01073351</v>
      </c>
    </row>
    <row r="25117" spans="1:2" x14ac:dyDescent="0.25">
      <c r="A25117" s="2">
        <v>25112</v>
      </c>
      <c r="B25117" s="3" t="str">
        <f>"01073355"</f>
        <v>01073355</v>
      </c>
    </row>
    <row r="25118" spans="1:2" x14ac:dyDescent="0.25">
      <c r="A25118" s="2">
        <v>25113</v>
      </c>
      <c r="B25118" s="3" t="str">
        <f>"01073356"</f>
        <v>01073356</v>
      </c>
    </row>
    <row r="25119" spans="1:2" x14ac:dyDescent="0.25">
      <c r="A25119" s="2">
        <v>25114</v>
      </c>
      <c r="B25119" s="3" t="str">
        <f>"01073361"</f>
        <v>01073361</v>
      </c>
    </row>
    <row r="25120" spans="1:2" x14ac:dyDescent="0.25">
      <c r="A25120" s="2">
        <v>25115</v>
      </c>
      <c r="B25120" s="3" t="str">
        <f>"01073363"</f>
        <v>01073363</v>
      </c>
    </row>
    <row r="25121" spans="1:2" x14ac:dyDescent="0.25">
      <c r="A25121" s="2">
        <v>25116</v>
      </c>
      <c r="B25121" s="3" t="str">
        <f>"01073364"</f>
        <v>01073364</v>
      </c>
    </row>
    <row r="25122" spans="1:2" x14ac:dyDescent="0.25">
      <c r="A25122" s="2">
        <v>25117</v>
      </c>
      <c r="B25122" s="3" t="str">
        <f>"01073370"</f>
        <v>01073370</v>
      </c>
    </row>
    <row r="25123" spans="1:2" x14ac:dyDescent="0.25">
      <c r="A25123" s="2">
        <v>25118</v>
      </c>
      <c r="B25123" s="3" t="str">
        <f>"01073376"</f>
        <v>01073376</v>
      </c>
    </row>
    <row r="25124" spans="1:2" x14ac:dyDescent="0.25">
      <c r="A25124" s="2">
        <v>25119</v>
      </c>
      <c r="B25124" s="3" t="str">
        <f>"01073392"</f>
        <v>01073392</v>
      </c>
    </row>
    <row r="25125" spans="1:2" x14ac:dyDescent="0.25">
      <c r="A25125" s="2">
        <v>25120</v>
      </c>
      <c r="B25125" s="3" t="str">
        <f>"01073394"</f>
        <v>01073394</v>
      </c>
    </row>
    <row r="25126" spans="1:2" x14ac:dyDescent="0.25">
      <c r="A25126" s="2">
        <v>25121</v>
      </c>
      <c r="B25126" s="3" t="str">
        <f>"01073400"</f>
        <v>01073400</v>
      </c>
    </row>
    <row r="25127" spans="1:2" x14ac:dyDescent="0.25">
      <c r="A25127" s="2">
        <v>25122</v>
      </c>
      <c r="B25127" s="3" t="str">
        <f>"01073403"</f>
        <v>01073403</v>
      </c>
    </row>
    <row r="25128" spans="1:2" x14ac:dyDescent="0.25">
      <c r="A25128" s="2">
        <v>25123</v>
      </c>
      <c r="B25128" s="3" t="str">
        <f>"01073404"</f>
        <v>01073404</v>
      </c>
    </row>
    <row r="25129" spans="1:2" x14ac:dyDescent="0.25">
      <c r="A25129" s="2">
        <v>25124</v>
      </c>
      <c r="B25129" s="3" t="str">
        <f>"01073410"</f>
        <v>01073410</v>
      </c>
    </row>
    <row r="25130" spans="1:2" x14ac:dyDescent="0.25">
      <c r="A25130" s="2">
        <v>25125</v>
      </c>
      <c r="B25130" s="3" t="str">
        <f>"01073417"</f>
        <v>01073417</v>
      </c>
    </row>
    <row r="25131" spans="1:2" x14ac:dyDescent="0.25">
      <c r="A25131" s="2">
        <v>25126</v>
      </c>
      <c r="B25131" s="3" t="str">
        <f>"01073418"</f>
        <v>01073418</v>
      </c>
    </row>
    <row r="25132" spans="1:2" x14ac:dyDescent="0.25">
      <c r="A25132" s="2">
        <v>25127</v>
      </c>
      <c r="B25132" s="3" t="str">
        <f>"01073422"</f>
        <v>01073422</v>
      </c>
    </row>
    <row r="25133" spans="1:2" x14ac:dyDescent="0.25">
      <c r="A25133" s="2">
        <v>25128</v>
      </c>
      <c r="B25133" s="3" t="str">
        <f>"01073432"</f>
        <v>01073432</v>
      </c>
    </row>
    <row r="25134" spans="1:2" x14ac:dyDescent="0.25">
      <c r="A25134" s="2">
        <v>25129</v>
      </c>
      <c r="B25134" s="3" t="str">
        <f>"01073436"</f>
        <v>01073436</v>
      </c>
    </row>
    <row r="25135" spans="1:2" x14ac:dyDescent="0.25">
      <c r="A25135" s="2">
        <v>25130</v>
      </c>
      <c r="B25135" s="3" t="str">
        <f>"01073437"</f>
        <v>01073437</v>
      </c>
    </row>
    <row r="25136" spans="1:2" x14ac:dyDescent="0.25">
      <c r="A25136" s="2">
        <v>25131</v>
      </c>
      <c r="B25136" s="3" t="str">
        <f>"01073443"</f>
        <v>01073443</v>
      </c>
    </row>
    <row r="25137" spans="1:2" x14ac:dyDescent="0.25">
      <c r="A25137" s="2">
        <v>25132</v>
      </c>
      <c r="B25137" s="3" t="str">
        <f>"01073446"</f>
        <v>01073446</v>
      </c>
    </row>
    <row r="25138" spans="1:2" x14ac:dyDescent="0.25">
      <c r="A25138" s="2">
        <v>25133</v>
      </c>
      <c r="B25138" s="3" t="str">
        <f>"01073451"</f>
        <v>01073451</v>
      </c>
    </row>
    <row r="25139" spans="1:2" x14ac:dyDescent="0.25">
      <c r="A25139" s="2">
        <v>25134</v>
      </c>
      <c r="B25139" s="3" t="str">
        <f>"01073452"</f>
        <v>01073452</v>
      </c>
    </row>
    <row r="25140" spans="1:2" x14ac:dyDescent="0.25">
      <c r="A25140" s="2">
        <v>25135</v>
      </c>
      <c r="B25140" s="3" t="str">
        <f>"01073459"</f>
        <v>01073459</v>
      </c>
    </row>
    <row r="25141" spans="1:2" x14ac:dyDescent="0.25">
      <c r="A25141" s="2">
        <v>25136</v>
      </c>
      <c r="B25141" s="3" t="str">
        <f>"01073461"</f>
        <v>01073461</v>
      </c>
    </row>
    <row r="25142" spans="1:2" x14ac:dyDescent="0.25">
      <c r="A25142" s="2">
        <v>25137</v>
      </c>
      <c r="B25142" s="3" t="str">
        <f>"01073464"</f>
        <v>01073464</v>
      </c>
    </row>
    <row r="25143" spans="1:2" x14ac:dyDescent="0.25">
      <c r="A25143" s="2">
        <v>25138</v>
      </c>
      <c r="B25143" s="3" t="str">
        <f>"01073466"</f>
        <v>01073466</v>
      </c>
    </row>
    <row r="25144" spans="1:2" x14ac:dyDescent="0.25">
      <c r="A25144" s="2">
        <v>25139</v>
      </c>
      <c r="B25144" s="3" t="str">
        <f>"01073471"</f>
        <v>01073471</v>
      </c>
    </row>
    <row r="25145" spans="1:2" x14ac:dyDescent="0.25">
      <c r="A25145" s="2">
        <v>25140</v>
      </c>
      <c r="B25145" s="3" t="str">
        <f>"01073475"</f>
        <v>01073475</v>
      </c>
    </row>
    <row r="25146" spans="1:2" x14ac:dyDescent="0.25">
      <c r="A25146" s="2">
        <v>25141</v>
      </c>
      <c r="B25146" s="3" t="str">
        <f>"01073483"</f>
        <v>01073483</v>
      </c>
    </row>
    <row r="25147" spans="1:2" x14ac:dyDescent="0.25">
      <c r="A25147" s="2">
        <v>25142</v>
      </c>
      <c r="B25147" s="3" t="str">
        <f>"01073486"</f>
        <v>01073486</v>
      </c>
    </row>
    <row r="25148" spans="1:2" x14ac:dyDescent="0.25">
      <c r="A25148" s="2">
        <v>25143</v>
      </c>
      <c r="B25148" s="3" t="str">
        <f>"01073490"</f>
        <v>01073490</v>
      </c>
    </row>
    <row r="25149" spans="1:2" x14ac:dyDescent="0.25">
      <c r="A25149" s="2">
        <v>25144</v>
      </c>
      <c r="B25149" s="3" t="str">
        <f>"01073493"</f>
        <v>01073493</v>
      </c>
    </row>
    <row r="25150" spans="1:2" x14ac:dyDescent="0.25">
      <c r="A25150" s="2">
        <v>25145</v>
      </c>
      <c r="B25150" s="3" t="str">
        <f>"01073496"</f>
        <v>01073496</v>
      </c>
    </row>
    <row r="25151" spans="1:2" x14ac:dyDescent="0.25">
      <c r="A25151" s="2">
        <v>25146</v>
      </c>
      <c r="B25151" s="3" t="str">
        <f>"01073500"</f>
        <v>01073500</v>
      </c>
    </row>
    <row r="25152" spans="1:2" x14ac:dyDescent="0.25">
      <c r="A25152" s="2">
        <v>25147</v>
      </c>
      <c r="B25152" s="3" t="str">
        <f>"01073510"</f>
        <v>01073510</v>
      </c>
    </row>
    <row r="25153" spans="1:2" x14ac:dyDescent="0.25">
      <c r="A25153" s="2">
        <v>25148</v>
      </c>
      <c r="B25153" s="3" t="str">
        <f>"01073511"</f>
        <v>01073511</v>
      </c>
    </row>
    <row r="25154" spans="1:2" x14ac:dyDescent="0.25">
      <c r="A25154" s="2">
        <v>25149</v>
      </c>
      <c r="B25154" s="3" t="str">
        <f>"01073512"</f>
        <v>01073512</v>
      </c>
    </row>
    <row r="25155" spans="1:2" x14ac:dyDescent="0.25">
      <c r="A25155" s="2">
        <v>25150</v>
      </c>
      <c r="B25155" s="3" t="str">
        <f>"01073519"</f>
        <v>01073519</v>
      </c>
    </row>
    <row r="25156" spans="1:2" x14ac:dyDescent="0.25">
      <c r="A25156" s="2">
        <v>25151</v>
      </c>
      <c r="B25156" s="3" t="str">
        <f>"01073532"</f>
        <v>01073532</v>
      </c>
    </row>
    <row r="25157" spans="1:2" x14ac:dyDescent="0.25">
      <c r="A25157" s="2">
        <v>25152</v>
      </c>
      <c r="B25157" s="3" t="str">
        <f>"01073534"</f>
        <v>01073534</v>
      </c>
    </row>
    <row r="25158" spans="1:2" x14ac:dyDescent="0.25">
      <c r="A25158" s="2">
        <v>25153</v>
      </c>
      <c r="B25158" s="3" t="str">
        <f>"01073535"</f>
        <v>01073535</v>
      </c>
    </row>
    <row r="25159" spans="1:2" x14ac:dyDescent="0.25">
      <c r="A25159" s="2">
        <v>25154</v>
      </c>
      <c r="B25159" s="3" t="str">
        <f>"01073537"</f>
        <v>01073537</v>
      </c>
    </row>
    <row r="25160" spans="1:2" x14ac:dyDescent="0.25">
      <c r="A25160" s="2">
        <v>25155</v>
      </c>
      <c r="B25160" s="3" t="str">
        <f>"01073538"</f>
        <v>01073538</v>
      </c>
    </row>
    <row r="25161" spans="1:2" x14ac:dyDescent="0.25">
      <c r="A25161" s="2">
        <v>25156</v>
      </c>
      <c r="B25161" s="3" t="str">
        <f>"01073551"</f>
        <v>01073551</v>
      </c>
    </row>
    <row r="25162" spans="1:2" x14ac:dyDescent="0.25">
      <c r="A25162" s="2">
        <v>25157</v>
      </c>
      <c r="B25162" s="3" t="str">
        <f>"01073557"</f>
        <v>01073557</v>
      </c>
    </row>
    <row r="25163" spans="1:2" x14ac:dyDescent="0.25">
      <c r="A25163" s="2">
        <v>25158</v>
      </c>
      <c r="B25163" s="3" t="str">
        <f>"01073560"</f>
        <v>01073560</v>
      </c>
    </row>
    <row r="25164" spans="1:2" x14ac:dyDescent="0.25">
      <c r="A25164" s="2">
        <v>25159</v>
      </c>
      <c r="B25164" s="3" t="str">
        <f>"01073562"</f>
        <v>01073562</v>
      </c>
    </row>
    <row r="25165" spans="1:2" x14ac:dyDescent="0.25">
      <c r="A25165" s="2">
        <v>25160</v>
      </c>
      <c r="B25165" s="3" t="str">
        <f>"01073571"</f>
        <v>01073571</v>
      </c>
    </row>
    <row r="25166" spans="1:2" x14ac:dyDescent="0.25">
      <c r="A25166" s="2">
        <v>25161</v>
      </c>
      <c r="B25166" s="3" t="str">
        <f>"01073592"</f>
        <v>01073592</v>
      </c>
    </row>
    <row r="25167" spans="1:2" x14ac:dyDescent="0.25">
      <c r="A25167" s="2">
        <v>25162</v>
      </c>
      <c r="B25167" s="3" t="str">
        <f>"01073594"</f>
        <v>01073594</v>
      </c>
    </row>
    <row r="25168" spans="1:2" x14ac:dyDescent="0.25">
      <c r="A25168" s="2">
        <v>25163</v>
      </c>
      <c r="B25168" s="3" t="str">
        <f>"01073598"</f>
        <v>01073598</v>
      </c>
    </row>
    <row r="25169" spans="1:2" x14ac:dyDescent="0.25">
      <c r="A25169" s="2">
        <v>25164</v>
      </c>
      <c r="B25169" s="3" t="str">
        <f>"01073599"</f>
        <v>01073599</v>
      </c>
    </row>
    <row r="25170" spans="1:2" x14ac:dyDescent="0.25">
      <c r="A25170" s="2">
        <v>25165</v>
      </c>
      <c r="B25170" s="3" t="str">
        <f>"01073603"</f>
        <v>01073603</v>
      </c>
    </row>
    <row r="25171" spans="1:2" x14ac:dyDescent="0.25">
      <c r="A25171" s="2">
        <v>25166</v>
      </c>
      <c r="B25171" s="3" t="str">
        <f>"01073608"</f>
        <v>01073608</v>
      </c>
    </row>
    <row r="25172" spans="1:2" x14ac:dyDescent="0.25">
      <c r="A25172" s="2">
        <v>25167</v>
      </c>
      <c r="B25172" s="3" t="str">
        <f>"01073609"</f>
        <v>01073609</v>
      </c>
    </row>
    <row r="25173" spans="1:2" x14ac:dyDescent="0.25">
      <c r="A25173" s="2">
        <v>25168</v>
      </c>
      <c r="B25173" s="3" t="str">
        <f>"01073620"</f>
        <v>01073620</v>
      </c>
    </row>
    <row r="25174" spans="1:2" x14ac:dyDescent="0.25">
      <c r="A25174" s="2">
        <v>25169</v>
      </c>
      <c r="B25174" s="3" t="str">
        <f>"01073622"</f>
        <v>01073622</v>
      </c>
    </row>
    <row r="25175" spans="1:2" x14ac:dyDescent="0.25">
      <c r="A25175" s="2">
        <v>25170</v>
      </c>
      <c r="B25175" s="3" t="str">
        <f>"01073624"</f>
        <v>01073624</v>
      </c>
    </row>
    <row r="25176" spans="1:2" x14ac:dyDescent="0.25">
      <c r="A25176" s="2">
        <v>25171</v>
      </c>
      <c r="B25176" s="3" t="str">
        <f>"01073625"</f>
        <v>01073625</v>
      </c>
    </row>
    <row r="25177" spans="1:2" x14ac:dyDescent="0.25">
      <c r="A25177" s="2">
        <v>25172</v>
      </c>
      <c r="B25177" s="3" t="str">
        <f>"01073633"</f>
        <v>01073633</v>
      </c>
    </row>
    <row r="25178" spans="1:2" x14ac:dyDescent="0.25">
      <c r="A25178" s="2">
        <v>25173</v>
      </c>
      <c r="B25178" s="3" t="str">
        <f>"01073647"</f>
        <v>01073647</v>
      </c>
    </row>
    <row r="25179" spans="1:2" x14ac:dyDescent="0.25">
      <c r="A25179" s="2">
        <v>25174</v>
      </c>
      <c r="B25179" s="3" t="str">
        <f>"01073662"</f>
        <v>01073662</v>
      </c>
    </row>
    <row r="25180" spans="1:2" x14ac:dyDescent="0.25">
      <c r="A25180" s="2">
        <v>25175</v>
      </c>
      <c r="B25180" s="3" t="str">
        <f>"01073667"</f>
        <v>01073667</v>
      </c>
    </row>
    <row r="25181" spans="1:2" x14ac:dyDescent="0.25">
      <c r="A25181" s="2">
        <v>25176</v>
      </c>
      <c r="B25181" s="3" t="str">
        <f>"01073671"</f>
        <v>01073671</v>
      </c>
    </row>
    <row r="25182" spans="1:2" x14ac:dyDescent="0.25">
      <c r="A25182" s="2">
        <v>25177</v>
      </c>
      <c r="B25182" s="3" t="str">
        <f>"01073672"</f>
        <v>01073672</v>
      </c>
    </row>
    <row r="25183" spans="1:2" x14ac:dyDescent="0.25">
      <c r="A25183" s="2">
        <v>25178</v>
      </c>
      <c r="B25183" s="3" t="str">
        <f>"01073674"</f>
        <v>01073674</v>
      </c>
    </row>
    <row r="25184" spans="1:2" x14ac:dyDescent="0.25">
      <c r="A25184" s="2">
        <v>25179</v>
      </c>
      <c r="B25184" s="3" t="str">
        <f>"01073676"</f>
        <v>01073676</v>
      </c>
    </row>
    <row r="25185" spans="1:2" x14ac:dyDescent="0.25">
      <c r="A25185" s="2">
        <v>25180</v>
      </c>
      <c r="B25185" s="3" t="str">
        <f>"01073677"</f>
        <v>01073677</v>
      </c>
    </row>
    <row r="25186" spans="1:2" x14ac:dyDescent="0.25">
      <c r="A25186" s="2">
        <v>25181</v>
      </c>
      <c r="B25186" s="3" t="str">
        <f>"01073692"</f>
        <v>01073692</v>
      </c>
    </row>
    <row r="25187" spans="1:2" x14ac:dyDescent="0.25">
      <c r="A25187" s="2">
        <v>25182</v>
      </c>
      <c r="B25187" s="3" t="str">
        <f>"01073693"</f>
        <v>01073693</v>
      </c>
    </row>
    <row r="25188" spans="1:2" x14ac:dyDescent="0.25">
      <c r="A25188" s="2">
        <v>25183</v>
      </c>
      <c r="B25188" s="3" t="str">
        <f>"01073699"</f>
        <v>01073699</v>
      </c>
    </row>
    <row r="25189" spans="1:2" x14ac:dyDescent="0.25">
      <c r="A25189" s="2">
        <v>25184</v>
      </c>
      <c r="B25189" s="3" t="str">
        <f>"01073700"</f>
        <v>01073700</v>
      </c>
    </row>
    <row r="25190" spans="1:2" x14ac:dyDescent="0.25">
      <c r="A25190" s="2">
        <v>25185</v>
      </c>
      <c r="B25190" s="3" t="str">
        <f>"01073703"</f>
        <v>01073703</v>
      </c>
    </row>
    <row r="25191" spans="1:2" x14ac:dyDescent="0.25">
      <c r="A25191" s="2">
        <v>25186</v>
      </c>
      <c r="B25191" s="3" t="str">
        <f>"01073704"</f>
        <v>01073704</v>
      </c>
    </row>
    <row r="25192" spans="1:2" x14ac:dyDescent="0.25">
      <c r="A25192" s="2">
        <v>25187</v>
      </c>
      <c r="B25192" s="3" t="str">
        <f>"01073724"</f>
        <v>01073724</v>
      </c>
    </row>
    <row r="25193" spans="1:2" x14ac:dyDescent="0.25">
      <c r="A25193" s="2">
        <v>25188</v>
      </c>
      <c r="B25193" s="3" t="str">
        <f>"01073726"</f>
        <v>01073726</v>
      </c>
    </row>
    <row r="25194" spans="1:2" x14ac:dyDescent="0.25">
      <c r="A25194" s="2">
        <v>25189</v>
      </c>
      <c r="B25194" s="3" t="str">
        <f>"01073728"</f>
        <v>01073728</v>
      </c>
    </row>
    <row r="25195" spans="1:2" x14ac:dyDescent="0.25">
      <c r="A25195" s="2">
        <v>25190</v>
      </c>
      <c r="B25195" s="3" t="str">
        <f>"01073744"</f>
        <v>01073744</v>
      </c>
    </row>
    <row r="25196" spans="1:2" x14ac:dyDescent="0.25">
      <c r="A25196" s="2">
        <v>25191</v>
      </c>
      <c r="B25196" s="3" t="str">
        <f>"01073750"</f>
        <v>01073750</v>
      </c>
    </row>
    <row r="25197" spans="1:2" x14ac:dyDescent="0.25">
      <c r="A25197" s="2">
        <v>25192</v>
      </c>
      <c r="B25197" s="3" t="str">
        <f>"01073754"</f>
        <v>01073754</v>
      </c>
    </row>
    <row r="25198" spans="1:2" x14ac:dyDescent="0.25">
      <c r="A25198" s="2">
        <v>25193</v>
      </c>
      <c r="B25198" s="3" t="str">
        <f>"01073765"</f>
        <v>01073765</v>
      </c>
    </row>
    <row r="25199" spans="1:2" x14ac:dyDescent="0.25">
      <c r="A25199" s="2">
        <v>25194</v>
      </c>
      <c r="B25199" s="3" t="str">
        <f>"01073767"</f>
        <v>01073767</v>
      </c>
    </row>
    <row r="25200" spans="1:2" x14ac:dyDescent="0.25">
      <c r="A25200" s="2">
        <v>25195</v>
      </c>
      <c r="B25200" s="3" t="str">
        <f>"01073769"</f>
        <v>01073769</v>
      </c>
    </row>
    <row r="25201" spans="1:2" x14ac:dyDescent="0.25">
      <c r="A25201" s="2">
        <v>25196</v>
      </c>
      <c r="B25201" s="3" t="str">
        <f>"01073772"</f>
        <v>01073772</v>
      </c>
    </row>
    <row r="25202" spans="1:2" x14ac:dyDescent="0.25">
      <c r="A25202" s="2">
        <v>25197</v>
      </c>
      <c r="B25202" s="3" t="str">
        <f>"01073773"</f>
        <v>01073773</v>
      </c>
    </row>
    <row r="25203" spans="1:2" x14ac:dyDescent="0.25">
      <c r="A25203" s="2">
        <v>25198</v>
      </c>
      <c r="B25203" s="3" t="str">
        <f>"01073775"</f>
        <v>01073775</v>
      </c>
    </row>
    <row r="25204" spans="1:2" x14ac:dyDescent="0.25">
      <c r="A25204" s="2">
        <v>25199</v>
      </c>
      <c r="B25204" s="3" t="str">
        <f>"01073787"</f>
        <v>01073787</v>
      </c>
    </row>
    <row r="25205" spans="1:2" x14ac:dyDescent="0.25">
      <c r="A25205" s="2">
        <v>25200</v>
      </c>
      <c r="B25205" s="3" t="str">
        <f>"01073789"</f>
        <v>01073789</v>
      </c>
    </row>
    <row r="25206" spans="1:2" x14ac:dyDescent="0.25">
      <c r="A25206" s="2">
        <v>25201</v>
      </c>
      <c r="B25206" s="3" t="str">
        <f>"01073790"</f>
        <v>01073790</v>
      </c>
    </row>
    <row r="25207" spans="1:2" x14ac:dyDescent="0.25">
      <c r="A25207" s="2">
        <v>25202</v>
      </c>
      <c r="B25207" s="3" t="str">
        <f>"01073794"</f>
        <v>01073794</v>
      </c>
    </row>
    <row r="25208" spans="1:2" x14ac:dyDescent="0.25">
      <c r="A25208" s="2">
        <v>25203</v>
      </c>
      <c r="B25208" s="3" t="str">
        <f>"01073801"</f>
        <v>01073801</v>
      </c>
    </row>
    <row r="25209" spans="1:2" x14ac:dyDescent="0.25">
      <c r="A25209" s="2">
        <v>25204</v>
      </c>
      <c r="B25209" s="3" t="str">
        <f>"01073813"</f>
        <v>01073813</v>
      </c>
    </row>
    <row r="25210" spans="1:2" x14ac:dyDescent="0.25">
      <c r="A25210" s="2">
        <v>25205</v>
      </c>
      <c r="B25210" s="3" t="str">
        <f>"01073814"</f>
        <v>01073814</v>
      </c>
    </row>
    <row r="25211" spans="1:2" x14ac:dyDescent="0.25">
      <c r="A25211" s="2">
        <v>25206</v>
      </c>
      <c r="B25211" s="3" t="str">
        <f>"01073818"</f>
        <v>01073818</v>
      </c>
    </row>
    <row r="25212" spans="1:2" x14ac:dyDescent="0.25">
      <c r="A25212" s="2">
        <v>25207</v>
      </c>
      <c r="B25212" s="3" t="str">
        <f>"01073819"</f>
        <v>01073819</v>
      </c>
    </row>
    <row r="25213" spans="1:2" x14ac:dyDescent="0.25">
      <c r="A25213" s="2">
        <v>25208</v>
      </c>
      <c r="B25213" s="3" t="str">
        <f>"01073826"</f>
        <v>01073826</v>
      </c>
    </row>
    <row r="25214" spans="1:2" x14ac:dyDescent="0.25">
      <c r="A25214" s="2">
        <v>25209</v>
      </c>
      <c r="B25214" s="3" t="str">
        <f>"01073837"</f>
        <v>01073837</v>
      </c>
    </row>
    <row r="25215" spans="1:2" x14ac:dyDescent="0.25">
      <c r="A25215" s="2">
        <v>25210</v>
      </c>
      <c r="B25215" s="3" t="str">
        <f>"01073845"</f>
        <v>01073845</v>
      </c>
    </row>
    <row r="25216" spans="1:2" x14ac:dyDescent="0.25">
      <c r="A25216" s="2">
        <v>25211</v>
      </c>
      <c r="B25216" s="3" t="str">
        <f>"01073847"</f>
        <v>01073847</v>
      </c>
    </row>
    <row r="25217" spans="1:2" x14ac:dyDescent="0.25">
      <c r="A25217" s="2">
        <v>25212</v>
      </c>
      <c r="B25217" s="3" t="str">
        <f>"01073851"</f>
        <v>01073851</v>
      </c>
    </row>
    <row r="25218" spans="1:2" x14ac:dyDescent="0.25">
      <c r="A25218" s="2">
        <v>25213</v>
      </c>
      <c r="B25218" s="3" t="str">
        <f>"01073852"</f>
        <v>01073852</v>
      </c>
    </row>
    <row r="25219" spans="1:2" x14ac:dyDescent="0.25">
      <c r="A25219" s="2">
        <v>25214</v>
      </c>
      <c r="B25219" s="3" t="str">
        <f>"01073855"</f>
        <v>01073855</v>
      </c>
    </row>
    <row r="25220" spans="1:2" x14ac:dyDescent="0.25">
      <c r="A25220" s="2">
        <v>25215</v>
      </c>
      <c r="B25220" s="3" t="str">
        <f>"01073858"</f>
        <v>01073858</v>
      </c>
    </row>
    <row r="25221" spans="1:2" x14ac:dyDescent="0.25">
      <c r="A25221" s="2">
        <v>25216</v>
      </c>
      <c r="B25221" s="3" t="str">
        <f>"01073865"</f>
        <v>01073865</v>
      </c>
    </row>
    <row r="25222" spans="1:2" x14ac:dyDescent="0.25">
      <c r="A25222" s="2">
        <v>25217</v>
      </c>
      <c r="B25222" s="3" t="str">
        <f>"01073866"</f>
        <v>01073866</v>
      </c>
    </row>
    <row r="25223" spans="1:2" x14ac:dyDescent="0.25">
      <c r="A25223" s="2">
        <v>25218</v>
      </c>
      <c r="B25223" s="3" t="str">
        <f>"01073873"</f>
        <v>01073873</v>
      </c>
    </row>
    <row r="25224" spans="1:2" x14ac:dyDescent="0.25">
      <c r="A25224" s="2">
        <v>25219</v>
      </c>
      <c r="B25224" s="3" t="str">
        <f>"01073874"</f>
        <v>01073874</v>
      </c>
    </row>
    <row r="25225" spans="1:2" x14ac:dyDescent="0.25">
      <c r="A25225" s="2">
        <v>25220</v>
      </c>
      <c r="B25225" s="3" t="str">
        <f>"01073877"</f>
        <v>01073877</v>
      </c>
    </row>
    <row r="25226" spans="1:2" x14ac:dyDescent="0.25">
      <c r="A25226" s="2">
        <v>25221</v>
      </c>
      <c r="B25226" s="3" t="str">
        <f>"01073879"</f>
        <v>01073879</v>
      </c>
    </row>
    <row r="25227" spans="1:2" x14ac:dyDescent="0.25">
      <c r="A25227" s="2">
        <v>25222</v>
      </c>
      <c r="B25227" s="3" t="str">
        <f>"01073880"</f>
        <v>01073880</v>
      </c>
    </row>
    <row r="25228" spans="1:2" x14ac:dyDescent="0.25">
      <c r="A25228" s="2">
        <v>25223</v>
      </c>
      <c r="B25228" s="3" t="str">
        <f>"01073884"</f>
        <v>01073884</v>
      </c>
    </row>
    <row r="25229" spans="1:2" x14ac:dyDescent="0.25">
      <c r="A25229" s="2">
        <v>25224</v>
      </c>
      <c r="B25229" s="3" t="str">
        <f>"01073885"</f>
        <v>01073885</v>
      </c>
    </row>
    <row r="25230" spans="1:2" x14ac:dyDescent="0.25">
      <c r="A25230" s="2">
        <v>25225</v>
      </c>
      <c r="B25230" s="3" t="str">
        <f>"01073888"</f>
        <v>01073888</v>
      </c>
    </row>
    <row r="25231" spans="1:2" x14ac:dyDescent="0.25">
      <c r="A25231" s="2">
        <v>25226</v>
      </c>
      <c r="B25231" s="3" t="str">
        <f>"01073893"</f>
        <v>01073893</v>
      </c>
    </row>
    <row r="25232" spans="1:2" x14ac:dyDescent="0.25">
      <c r="A25232" s="2">
        <v>25227</v>
      </c>
      <c r="B25232" s="3" t="str">
        <f>"01073895"</f>
        <v>01073895</v>
      </c>
    </row>
    <row r="25233" spans="1:2" x14ac:dyDescent="0.25">
      <c r="A25233" s="2">
        <v>25228</v>
      </c>
      <c r="B25233" s="3" t="str">
        <f>"01073898"</f>
        <v>01073898</v>
      </c>
    </row>
    <row r="25234" spans="1:2" x14ac:dyDescent="0.25">
      <c r="A25234" s="2">
        <v>25229</v>
      </c>
      <c r="B25234" s="3" t="str">
        <f>"01073909"</f>
        <v>01073909</v>
      </c>
    </row>
    <row r="25235" spans="1:2" x14ac:dyDescent="0.25">
      <c r="A25235" s="2">
        <v>25230</v>
      </c>
      <c r="B25235" s="3" t="str">
        <f>"01073919"</f>
        <v>01073919</v>
      </c>
    </row>
    <row r="25236" spans="1:2" x14ac:dyDescent="0.25">
      <c r="A25236" s="2">
        <v>25231</v>
      </c>
      <c r="B25236" s="3" t="str">
        <f>"01073926"</f>
        <v>01073926</v>
      </c>
    </row>
    <row r="25237" spans="1:2" x14ac:dyDescent="0.25">
      <c r="A25237" s="2">
        <v>25232</v>
      </c>
      <c r="B25237" s="3" t="str">
        <f>"01073928"</f>
        <v>01073928</v>
      </c>
    </row>
    <row r="25238" spans="1:2" x14ac:dyDescent="0.25">
      <c r="A25238" s="2">
        <v>25233</v>
      </c>
      <c r="B25238" s="3" t="str">
        <f>"01073929"</f>
        <v>01073929</v>
      </c>
    </row>
    <row r="25239" spans="1:2" x14ac:dyDescent="0.25">
      <c r="A25239" s="2">
        <v>25234</v>
      </c>
      <c r="B25239" s="3" t="str">
        <f>"01073953"</f>
        <v>01073953</v>
      </c>
    </row>
    <row r="25240" spans="1:2" x14ac:dyDescent="0.25">
      <c r="A25240" s="2">
        <v>25235</v>
      </c>
      <c r="B25240" s="3" t="str">
        <f>"01073961"</f>
        <v>01073961</v>
      </c>
    </row>
    <row r="25241" spans="1:2" x14ac:dyDescent="0.25">
      <c r="A25241" s="2">
        <v>25236</v>
      </c>
      <c r="B25241" s="3" t="str">
        <f>"01073966"</f>
        <v>01073966</v>
      </c>
    </row>
    <row r="25242" spans="1:2" x14ac:dyDescent="0.25">
      <c r="A25242" s="2">
        <v>25237</v>
      </c>
      <c r="B25242" s="3" t="str">
        <f>"01073968"</f>
        <v>01073968</v>
      </c>
    </row>
    <row r="25243" spans="1:2" x14ac:dyDescent="0.25">
      <c r="A25243" s="2">
        <v>25238</v>
      </c>
      <c r="B25243" s="3" t="str">
        <f>"01073973"</f>
        <v>01073973</v>
      </c>
    </row>
    <row r="25244" spans="1:2" x14ac:dyDescent="0.25">
      <c r="A25244" s="2">
        <v>25239</v>
      </c>
      <c r="B25244" s="3" t="str">
        <f>"01073974"</f>
        <v>01073974</v>
      </c>
    </row>
    <row r="25245" spans="1:2" x14ac:dyDescent="0.25">
      <c r="A25245" s="2">
        <v>25240</v>
      </c>
      <c r="B25245" s="3" t="str">
        <f>"01073978"</f>
        <v>01073978</v>
      </c>
    </row>
    <row r="25246" spans="1:2" x14ac:dyDescent="0.25">
      <c r="A25246" s="2">
        <v>25241</v>
      </c>
      <c r="B25246" s="3" t="str">
        <f>"01073981"</f>
        <v>01073981</v>
      </c>
    </row>
    <row r="25247" spans="1:2" x14ac:dyDescent="0.25">
      <c r="A25247" s="2">
        <v>25242</v>
      </c>
      <c r="B25247" s="3" t="str">
        <f>"01073988"</f>
        <v>01073988</v>
      </c>
    </row>
    <row r="25248" spans="1:2" x14ac:dyDescent="0.25">
      <c r="A25248" s="2">
        <v>25243</v>
      </c>
      <c r="B25248" s="3" t="str">
        <f>"01073991"</f>
        <v>01073991</v>
      </c>
    </row>
    <row r="25249" spans="1:2" x14ac:dyDescent="0.25">
      <c r="A25249" s="2">
        <v>25244</v>
      </c>
      <c r="B25249" s="3" t="str">
        <f>"01073993"</f>
        <v>01073993</v>
      </c>
    </row>
    <row r="25250" spans="1:2" x14ac:dyDescent="0.25">
      <c r="A25250" s="2">
        <v>25245</v>
      </c>
      <c r="B25250" s="3" t="str">
        <f>"01074003"</f>
        <v>01074003</v>
      </c>
    </row>
    <row r="25251" spans="1:2" x14ac:dyDescent="0.25">
      <c r="A25251" s="2">
        <v>25246</v>
      </c>
      <c r="B25251" s="3" t="str">
        <f>"01074007"</f>
        <v>01074007</v>
      </c>
    </row>
    <row r="25252" spans="1:2" x14ac:dyDescent="0.25">
      <c r="A25252" s="2">
        <v>25247</v>
      </c>
      <c r="B25252" s="3" t="str">
        <f>"01074009"</f>
        <v>01074009</v>
      </c>
    </row>
    <row r="25253" spans="1:2" x14ac:dyDescent="0.25">
      <c r="A25253" s="2">
        <v>25248</v>
      </c>
      <c r="B25253" s="3" t="str">
        <f>"01074014"</f>
        <v>01074014</v>
      </c>
    </row>
    <row r="25254" spans="1:2" x14ac:dyDescent="0.25">
      <c r="A25254" s="2">
        <v>25249</v>
      </c>
      <c r="B25254" s="3" t="str">
        <f>"01074018"</f>
        <v>01074018</v>
      </c>
    </row>
    <row r="25255" spans="1:2" x14ac:dyDescent="0.25">
      <c r="A25255" s="2">
        <v>25250</v>
      </c>
      <c r="B25255" s="3" t="str">
        <f>"01074021"</f>
        <v>01074021</v>
      </c>
    </row>
    <row r="25256" spans="1:2" x14ac:dyDescent="0.25">
      <c r="A25256" s="2">
        <v>25251</v>
      </c>
      <c r="B25256" s="3" t="str">
        <f>"01074035"</f>
        <v>01074035</v>
      </c>
    </row>
    <row r="25257" spans="1:2" x14ac:dyDescent="0.25">
      <c r="A25257" s="2">
        <v>25252</v>
      </c>
      <c r="B25257" s="3" t="str">
        <f>"01074036"</f>
        <v>01074036</v>
      </c>
    </row>
    <row r="25258" spans="1:2" x14ac:dyDescent="0.25">
      <c r="A25258" s="2">
        <v>25253</v>
      </c>
      <c r="B25258" s="3" t="str">
        <f>"01074049"</f>
        <v>01074049</v>
      </c>
    </row>
    <row r="25259" spans="1:2" x14ac:dyDescent="0.25">
      <c r="A25259" s="2">
        <v>25254</v>
      </c>
      <c r="B25259" s="3" t="str">
        <f>"01074051"</f>
        <v>01074051</v>
      </c>
    </row>
    <row r="25260" spans="1:2" x14ac:dyDescent="0.25">
      <c r="A25260" s="2">
        <v>25255</v>
      </c>
      <c r="B25260" s="3" t="str">
        <f>"01074056"</f>
        <v>01074056</v>
      </c>
    </row>
    <row r="25261" spans="1:2" x14ac:dyDescent="0.25">
      <c r="A25261" s="2">
        <v>25256</v>
      </c>
      <c r="B25261" s="3" t="str">
        <f>"01074059"</f>
        <v>01074059</v>
      </c>
    </row>
    <row r="25262" spans="1:2" x14ac:dyDescent="0.25">
      <c r="A25262" s="2">
        <v>25257</v>
      </c>
      <c r="B25262" s="3" t="str">
        <f>"01074062"</f>
        <v>01074062</v>
      </c>
    </row>
    <row r="25263" spans="1:2" x14ac:dyDescent="0.25">
      <c r="A25263" s="2">
        <v>25258</v>
      </c>
      <c r="B25263" s="3" t="str">
        <f>"01074063"</f>
        <v>01074063</v>
      </c>
    </row>
    <row r="25264" spans="1:2" x14ac:dyDescent="0.25">
      <c r="A25264" s="2">
        <v>25259</v>
      </c>
      <c r="B25264" s="3" t="str">
        <f>"01074080"</f>
        <v>01074080</v>
      </c>
    </row>
    <row r="25265" spans="1:2" x14ac:dyDescent="0.25">
      <c r="A25265" s="2">
        <v>25260</v>
      </c>
      <c r="B25265" s="3" t="str">
        <f>"01074083"</f>
        <v>01074083</v>
      </c>
    </row>
    <row r="25266" spans="1:2" x14ac:dyDescent="0.25">
      <c r="A25266" s="2">
        <v>25261</v>
      </c>
      <c r="B25266" s="3" t="str">
        <f>"01074087"</f>
        <v>01074087</v>
      </c>
    </row>
    <row r="25267" spans="1:2" x14ac:dyDescent="0.25">
      <c r="A25267" s="2">
        <v>25262</v>
      </c>
      <c r="B25267" s="3" t="str">
        <f>"01074090"</f>
        <v>01074090</v>
      </c>
    </row>
    <row r="25268" spans="1:2" x14ac:dyDescent="0.25">
      <c r="A25268" s="2">
        <v>25263</v>
      </c>
      <c r="B25268" s="3" t="str">
        <f>"01074094"</f>
        <v>01074094</v>
      </c>
    </row>
    <row r="25269" spans="1:2" x14ac:dyDescent="0.25">
      <c r="A25269" s="2">
        <v>25264</v>
      </c>
      <c r="B25269" s="3" t="str">
        <f>"01074095"</f>
        <v>01074095</v>
      </c>
    </row>
    <row r="25270" spans="1:2" x14ac:dyDescent="0.25">
      <c r="A25270" s="2">
        <v>25265</v>
      </c>
      <c r="B25270" s="3" t="str">
        <f>"01074097"</f>
        <v>01074097</v>
      </c>
    </row>
    <row r="25271" spans="1:2" x14ac:dyDescent="0.25">
      <c r="A25271" s="2">
        <v>25266</v>
      </c>
      <c r="B25271" s="3" t="str">
        <f>"01074109"</f>
        <v>01074109</v>
      </c>
    </row>
    <row r="25272" spans="1:2" x14ac:dyDescent="0.25">
      <c r="A25272" s="2">
        <v>25267</v>
      </c>
      <c r="B25272" s="3" t="str">
        <f>"01074118"</f>
        <v>01074118</v>
      </c>
    </row>
    <row r="25273" spans="1:2" x14ac:dyDescent="0.25">
      <c r="A25273" s="2">
        <v>25268</v>
      </c>
      <c r="B25273" s="3" t="str">
        <f>"01074132"</f>
        <v>01074132</v>
      </c>
    </row>
    <row r="25274" spans="1:2" x14ac:dyDescent="0.25">
      <c r="A25274" s="2">
        <v>25269</v>
      </c>
      <c r="B25274" s="3" t="str">
        <f>"01074137"</f>
        <v>01074137</v>
      </c>
    </row>
    <row r="25275" spans="1:2" x14ac:dyDescent="0.25">
      <c r="A25275" s="2">
        <v>25270</v>
      </c>
      <c r="B25275" s="3" t="str">
        <f>"01074140"</f>
        <v>01074140</v>
      </c>
    </row>
    <row r="25276" spans="1:2" x14ac:dyDescent="0.25">
      <c r="A25276" s="2">
        <v>25271</v>
      </c>
      <c r="B25276" s="3" t="str">
        <f>"01074143"</f>
        <v>01074143</v>
      </c>
    </row>
    <row r="25277" spans="1:2" x14ac:dyDescent="0.25">
      <c r="A25277" s="2">
        <v>25272</v>
      </c>
      <c r="B25277" s="3" t="str">
        <f>"01074145"</f>
        <v>01074145</v>
      </c>
    </row>
    <row r="25278" spans="1:2" x14ac:dyDescent="0.25">
      <c r="A25278" s="2">
        <v>25273</v>
      </c>
      <c r="B25278" s="3" t="str">
        <f>"01074147"</f>
        <v>01074147</v>
      </c>
    </row>
    <row r="25279" spans="1:2" x14ac:dyDescent="0.25">
      <c r="A25279" s="2">
        <v>25274</v>
      </c>
      <c r="B25279" s="3" t="str">
        <f>"01074150"</f>
        <v>01074150</v>
      </c>
    </row>
    <row r="25280" spans="1:2" x14ac:dyDescent="0.25">
      <c r="A25280" s="2">
        <v>25275</v>
      </c>
      <c r="B25280" s="3" t="str">
        <f>"01074153"</f>
        <v>01074153</v>
      </c>
    </row>
    <row r="25281" spans="1:2" x14ac:dyDescent="0.25">
      <c r="A25281" s="2">
        <v>25276</v>
      </c>
      <c r="B25281" s="3" t="str">
        <f>"01074154"</f>
        <v>01074154</v>
      </c>
    </row>
    <row r="25282" spans="1:2" x14ac:dyDescent="0.25">
      <c r="A25282" s="2">
        <v>25277</v>
      </c>
      <c r="B25282" s="3" t="str">
        <f>"01074163"</f>
        <v>01074163</v>
      </c>
    </row>
    <row r="25283" spans="1:2" x14ac:dyDescent="0.25">
      <c r="A25283" s="2">
        <v>25278</v>
      </c>
      <c r="B25283" s="3" t="str">
        <f>"01074166"</f>
        <v>01074166</v>
      </c>
    </row>
    <row r="25284" spans="1:2" x14ac:dyDescent="0.25">
      <c r="A25284" s="2">
        <v>25279</v>
      </c>
      <c r="B25284" s="3" t="str">
        <f>"01074167"</f>
        <v>01074167</v>
      </c>
    </row>
    <row r="25285" spans="1:2" x14ac:dyDescent="0.25">
      <c r="A25285" s="2">
        <v>25280</v>
      </c>
      <c r="B25285" s="3" t="str">
        <f>"01074168"</f>
        <v>01074168</v>
      </c>
    </row>
    <row r="25286" spans="1:2" x14ac:dyDescent="0.25">
      <c r="A25286" s="2">
        <v>25281</v>
      </c>
      <c r="B25286" s="3" t="str">
        <f>"01074169"</f>
        <v>01074169</v>
      </c>
    </row>
    <row r="25287" spans="1:2" x14ac:dyDescent="0.25">
      <c r="A25287" s="2">
        <v>25282</v>
      </c>
      <c r="B25287" s="3" t="str">
        <f>"01074170"</f>
        <v>01074170</v>
      </c>
    </row>
    <row r="25288" spans="1:2" x14ac:dyDescent="0.25">
      <c r="A25288" s="2">
        <v>25283</v>
      </c>
      <c r="B25288" s="3" t="str">
        <f>"01074172"</f>
        <v>01074172</v>
      </c>
    </row>
    <row r="25289" spans="1:2" x14ac:dyDescent="0.25">
      <c r="A25289" s="2">
        <v>25284</v>
      </c>
      <c r="B25289" s="3" t="str">
        <f>"01074174"</f>
        <v>01074174</v>
      </c>
    </row>
    <row r="25290" spans="1:2" x14ac:dyDescent="0.25">
      <c r="A25290" s="2">
        <v>25285</v>
      </c>
      <c r="B25290" s="3" t="str">
        <f>"01074185"</f>
        <v>01074185</v>
      </c>
    </row>
    <row r="25291" spans="1:2" x14ac:dyDescent="0.25">
      <c r="A25291" s="2">
        <v>25286</v>
      </c>
      <c r="B25291" s="3" t="str">
        <f>"01074198"</f>
        <v>01074198</v>
      </c>
    </row>
    <row r="25292" spans="1:2" x14ac:dyDescent="0.25">
      <c r="A25292" s="2">
        <v>25287</v>
      </c>
      <c r="B25292" s="3" t="str">
        <f>"01074203"</f>
        <v>01074203</v>
      </c>
    </row>
    <row r="25293" spans="1:2" x14ac:dyDescent="0.25">
      <c r="A25293" s="2">
        <v>25288</v>
      </c>
      <c r="B25293" s="3" t="str">
        <f>"01074214"</f>
        <v>01074214</v>
      </c>
    </row>
    <row r="25294" spans="1:2" x14ac:dyDescent="0.25">
      <c r="A25294" s="2">
        <v>25289</v>
      </c>
      <c r="B25294" s="3" t="str">
        <f>"01074215"</f>
        <v>01074215</v>
      </c>
    </row>
    <row r="25295" spans="1:2" x14ac:dyDescent="0.25">
      <c r="A25295" s="2">
        <v>25290</v>
      </c>
      <c r="B25295" s="3" t="str">
        <f>"01074217"</f>
        <v>01074217</v>
      </c>
    </row>
    <row r="25296" spans="1:2" x14ac:dyDescent="0.25">
      <c r="A25296" s="2">
        <v>25291</v>
      </c>
      <c r="B25296" s="3" t="str">
        <f>"01074220"</f>
        <v>01074220</v>
      </c>
    </row>
    <row r="25297" spans="1:2" x14ac:dyDescent="0.25">
      <c r="A25297" s="2">
        <v>25292</v>
      </c>
      <c r="B25297" s="3" t="str">
        <f>"01074222"</f>
        <v>01074222</v>
      </c>
    </row>
    <row r="25298" spans="1:2" x14ac:dyDescent="0.25">
      <c r="A25298" s="2">
        <v>25293</v>
      </c>
      <c r="B25298" s="3" t="str">
        <f>"01074225"</f>
        <v>01074225</v>
      </c>
    </row>
    <row r="25299" spans="1:2" x14ac:dyDescent="0.25">
      <c r="A25299" s="2">
        <v>25294</v>
      </c>
      <c r="B25299" s="3" t="str">
        <f>"01074230"</f>
        <v>01074230</v>
      </c>
    </row>
    <row r="25300" spans="1:2" x14ac:dyDescent="0.25">
      <c r="A25300" s="2">
        <v>25295</v>
      </c>
      <c r="B25300" s="3" t="str">
        <f>"01074239"</f>
        <v>01074239</v>
      </c>
    </row>
    <row r="25301" spans="1:2" x14ac:dyDescent="0.25">
      <c r="A25301" s="2">
        <v>25296</v>
      </c>
      <c r="B25301" s="3" t="str">
        <f>"01074242"</f>
        <v>01074242</v>
      </c>
    </row>
    <row r="25302" spans="1:2" x14ac:dyDescent="0.25">
      <c r="A25302" s="2">
        <v>25297</v>
      </c>
      <c r="B25302" s="3" t="str">
        <f>"01074243"</f>
        <v>01074243</v>
      </c>
    </row>
    <row r="25303" spans="1:2" x14ac:dyDescent="0.25">
      <c r="A25303" s="2">
        <v>25298</v>
      </c>
      <c r="B25303" s="3" t="str">
        <f>"01074246"</f>
        <v>01074246</v>
      </c>
    </row>
    <row r="25304" spans="1:2" x14ac:dyDescent="0.25">
      <c r="A25304" s="2">
        <v>25299</v>
      </c>
      <c r="B25304" s="3" t="str">
        <f>"01074247"</f>
        <v>01074247</v>
      </c>
    </row>
    <row r="25305" spans="1:2" x14ac:dyDescent="0.25">
      <c r="A25305" s="2">
        <v>25300</v>
      </c>
      <c r="B25305" s="3" t="str">
        <f>"01074249"</f>
        <v>01074249</v>
      </c>
    </row>
    <row r="25306" spans="1:2" x14ac:dyDescent="0.25">
      <c r="A25306" s="2">
        <v>25301</v>
      </c>
      <c r="B25306" s="3" t="str">
        <f>"01074259"</f>
        <v>01074259</v>
      </c>
    </row>
    <row r="25307" spans="1:2" x14ac:dyDescent="0.25">
      <c r="A25307" s="2">
        <v>25302</v>
      </c>
      <c r="B25307" s="3" t="str">
        <f>"01074261"</f>
        <v>01074261</v>
      </c>
    </row>
    <row r="25308" spans="1:2" x14ac:dyDescent="0.25">
      <c r="A25308" s="2">
        <v>25303</v>
      </c>
      <c r="B25308" s="3" t="str">
        <f>"01074262"</f>
        <v>01074262</v>
      </c>
    </row>
    <row r="25309" spans="1:2" x14ac:dyDescent="0.25">
      <c r="A25309" s="2">
        <v>25304</v>
      </c>
      <c r="B25309" s="3" t="str">
        <f>"01074263"</f>
        <v>01074263</v>
      </c>
    </row>
    <row r="25310" spans="1:2" x14ac:dyDescent="0.25">
      <c r="A25310" s="2">
        <v>25305</v>
      </c>
      <c r="B25310" s="3" t="str">
        <f>"01074264"</f>
        <v>01074264</v>
      </c>
    </row>
    <row r="25311" spans="1:2" x14ac:dyDescent="0.25">
      <c r="A25311" s="2">
        <v>25306</v>
      </c>
      <c r="B25311" s="3" t="str">
        <f>"01074265"</f>
        <v>01074265</v>
      </c>
    </row>
    <row r="25312" spans="1:2" x14ac:dyDescent="0.25">
      <c r="A25312" s="2">
        <v>25307</v>
      </c>
      <c r="B25312" s="3" t="str">
        <f>"01074270"</f>
        <v>01074270</v>
      </c>
    </row>
    <row r="25313" spans="1:2" x14ac:dyDescent="0.25">
      <c r="A25313" s="2">
        <v>25308</v>
      </c>
      <c r="B25313" s="3" t="str">
        <f>"01074276"</f>
        <v>01074276</v>
      </c>
    </row>
    <row r="25314" spans="1:2" x14ac:dyDescent="0.25">
      <c r="A25314" s="2">
        <v>25309</v>
      </c>
      <c r="B25314" s="3" t="str">
        <f>"01074277"</f>
        <v>01074277</v>
      </c>
    </row>
    <row r="25315" spans="1:2" x14ac:dyDescent="0.25">
      <c r="A25315" s="2">
        <v>25310</v>
      </c>
      <c r="B25315" s="3" t="str">
        <f>"01074278"</f>
        <v>01074278</v>
      </c>
    </row>
    <row r="25316" spans="1:2" x14ac:dyDescent="0.25">
      <c r="A25316" s="2">
        <v>25311</v>
      </c>
      <c r="B25316" s="3" t="str">
        <f>"01074284"</f>
        <v>01074284</v>
      </c>
    </row>
    <row r="25317" spans="1:2" x14ac:dyDescent="0.25">
      <c r="A25317" s="2">
        <v>25312</v>
      </c>
      <c r="B25317" s="3" t="str">
        <f>"01074287"</f>
        <v>01074287</v>
      </c>
    </row>
    <row r="25318" spans="1:2" x14ac:dyDescent="0.25">
      <c r="A25318" s="2">
        <v>25313</v>
      </c>
      <c r="B25318" s="3" t="str">
        <f>"01074291"</f>
        <v>01074291</v>
      </c>
    </row>
    <row r="25319" spans="1:2" x14ac:dyDescent="0.25">
      <c r="A25319" s="2">
        <v>25314</v>
      </c>
      <c r="B25319" s="3" t="str">
        <f>"01074293"</f>
        <v>01074293</v>
      </c>
    </row>
    <row r="25320" spans="1:2" x14ac:dyDescent="0.25">
      <c r="A25320" s="2">
        <v>25315</v>
      </c>
      <c r="B25320" s="3" t="str">
        <f>"01074296"</f>
        <v>01074296</v>
      </c>
    </row>
    <row r="25321" spans="1:2" x14ac:dyDescent="0.25">
      <c r="A25321" s="2">
        <v>25316</v>
      </c>
      <c r="B25321" s="3" t="str">
        <f>"01074300"</f>
        <v>01074300</v>
      </c>
    </row>
    <row r="25322" spans="1:2" x14ac:dyDescent="0.25">
      <c r="A25322" s="2">
        <v>25317</v>
      </c>
      <c r="B25322" s="3" t="str">
        <f>"01074303"</f>
        <v>01074303</v>
      </c>
    </row>
    <row r="25323" spans="1:2" x14ac:dyDescent="0.25">
      <c r="A25323" s="2">
        <v>25318</v>
      </c>
      <c r="B25323" s="3" t="str">
        <f>"01074310"</f>
        <v>01074310</v>
      </c>
    </row>
    <row r="25324" spans="1:2" x14ac:dyDescent="0.25">
      <c r="A25324" s="2">
        <v>25319</v>
      </c>
      <c r="B25324" s="3" t="str">
        <f>"01074311"</f>
        <v>01074311</v>
      </c>
    </row>
    <row r="25325" spans="1:2" x14ac:dyDescent="0.25">
      <c r="A25325" s="2">
        <v>25320</v>
      </c>
      <c r="B25325" s="3" t="str">
        <f>"01074315"</f>
        <v>01074315</v>
      </c>
    </row>
    <row r="25326" spans="1:2" x14ac:dyDescent="0.25">
      <c r="A25326" s="2">
        <v>25321</v>
      </c>
      <c r="B25326" s="3" t="str">
        <f>"01074316"</f>
        <v>01074316</v>
      </c>
    </row>
    <row r="25327" spans="1:2" x14ac:dyDescent="0.25">
      <c r="A25327" s="2">
        <v>25322</v>
      </c>
      <c r="B25327" s="3" t="str">
        <f>"01074321"</f>
        <v>01074321</v>
      </c>
    </row>
    <row r="25328" spans="1:2" x14ac:dyDescent="0.25">
      <c r="A25328" s="2">
        <v>25323</v>
      </c>
      <c r="B25328" s="3" t="str">
        <f>"01074328"</f>
        <v>01074328</v>
      </c>
    </row>
    <row r="25329" spans="1:2" x14ac:dyDescent="0.25">
      <c r="A25329" s="2">
        <v>25324</v>
      </c>
      <c r="B25329" s="3" t="str">
        <f>"01074329"</f>
        <v>01074329</v>
      </c>
    </row>
    <row r="25330" spans="1:2" x14ac:dyDescent="0.25">
      <c r="A25330" s="2">
        <v>25325</v>
      </c>
      <c r="B25330" s="3" t="str">
        <f>"01074331"</f>
        <v>01074331</v>
      </c>
    </row>
    <row r="25331" spans="1:2" x14ac:dyDescent="0.25">
      <c r="A25331" s="2">
        <v>25326</v>
      </c>
      <c r="B25331" s="3" t="str">
        <f>"01074333"</f>
        <v>01074333</v>
      </c>
    </row>
    <row r="25332" spans="1:2" x14ac:dyDescent="0.25">
      <c r="A25332" s="2">
        <v>25327</v>
      </c>
      <c r="B25332" s="3" t="str">
        <f>"01074335"</f>
        <v>01074335</v>
      </c>
    </row>
    <row r="25333" spans="1:2" x14ac:dyDescent="0.25">
      <c r="A25333" s="2">
        <v>25328</v>
      </c>
      <c r="B25333" s="3" t="str">
        <f>"01074342"</f>
        <v>01074342</v>
      </c>
    </row>
    <row r="25334" spans="1:2" x14ac:dyDescent="0.25">
      <c r="A25334" s="2">
        <v>25329</v>
      </c>
      <c r="B25334" s="3" t="str">
        <f>"01074347"</f>
        <v>01074347</v>
      </c>
    </row>
    <row r="25335" spans="1:2" x14ac:dyDescent="0.25">
      <c r="A25335" s="2">
        <v>25330</v>
      </c>
      <c r="B25335" s="3" t="str">
        <f>"01074355"</f>
        <v>01074355</v>
      </c>
    </row>
    <row r="25336" spans="1:2" x14ac:dyDescent="0.25">
      <c r="A25336" s="2">
        <v>25331</v>
      </c>
      <c r="B25336" s="3" t="str">
        <f>"01074356"</f>
        <v>01074356</v>
      </c>
    </row>
    <row r="25337" spans="1:2" x14ac:dyDescent="0.25">
      <c r="A25337" s="2">
        <v>25332</v>
      </c>
      <c r="B25337" s="3" t="str">
        <f>"01074359"</f>
        <v>01074359</v>
      </c>
    </row>
    <row r="25338" spans="1:2" x14ac:dyDescent="0.25">
      <c r="A25338" s="2">
        <v>25333</v>
      </c>
      <c r="B25338" s="3" t="str">
        <f>"01074365"</f>
        <v>01074365</v>
      </c>
    </row>
    <row r="25339" spans="1:2" x14ac:dyDescent="0.25">
      <c r="A25339" s="2">
        <v>25334</v>
      </c>
      <c r="B25339" s="3" t="str">
        <f>"01074367"</f>
        <v>01074367</v>
      </c>
    </row>
    <row r="25340" spans="1:2" x14ac:dyDescent="0.25">
      <c r="A25340" s="2">
        <v>25335</v>
      </c>
      <c r="B25340" s="3" t="str">
        <f>"01074370"</f>
        <v>01074370</v>
      </c>
    </row>
    <row r="25341" spans="1:2" x14ac:dyDescent="0.25">
      <c r="A25341" s="2">
        <v>25336</v>
      </c>
      <c r="B25341" s="3" t="str">
        <f>"01074371"</f>
        <v>01074371</v>
      </c>
    </row>
    <row r="25342" spans="1:2" x14ac:dyDescent="0.25">
      <c r="A25342" s="2">
        <v>25337</v>
      </c>
      <c r="B25342" s="3" t="str">
        <f>"01074372"</f>
        <v>01074372</v>
      </c>
    </row>
    <row r="25343" spans="1:2" x14ac:dyDescent="0.25">
      <c r="A25343" s="2">
        <v>25338</v>
      </c>
      <c r="B25343" s="3" t="str">
        <f>"01074376"</f>
        <v>01074376</v>
      </c>
    </row>
    <row r="25344" spans="1:2" x14ac:dyDescent="0.25">
      <c r="A25344" s="2">
        <v>25339</v>
      </c>
      <c r="B25344" s="3" t="str">
        <f>"01074378"</f>
        <v>01074378</v>
      </c>
    </row>
    <row r="25345" spans="1:2" x14ac:dyDescent="0.25">
      <c r="A25345" s="2">
        <v>25340</v>
      </c>
      <c r="B25345" s="3" t="str">
        <f>"01074380"</f>
        <v>01074380</v>
      </c>
    </row>
    <row r="25346" spans="1:2" x14ac:dyDescent="0.25">
      <c r="A25346" s="2">
        <v>25341</v>
      </c>
      <c r="B25346" s="3" t="str">
        <f>"01074381"</f>
        <v>01074381</v>
      </c>
    </row>
    <row r="25347" spans="1:2" x14ac:dyDescent="0.25">
      <c r="A25347" s="2">
        <v>25342</v>
      </c>
      <c r="B25347" s="3" t="str">
        <f>"01074384"</f>
        <v>01074384</v>
      </c>
    </row>
    <row r="25348" spans="1:2" x14ac:dyDescent="0.25">
      <c r="A25348" s="2">
        <v>25343</v>
      </c>
      <c r="B25348" s="3" t="str">
        <f>"01074386"</f>
        <v>01074386</v>
      </c>
    </row>
    <row r="25349" spans="1:2" x14ac:dyDescent="0.25">
      <c r="A25349" s="2">
        <v>25344</v>
      </c>
      <c r="B25349" s="3" t="str">
        <f>"01074390"</f>
        <v>01074390</v>
      </c>
    </row>
    <row r="25350" spans="1:2" x14ac:dyDescent="0.25">
      <c r="A25350" s="2">
        <v>25345</v>
      </c>
      <c r="B25350" s="3" t="str">
        <f>"01074392"</f>
        <v>01074392</v>
      </c>
    </row>
    <row r="25351" spans="1:2" x14ac:dyDescent="0.25">
      <c r="A25351" s="2">
        <v>25346</v>
      </c>
      <c r="B25351" s="3" t="str">
        <f>"01074393"</f>
        <v>01074393</v>
      </c>
    </row>
    <row r="25352" spans="1:2" x14ac:dyDescent="0.25">
      <c r="A25352" s="2">
        <v>25347</v>
      </c>
      <c r="B25352" s="3" t="str">
        <f>"01074394"</f>
        <v>01074394</v>
      </c>
    </row>
    <row r="25353" spans="1:2" x14ac:dyDescent="0.25">
      <c r="A25353" s="2">
        <v>25348</v>
      </c>
      <c r="B25353" s="3" t="str">
        <f>"01074396"</f>
        <v>01074396</v>
      </c>
    </row>
    <row r="25354" spans="1:2" x14ac:dyDescent="0.25">
      <c r="A25354" s="2">
        <v>25349</v>
      </c>
      <c r="B25354" s="3" t="str">
        <f>"01074399"</f>
        <v>01074399</v>
      </c>
    </row>
    <row r="25355" spans="1:2" x14ac:dyDescent="0.25">
      <c r="A25355" s="2">
        <v>25350</v>
      </c>
      <c r="B25355" s="3" t="str">
        <f>"01074402"</f>
        <v>01074402</v>
      </c>
    </row>
    <row r="25356" spans="1:2" x14ac:dyDescent="0.25">
      <c r="A25356" s="2">
        <v>25351</v>
      </c>
      <c r="B25356" s="3" t="str">
        <f>"01074403"</f>
        <v>01074403</v>
      </c>
    </row>
    <row r="25357" spans="1:2" x14ac:dyDescent="0.25">
      <c r="A25357" s="2">
        <v>25352</v>
      </c>
      <c r="B25357" s="3" t="str">
        <f>"01074405"</f>
        <v>01074405</v>
      </c>
    </row>
    <row r="25358" spans="1:2" x14ac:dyDescent="0.25">
      <c r="A25358" s="2">
        <v>25353</v>
      </c>
      <c r="B25358" s="3" t="str">
        <f>"01074406"</f>
        <v>01074406</v>
      </c>
    </row>
    <row r="25359" spans="1:2" x14ac:dyDescent="0.25">
      <c r="A25359" s="2">
        <v>25354</v>
      </c>
      <c r="B25359" s="3" t="str">
        <f>"01074407"</f>
        <v>01074407</v>
      </c>
    </row>
    <row r="25360" spans="1:2" x14ac:dyDescent="0.25">
      <c r="A25360" s="2">
        <v>25355</v>
      </c>
      <c r="B25360" s="3" t="str">
        <f>"01074412"</f>
        <v>01074412</v>
      </c>
    </row>
    <row r="25361" spans="1:2" x14ac:dyDescent="0.25">
      <c r="A25361" s="2">
        <v>25356</v>
      </c>
      <c r="B25361" s="3" t="str">
        <f>"01074415"</f>
        <v>01074415</v>
      </c>
    </row>
    <row r="25362" spans="1:2" x14ac:dyDescent="0.25">
      <c r="A25362" s="2">
        <v>25357</v>
      </c>
      <c r="B25362" s="3" t="str">
        <f>"01074420"</f>
        <v>01074420</v>
      </c>
    </row>
    <row r="25363" spans="1:2" x14ac:dyDescent="0.25">
      <c r="A25363" s="2">
        <v>25358</v>
      </c>
      <c r="B25363" s="3" t="str">
        <f>"01074427"</f>
        <v>01074427</v>
      </c>
    </row>
    <row r="25364" spans="1:2" x14ac:dyDescent="0.25">
      <c r="A25364" s="2">
        <v>25359</v>
      </c>
      <c r="B25364" s="3" t="str">
        <f>"01074429"</f>
        <v>01074429</v>
      </c>
    </row>
    <row r="25365" spans="1:2" x14ac:dyDescent="0.25">
      <c r="A25365" s="2">
        <v>25360</v>
      </c>
      <c r="B25365" s="3" t="str">
        <f>"01074432"</f>
        <v>01074432</v>
      </c>
    </row>
    <row r="25366" spans="1:2" x14ac:dyDescent="0.25">
      <c r="A25366" s="2">
        <v>25361</v>
      </c>
      <c r="B25366" s="3" t="str">
        <f>"01074433"</f>
        <v>01074433</v>
      </c>
    </row>
    <row r="25367" spans="1:2" x14ac:dyDescent="0.25">
      <c r="A25367" s="2">
        <v>25362</v>
      </c>
      <c r="B25367" s="3" t="str">
        <f>"01074434"</f>
        <v>01074434</v>
      </c>
    </row>
    <row r="25368" spans="1:2" x14ac:dyDescent="0.25">
      <c r="A25368" s="2">
        <v>25363</v>
      </c>
      <c r="B25368" s="3" t="str">
        <f>"01074444"</f>
        <v>01074444</v>
      </c>
    </row>
    <row r="25369" spans="1:2" x14ac:dyDescent="0.25">
      <c r="A25369" s="2">
        <v>25364</v>
      </c>
      <c r="B25369" s="3" t="str">
        <f>"01074445"</f>
        <v>01074445</v>
      </c>
    </row>
    <row r="25370" spans="1:2" x14ac:dyDescent="0.25">
      <c r="A25370" s="2">
        <v>25365</v>
      </c>
      <c r="B25370" s="3" t="str">
        <f>"01074446"</f>
        <v>01074446</v>
      </c>
    </row>
    <row r="25371" spans="1:2" x14ac:dyDescent="0.25">
      <c r="A25371" s="2">
        <v>25366</v>
      </c>
      <c r="B25371" s="3" t="str">
        <f>"01074451"</f>
        <v>01074451</v>
      </c>
    </row>
    <row r="25372" spans="1:2" x14ac:dyDescent="0.25">
      <c r="A25372" s="2">
        <v>25367</v>
      </c>
      <c r="B25372" s="3" t="str">
        <f>"01074456"</f>
        <v>01074456</v>
      </c>
    </row>
    <row r="25373" spans="1:2" x14ac:dyDescent="0.25">
      <c r="A25373" s="2">
        <v>25368</v>
      </c>
      <c r="B25373" s="3" t="str">
        <f>"01074461"</f>
        <v>01074461</v>
      </c>
    </row>
    <row r="25374" spans="1:2" x14ac:dyDescent="0.25">
      <c r="A25374" s="2">
        <v>25369</v>
      </c>
      <c r="B25374" s="3" t="str">
        <f>"01074465"</f>
        <v>01074465</v>
      </c>
    </row>
    <row r="25375" spans="1:2" x14ac:dyDescent="0.25">
      <c r="A25375" s="2">
        <v>25370</v>
      </c>
      <c r="B25375" s="3" t="str">
        <f>"01074470"</f>
        <v>01074470</v>
      </c>
    </row>
    <row r="25376" spans="1:2" x14ac:dyDescent="0.25">
      <c r="A25376" s="2">
        <v>25371</v>
      </c>
      <c r="B25376" s="3" t="str">
        <f>"01074474"</f>
        <v>01074474</v>
      </c>
    </row>
    <row r="25377" spans="1:2" x14ac:dyDescent="0.25">
      <c r="A25377" s="2">
        <v>25372</v>
      </c>
      <c r="B25377" s="3" t="str">
        <f>"01074475"</f>
        <v>01074475</v>
      </c>
    </row>
    <row r="25378" spans="1:2" x14ac:dyDescent="0.25">
      <c r="A25378" s="2">
        <v>25373</v>
      </c>
      <c r="B25378" s="3" t="str">
        <f>"01074483"</f>
        <v>01074483</v>
      </c>
    </row>
    <row r="25379" spans="1:2" x14ac:dyDescent="0.25">
      <c r="A25379" s="2">
        <v>25374</v>
      </c>
      <c r="B25379" s="3" t="str">
        <f>"01074485"</f>
        <v>01074485</v>
      </c>
    </row>
    <row r="25380" spans="1:2" x14ac:dyDescent="0.25">
      <c r="A25380" s="2">
        <v>25375</v>
      </c>
      <c r="B25380" s="3" t="str">
        <f>"01074487"</f>
        <v>01074487</v>
      </c>
    </row>
    <row r="25381" spans="1:2" x14ac:dyDescent="0.25">
      <c r="A25381" s="2">
        <v>25376</v>
      </c>
      <c r="B25381" s="3" t="str">
        <f>"01074499"</f>
        <v>01074499</v>
      </c>
    </row>
    <row r="25382" spans="1:2" x14ac:dyDescent="0.25">
      <c r="A25382" s="2">
        <v>25377</v>
      </c>
      <c r="B25382" s="3" t="str">
        <f>"01074501"</f>
        <v>01074501</v>
      </c>
    </row>
    <row r="25383" spans="1:2" x14ac:dyDescent="0.25">
      <c r="A25383" s="2">
        <v>25378</v>
      </c>
      <c r="B25383" s="3" t="str">
        <f>"01074504"</f>
        <v>01074504</v>
      </c>
    </row>
    <row r="25384" spans="1:2" x14ac:dyDescent="0.25">
      <c r="A25384" s="2">
        <v>25379</v>
      </c>
      <c r="B25384" s="3" t="str">
        <f>"01074512"</f>
        <v>01074512</v>
      </c>
    </row>
    <row r="25385" spans="1:2" x14ac:dyDescent="0.25">
      <c r="A25385" s="2">
        <v>25380</v>
      </c>
      <c r="B25385" s="3" t="str">
        <f>"01074513"</f>
        <v>01074513</v>
      </c>
    </row>
    <row r="25386" spans="1:2" x14ac:dyDescent="0.25">
      <c r="A25386" s="2">
        <v>25381</v>
      </c>
      <c r="B25386" s="3" t="str">
        <f>"01074519"</f>
        <v>01074519</v>
      </c>
    </row>
    <row r="25387" spans="1:2" x14ac:dyDescent="0.25">
      <c r="A25387" s="2">
        <v>25382</v>
      </c>
      <c r="B25387" s="3" t="str">
        <f>"01074520"</f>
        <v>01074520</v>
      </c>
    </row>
    <row r="25388" spans="1:2" x14ac:dyDescent="0.25">
      <c r="A25388" s="2">
        <v>25383</v>
      </c>
      <c r="B25388" s="3" t="str">
        <f>"01074523"</f>
        <v>01074523</v>
      </c>
    </row>
    <row r="25389" spans="1:2" x14ac:dyDescent="0.25">
      <c r="A25389" s="2">
        <v>25384</v>
      </c>
      <c r="B25389" s="3" t="str">
        <f>"01074534"</f>
        <v>01074534</v>
      </c>
    </row>
    <row r="25390" spans="1:2" x14ac:dyDescent="0.25">
      <c r="A25390" s="2">
        <v>25385</v>
      </c>
      <c r="B25390" s="3" t="str">
        <f>"01074536"</f>
        <v>01074536</v>
      </c>
    </row>
    <row r="25391" spans="1:2" x14ac:dyDescent="0.25">
      <c r="A25391" s="2">
        <v>25386</v>
      </c>
      <c r="B25391" s="3" t="str">
        <f>"01074557"</f>
        <v>01074557</v>
      </c>
    </row>
    <row r="25392" spans="1:2" x14ac:dyDescent="0.25">
      <c r="A25392" s="2">
        <v>25387</v>
      </c>
      <c r="B25392" s="3" t="str">
        <f>"01074558"</f>
        <v>01074558</v>
      </c>
    </row>
    <row r="25393" spans="1:2" x14ac:dyDescent="0.25">
      <c r="A25393" s="2">
        <v>25388</v>
      </c>
      <c r="B25393" s="3" t="str">
        <f>"01074567"</f>
        <v>01074567</v>
      </c>
    </row>
    <row r="25394" spans="1:2" x14ac:dyDescent="0.25">
      <c r="A25394" s="2">
        <v>25389</v>
      </c>
      <c r="B25394" s="3" t="str">
        <f>"01074574"</f>
        <v>01074574</v>
      </c>
    </row>
    <row r="25395" spans="1:2" x14ac:dyDescent="0.25">
      <c r="A25395" s="2">
        <v>25390</v>
      </c>
      <c r="B25395" s="3" t="str">
        <f>"01074582"</f>
        <v>01074582</v>
      </c>
    </row>
    <row r="25396" spans="1:2" x14ac:dyDescent="0.25">
      <c r="A25396" s="2">
        <v>25391</v>
      </c>
      <c r="B25396" s="3" t="str">
        <f>"01074583"</f>
        <v>01074583</v>
      </c>
    </row>
    <row r="25397" spans="1:2" x14ac:dyDescent="0.25">
      <c r="A25397" s="2">
        <v>25392</v>
      </c>
      <c r="B25397" s="3" t="str">
        <f>"01074586"</f>
        <v>01074586</v>
      </c>
    </row>
    <row r="25398" spans="1:2" x14ac:dyDescent="0.25">
      <c r="A25398" s="2">
        <v>25393</v>
      </c>
      <c r="B25398" s="3" t="str">
        <f>"01074587"</f>
        <v>01074587</v>
      </c>
    </row>
    <row r="25399" spans="1:2" x14ac:dyDescent="0.25">
      <c r="A25399" s="2">
        <v>25394</v>
      </c>
      <c r="B25399" s="3" t="str">
        <f>"01074589"</f>
        <v>01074589</v>
      </c>
    </row>
    <row r="25400" spans="1:2" x14ac:dyDescent="0.25">
      <c r="A25400" s="2">
        <v>25395</v>
      </c>
      <c r="B25400" s="3" t="str">
        <f>"01074591"</f>
        <v>01074591</v>
      </c>
    </row>
    <row r="25401" spans="1:2" x14ac:dyDescent="0.25">
      <c r="A25401" s="2">
        <v>25396</v>
      </c>
      <c r="B25401" s="3" t="str">
        <f>"01074592"</f>
        <v>01074592</v>
      </c>
    </row>
    <row r="25402" spans="1:2" x14ac:dyDescent="0.25">
      <c r="A25402" s="2">
        <v>25397</v>
      </c>
      <c r="B25402" s="3" t="str">
        <f>"01074597"</f>
        <v>01074597</v>
      </c>
    </row>
    <row r="25403" spans="1:2" x14ac:dyDescent="0.25">
      <c r="A25403" s="2">
        <v>25398</v>
      </c>
      <c r="B25403" s="3" t="str">
        <f>"01074600"</f>
        <v>01074600</v>
      </c>
    </row>
    <row r="25404" spans="1:2" x14ac:dyDescent="0.25">
      <c r="A25404" s="2">
        <v>25399</v>
      </c>
      <c r="B25404" s="3" t="str">
        <f>"01074608"</f>
        <v>01074608</v>
      </c>
    </row>
    <row r="25405" spans="1:2" x14ac:dyDescent="0.25">
      <c r="A25405" s="2">
        <v>25400</v>
      </c>
      <c r="B25405" s="3" t="str">
        <f>"01074618"</f>
        <v>01074618</v>
      </c>
    </row>
    <row r="25406" spans="1:2" x14ac:dyDescent="0.25">
      <c r="A25406" s="2">
        <v>25401</v>
      </c>
      <c r="B25406" s="3" t="str">
        <f>"01074625"</f>
        <v>01074625</v>
      </c>
    </row>
    <row r="25407" spans="1:2" x14ac:dyDescent="0.25">
      <c r="A25407" s="2">
        <v>25402</v>
      </c>
      <c r="B25407" s="3" t="str">
        <f>"01074636"</f>
        <v>01074636</v>
      </c>
    </row>
    <row r="25408" spans="1:2" x14ac:dyDescent="0.25">
      <c r="A25408" s="2">
        <v>25403</v>
      </c>
      <c r="B25408" s="3" t="str">
        <f>"01074643"</f>
        <v>01074643</v>
      </c>
    </row>
    <row r="25409" spans="1:2" x14ac:dyDescent="0.25">
      <c r="A25409" s="2">
        <v>25404</v>
      </c>
      <c r="B25409" s="3" t="str">
        <f>"01074646"</f>
        <v>01074646</v>
      </c>
    </row>
    <row r="25410" spans="1:2" x14ac:dyDescent="0.25">
      <c r="A25410" s="2">
        <v>25405</v>
      </c>
      <c r="B25410" s="3" t="str">
        <f>"01074648"</f>
        <v>01074648</v>
      </c>
    </row>
    <row r="25411" spans="1:2" x14ac:dyDescent="0.25">
      <c r="A25411" s="2">
        <v>25406</v>
      </c>
      <c r="B25411" s="3" t="str">
        <f>"01074650"</f>
        <v>01074650</v>
      </c>
    </row>
    <row r="25412" spans="1:2" x14ac:dyDescent="0.25">
      <c r="A25412" s="2">
        <v>25407</v>
      </c>
      <c r="B25412" s="3" t="str">
        <f>"01074651"</f>
        <v>01074651</v>
      </c>
    </row>
    <row r="25413" spans="1:2" x14ac:dyDescent="0.25">
      <c r="A25413" s="2">
        <v>25408</v>
      </c>
      <c r="B25413" s="3" t="str">
        <f>"01074661"</f>
        <v>01074661</v>
      </c>
    </row>
    <row r="25414" spans="1:2" x14ac:dyDescent="0.25">
      <c r="A25414" s="2">
        <v>25409</v>
      </c>
      <c r="B25414" s="3" t="str">
        <f>"01074666"</f>
        <v>01074666</v>
      </c>
    </row>
    <row r="25415" spans="1:2" x14ac:dyDescent="0.25">
      <c r="A25415" s="2">
        <v>25410</v>
      </c>
      <c r="B25415" s="3" t="str">
        <f>"01074667"</f>
        <v>01074667</v>
      </c>
    </row>
    <row r="25416" spans="1:2" x14ac:dyDescent="0.25">
      <c r="A25416" s="2">
        <v>25411</v>
      </c>
      <c r="B25416" s="3" t="str">
        <f>"01074668"</f>
        <v>01074668</v>
      </c>
    </row>
    <row r="25417" spans="1:2" x14ac:dyDescent="0.25">
      <c r="A25417" s="2">
        <v>25412</v>
      </c>
      <c r="B25417" s="3" t="str">
        <f>"01074673"</f>
        <v>01074673</v>
      </c>
    </row>
    <row r="25418" spans="1:2" x14ac:dyDescent="0.25">
      <c r="A25418" s="2">
        <v>25413</v>
      </c>
      <c r="B25418" s="3" t="str">
        <f>"01074674"</f>
        <v>01074674</v>
      </c>
    </row>
    <row r="25419" spans="1:2" x14ac:dyDescent="0.25">
      <c r="A25419" s="2">
        <v>25414</v>
      </c>
      <c r="B25419" s="3" t="str">
        <f>"01074675"</f>
        <v>01074675</v>
      </c>
    </row>
    <row r="25420" spans="1:2" x14ac:dyDescent="0.25">
      <c r="A25420" s="2">
        <v>25415</v>
      </c>
      <c r="B25420" s="3" t="str">
        <f>"01074680"</f>
        <v>01074680</v>
      </c>
    </row>
    <row r="25421" spans="1:2" x14ac:dyDescent="0.25">
      <c r="A25421" s="2">
        <v>25416</v>
      </c>
      <c r="B25421" s="3" t="str">
        <f>"01074683"</f>
        <v>01074683</v>
      </c>
    </row>
    <row r="25422" spans="1:2" x14ac:dyDescent="0.25">
      <c r="A25422" s="2">
        <v>25417</v>
      </c>
      <c r="B25422" s="3" t="str">
        <f>"01074689"</f>
        <v>01074689</v>
      </c>
    </row>
    <row r="25423" spans="1:2" x14ac:dyDescent="0.25">
      <c r="A25423" s="2">
        <v>25418</v>
      </c>
      <c r="B25423" s="3" t="str">
        <f>"01074692"</f>
        <v>01074692</v>
      </c>
    </row>
    <row r="25424" spans="1:2" x14ac:dyDescent="0.25">
      <c r="A25424" s="2">
        <v>25419</v>
      </c>
      <c r="B25424" s="3" t="str">
        <f>"01074704"</f>
        <v>01074704</v>
      </c>
    </row>
    <row r="25425" spans="1:2" x14ac:dyDescent="0.25">
      <c r="A25425" s="2">
        <v>25420</v>
      </c>
      <c r="B25425" s="3" t="str">
        <f>"01074709"</f>
        <v>01074709</v>
      </c>
    </row>
    <row r="25426" spans="1:2" x14ac:dyDescent="0.25">
      <c r="A25426" s="2">
        <v>25421</v>
      </c>
      <c r="B25426" s="3" t="str">
        <f>"01074710"</f>
        <v>01074710</v>
      </c>
    </row>
    <row r="25427" spans="1:2" x14ac:dyDescent="0.25">
      <c r="A25427" s="2">
        <v>25422</v>
      </c>
      <c r="B25427" s="3" t="str">
        <f>"01074718"</f>
        <v>01074718</v>
      </c>
    </row>
    <row r="25428" spans="1:2" x14ac:dyDescent="0.25">
      <c r="A25428" s="2">
        <v>25423</v>
      </c>
      <c r="B25428" s="3" t="str">
        <f>"01074719"</f>
        <v>01074719</v>
      </c>
    </row>
    <row r="25429" spans="1:2" x14ac:dyDescent="0.25">
      <c r="A25429" s="2">
        <v>25424</v>
      </c>
      <c r="B25429" s="3" t="str">
        <f>"01074721"</f>
        <v>01074721</v>
      </c>
    </row>
    <row r="25430" spans="1:2" x14ac:dyDescent="0.25">
      <c r="A25430" s="2">
        <v>25425</v>
      </c>
      <c r="B25430" s="3" t="str">
        <f>"01074726"</f>
        <v>01074726</v>
      </c>
    </row>
    <row r="25431" spans="1:2" x14ac:dyDescent="0.25">
      <c r="A25431" s="2">
        <v>25426</v>
      </c>
      <c r="B25431" s="3" t="str">
        <f>"01074733"</f>
        <v>01074733</v>
      </c>
    </row>
    <row r="25432" spans="1:2" x14ac:dyDescent="0.25">
      <c r="A25432" s="2">
        <v>25427</v>
      </c>
      <c r="B25432" s="3" t="str">
        <f>"01074734"</f>
        <v>01074734</v>
      </c>
    </row>
    <row r="25433" spans="1:2" x14ac:dyDescent="0.25">
      <c r="A25433" s="2">
        <v>25428</v>
      </c>
      <c r="B25433" s="3" t="str">
        <f>"01074736"</f>
        <v>01074736</v>
      </c>
    </row>
    <row r="25434" spans="1:2" x14ac:dyDescent="0.25">
      <c r="A25434" s="2">
        <v>25429</v>
      </c>
      <c r="B25434" s="3" t="str">
        <f>"01074742"</f>
        <v>01074742</v>
      </c>
    </row>
    <row r="25435" spans="1:2" x14ac:dyDescent="0.25">
      <c r="A25435" s="2">
        <v>25430</v>
      </c>
      <c r="B25435" s="3" t="str">
        <f>"01074750"</f>
        <v>01074750</v>
      </c>
    </row>
    <row r="25436" spans="1:2" x14ac:dyDescent="0.25">
      <c r="A25436" s="2">
        <v>25431</v>
      </c>
      <c r="B25436" s="3" t="str">
        <f>"01074754"</f>
        <v>01074754</v>
      </c>
    </row>
    <row r="25437" spans="1:2" x14ac:dyDescent="0.25">
      <c r="A25437" s="2">
        <v>25432</v>
      </c>
      <c r="B25437" s="3" t="str">
        <f>"01074755"</f>
        <v>01074755</v>
      </c>
    </row>
    <row r="25438" spans="1:2" x14ac:dyDescent="0.25">
      <c r="A25438" s="2">
        <v>25433</v>
      </c>
      <c r="B25438" s="3" t="str">
        <f>"01074760"</f>
        <v>01074760</v>
      </c>
    </row>
    <row r="25439" spans="1:2" x14ac:dyDescent="0.25">
      <c r="A25439" s="2">
        <v>25434</v>
      </c>
      <c r="B25439" s="3" t="str">
        <f>"01074764"</f>
        <v>01074764</v>
      </c>
    </row>
    <row r="25440" spans="1:2" x14ac:dyDescent="0.25">
      <c r="A25440" s="2">
        <v>25435</v>
      </c>
      <c r="B25440" s="3" t="str">
        <f>"01074771"</f>
        <v>01074771</v>
      </c>
    </row>
    <row r="25441" spans="1:2" x14ac:dyDescent="0.25">
      <c r="A25441" s="2">
        <v>25436</v>
      </c>
      <c r="B25441" s="3" t="str">
        <f>"01074772"</f>
        <v>01074772</v>
      </c>
    </row>
    <row r="25442" spans="1:2" x14ac:dyDescent="0.25">
      <c r="A25442" s="2">
        <v>25437</v>
      </c>
      <c r="B25442" s="3" t="str">
        <f>"01074778"</f>
        <v>01074778</v>
      </c>
    </row>
    <row r="25443" spans="1:2" x14ac:dyDescent="0.25">
      <c r="A25443" s="2">
        <v>25438</v>
      </c>
      <c r="B25443" s="3" t="str">
        <f>"01074780"</f>
        <v>01074780</v>
      </c>
    </row>
    <row r="25444" spans="1:2" x14ac:dyDescent="0.25">
      <c r="A25444" s="2">
        <v>25439</v>
      </c>
      <c r="B25444" s="3" t="str">
        <f>"01074785"</f>
        <v>01074785</v>
      </c>
    </row>
    <row r="25445" spans="1:2" x14ac:dyDescent="0.25">
      <c r="A25445" s="2">
        <v>25440</v>
      </c>
      <c r="B25445" s="3" t="str">
        <f>"01074795"</f>
        <v>01074795</v>
      </c>
    </row>
    <row r="25446" spans="1:2" x14ac:dyDescent="0.25">
      <c r="A25446" s="2">
        <v>25441</v>
      </c>
      <c r="B25446" s="3" t="str">
        <f>"01074799"</f>
        <v>01074799</v>
      </c>
    </row>
    <row r="25447" spans="1:2" x14ac:dyDescent="0.25">
      <c r="A25447" s="2">
        <v>25442</v>
      </c>
      <c r="B25447" s="3" t="str">
        <f>"01074800"</f>
        <v>01074800</v>
      </c>
    </row>
    <row r="25448" spans="1:2" x14ac:dyDescent="0.25">
      <c r="A25448" s="2">
        <v>25443</v>
      </c>
      <c r="B25448" s="3" t="str">
        <f>"01074812"</f>
        <v>01074812</v>
      </c>
    </row>
    <row r="25449" spans="1:2" x14ac:dyDescent="0.25">
      <c r="A25449" s="2">
        <v>25444</v>
      </c>
      <c r="B25449" s="3" t="str">
        <f>"01074813"</f>
        <v>01074813</v>
      </c>
    </row>
    <row r="25450" spans="1:2" x14ac:dyDescent="0.25">
      <c r="A25450" s="2">
        <v>25445</v>
      </c>
      <c r="B25450" s="3" t="str">
        <f>"01074818"</f>
        <v>01074818</v>
      </c>
    </row>
    <row r="25451" spans="1:2" x14ac:dyDescent="0.25">
      <c r="A25451" s="2">
        <v>25446</v>
      </c>
      <c r="B25451" s="3" t="str">
        <f>"01074827"</f>
        <v>01074827</v>
      </c>
    </row>
    <row r="25452" spans="1:2" x14ac:dyDescent="0.25">
      <c r="A25452" s="2">
        <v>25447</v>
      </c>
      <c r="B25452" s="3" t="str">
        <f>"01074828"</f>
        <v>01074828</v>
      </c>
    </row>
    <row r="25453" spans="1:2" x14ac:dyDescent="0.25">
      <c r="A25453" s="2">
        <v>25448</v>
      </c>
      <c r="B25453" s="3" t="str">
        <f>"01074829"</f>
        <v>01074829</v>
      </c>
    </row>
    <row r="25454" spans="1:2" x14ac:dyDescent="0.25">
      <c r="A25454" s="2">
        <v>25449</v>
      </c>
      <c r="B25454" s="3" t="str">
        <f>"01074830"</f>
        <v>01074830</v>
      </c>
    </row>
    <row r="25455" spans="1:2" x14ac:dyDescent="0.25">
      <c r="A25455" s="2">
        <v>25450</v>
      </c>
      <c r="B25455" s="3" t="str">
        <f>"01074831"</f>
        <v>01074831</v>
      </c>
    </row>
    <row r="25456" spans="1:2" x14ac:dyDescent="0.25">
      <c r="A25456" s="2">
        <v>25451</v>
      </c>
      <c r="B25456" s="3" t="str">
        <f>"01074844"</f>
        <v>01074844</v>
      </c>
    </row>
    <row r="25457" spans="1:2" x14ac:dyDescent="0.25">
      <c r="A25457" s="2">
        <v>25452</v>
      </c>
      <c r="B25457" s="3" t="str">
        <f>"01074853"</f>
        <v>01074853</v>
      </c>
    </row>
    <row r="25458" spans="1:2" x14ac:dyDescent="0.25">
      <c r="A25458" s="2">
        <v>25453</v>
      </c>
      <c r="B25458" s="3" t="str">
        <f>"01074856"</f>
        <v>01074856</v>
      </c>
    </row>
    <row r="25459" spans="1:2" x14ac:dyDescent="0.25">
      <c r="A25459" s="2">
        <v>25454</v>
      </c>
      <c r="B25459" s="3" t="str">
        <f>"01074868"</f>
        <v>01074868</v>
      </c>
    </row>
    <row r="25460" spans="1:2" x14ac:dyDescent="0.25">
      <c r="A25460" s="2">
        <v>25455</v>
      </c>
      <c r="B25460" s="3" t="str">
        <f>"01074874"</f>
        <v>01074874</v>
      </c>
    </row>
    <row r="25461" spans="1:2" x14ac:dyDescent="0.25">
      <c r="A25461" s="2">
        <v>25456</v>
      </c>
      <c r="B25461" s="3" t="str">
        <f>"01074879"</f>
        <v>01074879</v>
      </c>
    </row>
    <row r="25462" spans="1:2" x14ac:dyDescent="0.25">
      <c r="A25462" s="2">
        <v>25457</v>
      </c>
      <c r="B25462" s="3" t="str">
        <f>"01074884"</f>
        <v>01074884</v>
      </c>
    </row>
    <row r="25463" spans="1:2" x14ac:dyDescent="0.25">
      <c r="A25463" s="2">
        <v>25458</v>
      </c>
      <c r="B25463" s="3" t="str">
        <f>"01074885"</f>
        <v>01074885</v>
      </c>
    </row>
    <row r="25464" spans="1:2" x14ac:dyDescent="0.25">
      <c r="A25464" s="2">
        <v>25459</v>
      </c>
      <c r="B25464" s="3" t="str">
        <f>"01074887"</f>
        <v>01074887</v>
      </c>
    </row>
    <row r="25465" spans="1:2" x14ac:dyDescent="0.25">
      <c r="A25465" s="2">
        <v>25460</v>
      </c>
      <c r="B25465" s="3" t="str">
        <f>"01074897"</f>
        <v>01074897</v>
      </c>
    </row>
    <row r="25466" spans="1:2" x14ac:dyDescent="0.25">
      <c r="A25466" s="2">
        <v>25461</v>
      </c>
      <c r="B25466" s="3" t="str">
        <f>"01074898"</f>
        <v>01074898</v>
      </c>
    </row>
    <row r="25467" spans="1:2" x14ac:dyDescent="0.25">
      <c r="A25467" s="2">
        <v>25462</v>
      </c>
      <c r="B25467" s="3" t="str">
        <f>"01074901"</f>
        <v>01074901</v>
      </c>
    </row>
    <row r="25468" spans="1:2" x14ac:dyDescent="0.25">
      <c r="A25468" s="2">
        <v>25463</v>
      </c>
      <c r="B25468" s="3" t="str">
        <f>"01074902"</f>
        <v>01074902</v>
      </c>
    </row>
    <row r="25469" spans="1:2" x14ac:dyDescent="0.25">
      <c r="A25469" s="2">
        <v>25464</v>
      </c>
      <c r="B25469" s="3" t="str">
        <f>"01074904"</f>
        <v>01074904</v>
      </c>
    </row>
    <row r="25470" spans="1:2" x14ac:dyDescent="0.25">
      <c r="A25470" s="2">
        <v>25465</v>
      </c>
      <c r="B25470" s="3" t="str">
        <f>"01074909"</f>
        <v>01074909</v>
      </c>
    </row>
    <row r="25471" spans="1:2" x14ac:dyDescent="0.25">
      <c r="A25471" s="2">
        <v>25466</v>
      </c>
      <c r="B25471" s="3" t="str">
        <f>"01074913"</f>
        <v>01074913</v>
      </c>
    </row>
    <row r="25472" spans="1:2" x14ac:dyDescent="0.25">
      <c r="A25472" s="2">
        <v>25467</v>
      </c>
      <c r="B25472" s="3" t="str">
        <f>"01074915"</f>
        <v>01074915</v>
      </c>
    </row>
    <row r="25473" spans="1:2" x14ac:dyDescent="0.25">
      <c r="A25473" s="2">
        <v>25468</v>
      </c>
      <c r="B25473" s="3" t="str">
        <f>"01074916"</f>
        <v>01074916</v>
      </c>
    </row>
    <row r="25474" spans="1:2" x14ac:dyDescent="0.25">
      <c r="A25474" s="2">
        <v>25469</v>
      </c>
      <c r="B25474" s="3" t="str">
        <f>"01074919"</f>
        <v>01074919</v>
      </c>
    </row>
    <row r="25475" spans="1:2" x14ac:dyDescent="0.25">
      <c r="A25475" s="2">
        <v>25470</v>
      </c>
      <c r="B25475" s="3" t="str">
        <f>"01074923"</f>
        <v>01074923</v>
      </c>
    </row>
    <row r="25476" spans="1:2" x14ac:dyDescent="0.25">
      <c r="A25476" s="2">
        <v>25471</v>
      </c>
      <c r="B25476" s="3" t="str">
        <f>"01074925"</f>
        <v>01074925</v>
      </c>
    </row>
    <row r="25477" spans="1:2" x14ac:dyDescent="0.25">
      <c r="A25477" s="2">
        <v>25472</v>
      </c>
      <c r="B25477" s="3" t="str">
        <f>"01074926"</f>
        <v>01074926</v>
      </c>
    </row>
    <row r="25478" spans="1:2" x14ac:dyDescent="0.25">
      <c r="A25478" s="2">
        <v>25473</v>
      </c>
      <c r="B25478" s="3" t="str">
        <f>"01074927"</f>
        <v>01074927</v>
      </c>
    </row>
    <row r="25479" spans="1:2" x14ac:dyDescent="0.25">
      <c r="A25479" s="2">
        <v>25474</v>
      </c>
      <c r="B25479" s="3" t="str">
        <f>"01074932"</f>
        <v>01074932</v>
      </c>
    </row>
    <row r="25480" spans="1:2" x14ac:dyDescent="0.25">
      <c r="A25480" s="2">
        <v>25475</v>
      </c>
      <c r="B25480" s="3" t="str">
        <f>"01074943"</f>
        <v>01074943</v>
      </c>
    </row>
    <row r="25481" spans="1:2" x14ac:dyDescent="0.25">
      <c r="A25481" s="2">
        <v>25476</v>
      </c>
      <c r="B25481" s="3" t="str">
        <f>"01074946"</f>
        <v>01074946</v>
      </c>
    </row>
    <row r="25482" spans="1:2" x14ac:dyDescent="0.25">
      <c r="A25482" s="2">
        <v>25477</v>
      </c>
      <c r="B25482" s="3" t="str">
        <f>"01074960"</f>
        <v>01074960</v>
      </c>
    </row>
    <row r="25483" spans="1:2" x14ac:dyDescent="0.25">
      <c r="A25483" s="2">
        <v>25478</v>
      </c>
      <c r="B25483" s="3" t="str">
        <f>"01074962"</f>
        <v>01074962</v>
      </c>
    </row>
    <row r="25484" spans="1:2" x14ac:dyDescent="0.25">
      <c r="A25484" s="2">
        <v>25479</v>
      </c>
      <c r="B25484" s="3" t="str">
        <f>"01074965"</f>
        <v>01074965</v>
      </c>
    </row>
    <row r="25485" spans="1:2" x14ac:dyDescent="0.25">
      <c r="A25485" s="2">
        <v>25480</v>
      </c>
      <c r="B25485" s="3" t="str">
        <f>"01074966"</f>
        <v>01074966</v>
      </c>
    </row>
    <row r="25486" spans="1:2" x14ac:dyDescent="0.25">
      <c r="A25486" s="2">
        <v>25481</v>
      </c>
      <c r="B25486" s="3" t="str">
        <f>"01074974"</f>
        <v>01074974</v>
      </c>
    </row>
    <row r="25487" spans="1:2" x14ac:dyDescent="0.25">
      <c r="A25487" s="2">
        <v>25482</v>
      </c>
      <c r="B25487" s="3" t="str">
        <f>"01074986"</f>
        <v>01074986</v>
      </c>
    </row>
    <row r="25488" spans="1:2" x14ac:dyDescent="0.25">
      <c r="A25488" s="2">
        <v>25483</v>
      </c>
      <c r="B25488" s="3" t="str">
        <f>"01074992"</f>
        <v>01074992</v>
      </c>
    </row>
    <row r="25489" spans="1:2" x14ac:dyDescent="0.25">
      <c r="A25489" s="2">
        <v>25484</v>
      </c>
      <c r="B25489" s="3" t="str">
        <f>"01074993"</f>
        <v>01074993</v>
      </c>
    </row>
    <row r="25490" spans="1:2" x14ac:dyDescent="0.25">
      <c r="A25490" s="2">
        <v>25485</v>
      </c>
      <c r="B25490" s="3" t="str">
        <f>"01074995"</f>
        <v>01074995</v>
      </c>
    </row>
    <row r="25491" spans="1:2" x14ac:dyDescent="0.25">
      <c r="A25491" s="2">
        <v>25486</v>
      </c>
      <c r="B25491" s="3" t="str">
        <f>"01074998"</f>
        <v>01074998</v>
      </c>
    </row>
    <row r="25492" spans="1:2" x14ac:dyDescent="0.25">
      <c r="A25492" s="2">
        <v>25487</v>
      </c>
      <c r="B25492" s="3" t="str">
        <f>"01075002"</f>
        <v>01075002</v>
      </c>
    </row>
    <row r="25493" spans="1:2" x14ac:dyDescent="0.25">
      <c r="A25493" s="2">
        <v>25488</v>
      </c>
      <c r="B25493" s="3" t="str">
        <f>"01075005"</f>
        <v>01075005</v>
      </c>
    </row>
    <row r="25494" spans="1:2" x14ac:dyDescent="0.25">
      <c r="A25494" s="2">
        <v>25489</v>
      </c>
      <c r="B25494" s="3" t="str">
        <f>"01075006"</f>
        <v>01075006</v>
      </c>
    </row>
    <row r="25495" spans="1:2" x14ac:dyDescent="0.25">
      <c r="A25495" s="2">
        <v>25490</v>
      </c>
      <c r="B25495" s="3" t="str">
        <f>"01075015"</f>
        <v>01075015</v>
      </c>
    </row>
    <row r="25496" spans="1:2" x14ac:dyDescent="0.25">
      <c r="A25496" s="2">
        <v>25491</v>
      </c>
      <c r="B25496" s="3" t="str">
        <f>"01075040"</f>
        <v>01075040</v>
      </c>
    </row>
    <row r="25497" spans="1:2" x14ac:dyDescent="0.25">
      <c r="A25497" s="2">
        <v>25492</v>
      </c>
      <c r="B25497" s="3" t="str">
        <f>"01075048"</f>
        <v>01075048</v>
      </c>
    </row>
    <row r="25498" spans="1:2" x14ac:dyDescent="0.25">
      <c r="A25498" s="2">
        <v>25493</v>
      </c>
      <c r="B25498" s="3" t="str">
        <f>"01075049"</f>
        <v>01075049</v>
      </c>
    </row>
    <row r="25499" spans="1:2" x14ac:dyDescent="0.25">
      <c r="A25499" s="2">
        <v>25494</v>
      </c>
      <c r="B25499" s="3" t="str">
        <f>"01075056"</f>
        <v>01075056</v>
      </c>
    </row>
    <row r="25500" spans="1:2" x14ac:dyDescent="0.25">
      <c r="A25500" s="2">
        <v>25495</v>
      </c>
      <c r="B25500" s="3" t="str">
        <f>"01075070"</f>
        <v>01075070</v>
      </c>
    </row>
    <row r="25501" spans="1:2" x14ac:dyDescent="0.25">
      <c r="A25501" s="2">
        <v>25496</v>
      </c>
      <c r="B25501" s="3" t="str">
        <f>"01075073"</f>
        <v>01075073</v>
      </c>
    </row>
    <row r="25502" spans="1:2" x14ac:dyDescent="0.25">
      <c r="A25502" s="2">
        <v>25497</v>
      </c>
      <c r="B25502" s="3" t="str">
        <f>"01075081"</f>
        <v>01075081</v>
      </c>
    </row>
    <row r="25503" spans="1:2" x14ac:dyDescent="0.25">
      <c r="A25503" s="2">
        <v>25498</v>
      </c>
      <c r="B25503" s="3" t="str">
        <f>"01075082"</f>
        <v>01075082</v>
      </c>
    </row>
    <row r="25504" spans="1:2" x14ac:dyDescent="0.25">
      <c r="A25504" s="2">
        <v>25499</v>
      </c>
      <c r="B25504" s="3" t="str">
        <f>"01075092"</f>
        <v>01075092</v>
      </c>
    </row>
    <row r="25505" spans="1:2" x14ac:dyDescent="0.25">
      <c r="A25505" s="2">
        <v>25500</v>
      </c>
      <c r="B25505" s="3" t="str">
        <f>"01075094"</f>
        <v>01075094</v>
      </c>
    </row>
    <row r="25506" spans="1:2" x14ac:dyDescent="0.25">
      <c r="A25506" s="2">
        <v>25501</v>
      </c>
      <c r="B25506" s="3" t="str">
        <f>"01075096"</f>
        <v>01075096</v>
      </c>
    </row>
    <row r="25507" spans="1:2" x14ac:dyDescent="0.25">
      <c r="A25507" s="2">
        <v>25502</v>
      </c>
      <c r="B25507" s="3" t="str">
        <f>"01075102"</f>
        <v>01075102</v>
      </c>
    </row>
    <row r="25508" spans="1:2" x14ac:dyDescent="0.25">
      <c r="A25508" s="2">
        <v>25503</v>
      </c>
      <c r="B25508" s="3" t="str">
        <f>"01075103"</f>
        <v>01075103</v>
      </c>
    </row>
    <row r="25509" spans="1:2" x14ac:dyDescent="0.25">
      <c r="A25509" s="2">
        <v>25504</v>
      </c>
      <c r="B25509" s="3" t="str">
        <f>"01075108"</f>
        <v>01075108</v>
      </c>
    </row>
    <row r="25510" spans="1:2" x14ac:dyDescent="0.25">
      <c r="A25510" s="2">
        <v>25505</v>
      </c>
      <c r="B25510" s="3" t="str">
        <f>"01075110"</f>
        <v>01075110</v>
      </c>
    </row>
    <row r="25511" spans="1:2" x14ac:dyDescent="0.25">
      <c r="A25511" s="2">
        <v>25506</v>
      </c>
      <c r="B25511" s="3" t="str">
        <f>"01075111"</f>
        <v>01075111</v>
      </c>
    </row>
    <row r="25512" spans="1:2" x14ac:dyDescent="0.25">
      <c r="A25512" s="2">
        <v>25507</v>
      </c>
      <c r="B25512" s="3" t="str">
        <f>"01075115"</f>
        <v>01075115</v>
      </c>
    </row>
    <row r="25513" spans="1:2" x14ac:dyDescent="0.25">
      <c r="A25513" s="2">
        <v>25508</v>
      </c>
      <c r="B25513" s="3" t="str">
        <f>"01075117"</f>
        <v>01075117</v>
      </c>
    </row>
    <row r="25514" spans="1:2" x14ac:dyDescent="0.25">
      <c r="A25514" s="2">
        <v>25509</v>
      </c>
      <c r="B25514" s="3" t="str">
        <f>"01075121"</f>
        <v>01075121</v>
      </c>
    </row>
    <row r="25515" spans="1:2" x14ac:dyDescent="0.25">
      <c r="A25515" s="2">
        <v>25510</v>
      </c>
      <c r="B25515" s="3" t="str">
        <f>"01075127"</f>
        <v>01075127</v>
      </c>
    </row>
    <row r="25516" spans="1:2" x14ac:dyDescent="0.25">
      <c r="A25516" s="2">
        <v>25511</v>
      </c>
      <c r="B25516" s="3" t="str">
        <f>"01075134"</f>
        <v>01075134</v>
      </c>
    </row>
    <row r="25517" spans="1:2" x14ac:dyDescent="0.25">
      <c r="A25517" s="2">
        <v>25512</v>
      </c>
      <c r="B25517" s="3" t="str">
        <f>"01075159"</f>
        <v>01075159</v>
      </c>
    </row>
    <row r="25518" spans="1:2" x14ac:dyDescent="0.25">
      <c r="A25518" s="2">
        <v>25513</v>
      </c>
      <c r="B25518" s="3" t="str">
        <f>"01075163"</f>
        <v>01075163</v>
      </c>
    </row>
    <row r="25519" spans="1:2" x14ac:dyDescent="0.25">
      <c r="A25519" s="2">
        <v>25514</v>
      </c>
      <c r="B25519" s="3" t="str">
        <f>"01075169"</f>
        <v>01075169</v>
      </c>
    </row>
    <row r="25520" spans="1:2" x14ac:dyDescent="0.25">
      <c r="A25520" s="2">
        <v>25515</v>
      </c>
      <c r="B25520" s="3" t="str">
        <f>"01075171"</f>
        <v>01075171</v>
      </c>
    </row>
    <row r="25521" spans="1:2" x14ac:dyDescent="0.25">
      <c r="A25521" s="2">
        <v>25516</v>
      </c>
      <c r="B25521" s="3" t="str">
        <f>"01075172"</f>
        <v>01075172</v>
      </c>
    </row>
    <row r="25522" spans="1:2" x14ac:dyDescent="0.25">
      <c r="A25522" s="2">
        <v>25517</v>
      </c>
      <c r="B25522" s="3" t="str">
        <f>"01075188"</f>
        <v>01075188</v>
      </c>
    </row>
    <row r="25523" spans="1:2" x14ac:dyDescent="0.25">
      <c r="A25523" s="2">
        <v>25518</v>
      </c>
      <c r="B25523" s="3" t="str">
        <f>"01075189"</f>
        <v>01075189</v>
      </c>
    </row>
    <row r="25524" spans="1:2" x14ac:dyDescent="0.25">
      <c r="A25524" s="2">
        <v>25519</v>
      </c>
      <c r="B25524" s="3" t="str">
        <f>"01075194"</f>
        <v>01075194</v>
      </c>
    </row>
    <row r="25525" spans="1:2" x14ac:dyDescent="0.25">
      <c r="A25525" s="2">
        <v>25520</v>
      </c>
      <c r="B25525" s="3" t="str">
        <f>"01075197"</f>
        <v>01075197</v>
      </c>
    </row>
    <row r="25526" spans="1:2" x14ac:dyDescent="0.25">
      <c r="A25526" s="2">
        <v>25521</v>
      </c>
      <c r="B25526" s="3" t="str">
        <f>"01075198"</f>
        <v>01075198</v>
      </c>
    </row>
    <row r="25527" spans="1:2" x14ac:dyDescent="0.25">
      <c r="A25527" s="2">
        <v>25522</v>
      </c>
      <c r="B25527" s="3" t="str">
        <f>"01075201"</f>
        <v>01075201</v>
      </c>
    </row>
    <row r="25528" spans="1:2" x14ac:dyDescent="0.25">
      <c r="A25528" s="2">
        <v>25523</v>
      </c>
      <c r="B25528" s="3" t="str">
        <f>"01075204"</f>
        <v>01075204</v>
      </c>
    </row>
    <row r="25529" spans="1:2" x14ac:dyDescent="0.25">
      <c r="A25529" s="2">
        <v>25524</v>
      </c>
      <c r="B25529" s="3" t="str">
        <f>"01075209"</f>
        <v>01075209</v>
      </c>
    </row>
    <row r="25530" spans="1:2" x14ac:dyDescent="0.25">
      <c r="A25530" s="2">
        <v>25525</v>
      </c>
      <c r="B25530" s="3" t="str">
        <f>"01075215"</f>
        <v>01075215</v>
      </c>
    </row>
    <row r="25531" spans="1:2" x14ac:dyDescent="0.25">
      <c r="A25531" s="2">
        <v>25526</v>
      </c>
      <c r="B25531" s="3" t="str">
        <f>"01075218"</f>
        <v>01075218</v>
      </c>
    </row>
    <row r="25532" spans="1:2" x14ac:dyDescent="0.25">
      <c r="A25532" s="2">
        <v>25527</v>
      </c>
      <c r="B25532" s="3" t="str">
        <f>"01075220"</f>
        <v>01075220</v>
      </c>
    </row>
    <row r="25533" spans="1:2" x14ac:dyDescent="0.25">
      <c r="A25533" s="2">
        <v>25528</v>
      </c>
      <c r="B25533" s="3" t="str">
        <f>"01075222"</f>
        <v>01075222</v>
      </c>
    </row>
    <row r="25534" spans="1:2" x14ac:dyDescent="0.25">
      <c r="A25534" s="2">
        <v>25529</v>
      </c>
      <c r="B25534" s="3" t="str">
        <f>"01075224"</f>
        <v>01075224</v>
      </c>
    </row>
    <row r="25535" spans="1:2" x14ac:dyDescent="0.25">
      <c r="A25535" s="2">
        <v>25530</v>
      </c>
      <c r="B25535" s="3" t="str">
        <f>"01075226"</f>
        <v>01075226</v>
      </c>
    </row>
    <row r="25536" spans="1:2" x14ac:dyDescent="0.25">
      <c r="A25536" s="2">
        <v>25531</v>
      </c>
      <c r="B25536" s="3" t="str">
        <f>"01075230"</f>
        <v>01075230</v>
      </c>
    </row>
    <row r="25537" spans="1:2" x14ac:dyDescent="0.25">
      <c r="A25537" s="2">
        <v>25532</v>
      </c>
      <c r="B25537" s="3" t="str">
        <f>"01075233"</f>
        <v>01075233</v>
      </c>
    </row>
    <row r="25538" spans="1:2" x14ac:dyDescent="0.25">
      <c r="A25538" s="2">
        <v>25533</v>
      </c>
      <c r="B25538" s="3" t="str">
        <f>"01075235"</f>
        <v>01075235</v>
      </c>
    </row>
    <row r="25539" spans="1:2" x14ac:dyDescent="0.25">
      <c r="A25539" s="2">
        <v>25534</v>
      </c>
      <c r="B25539" s="3" t="str">
        <f>"01075243"</f>
        <v>01075243</v>
      </c>
    </row>
    <row r="25540" spans="1:2" x14ac:dyDescent="0.25">
      <c r="A25540" s="2">
        <v>25535</v>
      </c>
      <c r="B25540" s="3" t="str">
        <f>"01075256"</f>
        <v>01075256</v>
      </c>
    </row>
    <row r="25541" spans="1:2" x14ac:dyDescent="0.25">
      <c r="A25541" s="2">
        <v>25536</v>
      </c>
      <c r="B25541" s="3" t="str">
        <f>"01075257"</f>
        <v>01075257</v>
      </c>
    </row>
    <row r="25542" spans="1:2" x14ac:dyDescent="0.25">
      <c r="A25542" s="2">
        <v>25537</v>
      </c>
      <c r="B25542" s="3" t="str">
        <f>"01075262"</f>
        <v>01075262</v>
      </c>
    </row>
    <row r="25543" spans="1:2" x14ac:dyDescent="0.25">
      <c r="A25543" s="2">
        <v>25538</v>
      </c>
      <c r="B25543" s="3" t="str">
        <f>"01075270"</f>
        <v>01075270</v>
      </c>
    </row>
    <row r="25544" spans="1:2" x14ac:dyDescent="0.25">
      <c r="A25544" s="2">
        <v>25539</v>
      </c>
      <c r="B25544" s="3" t="str">
        <f>"01075271"</f>
        <v>01075271</v>
      </c>
    </row>
    <row r="25545" spans="1:2" x14ac:dyDescent="0.25">
      <c r="A25545" s="2">
        <v>25540</v>
      </c>
      <c r="B25545" s="3" t="str">
        <f>"01075272"</f>
        <v>01075272</v>
      </c>
    </row>
    <row r="25546" spans="1:2" x14ac:dyDescent="0.25">
      <c r="A25546" s="2">
        <v>25541</v>
      </c>
      <c r="B25546" s="3" t="str">
        <f>"01075277"</f>
        <v>01075277</v>
      </c>
    </row>
    <row r="25547" spans="1:2" x14ac:dyDescent="0.25">
      <c r="A25547" s="2">
        <v>25542</v>
      </c>
      <c r="B25547" s="3" t="str">
        <f>"01075284"</f>
        <v>01075284</v>
      </c>
    </row>
    <row r="25548" spans="1:2" x14ac:dyDescent="0.25">
      <c r="A25548" s="2">
        <v>25543</v>
      </c>
      <c r="B25548" s="3" t="str">
        <f>"01075285"</f>
        <v>01075285</v>
      </c>
    </row>
    <row r="25549" spans="1:2" x14ac:dyDescent="0.25">
      <c r="A25549" s="2">
        <v>25544</v>
      </c>
      <c r="B25549" s="3" t="str">
        <f>"01075294"</f>
        <v>01075294</v>
      </c>
    </row>
    <row r="25550" spans="1:2" x14ac:dyDescent="0.25">
      <c r="A25550" s="2">
        <v>25545</v>
      </c>
      <c r="B25550" s="3" t="str">
        <f>"01075309"</f>
        <v>01075309</v>
      </c>
    </row>
    <row r="25551" spans="1:2" x14ac:dyDescent="0.25">
      <c r="A25551" s="2">
        <v>25546</v>
      </c>
      <c r="B25551" s="3" t="str">
        <f>"01075310"</f>
        <v>01075310</v>
      </c>
    </row>
    <row r="25552" spans="1:2" x14ac:dyDescent="0.25">
      <c r="A25552" s="2">
        <v>25547</v>
      </c>
      <c r="B25552" s="3" t="str">
        <f>"01075312"</f>
        <v>01075312</v>
      </c>
    </row>
    <row r="25553" spans="1:2" x14ac:dyDescent="0.25">
      <c r="A25553" s="2">
        <v>25548</v>
      </c>
      <c r="B25553" s="3" t="str">
        <f>"01075314"</f>
        <v>01075314</v>
      </c>
    </row>
    <row r="25554" spans="1:2" x14ac:dyDescent="0.25">
      <c r="A25554" s="2">
        <v>25549</v>
      </c>
      <c r="B25554" s="3" t="str">
        <f>"01075319"</f>
        <v>01075319</v>
      </c>
    </row>
    <row r="25555" spans="1:2" x14ac:dyDescent="0.25">
      <c r="A25555" s="2">
        <v>25550</v>
      </c>
      <c r="B25555" s="3" t="str">
        <f>"01075323"</f>
        <v>01075323</v>
      </c>
    </row>
    <row r="25556" spans="1:2" x14ac:dyDescent="0.25">
      <c r="A25556" s="2">
        <v>25551</v>
      </c>
      <c r="B25556" s="3" t="str">
        <f>"01075326"</f>
        <v>01075326</v>
      </c>
    </row>
    <row r="25557" spans="1:2" x14ac:dyDescent="0.25">
      <c r="A25557" s="2">
        <v>25552</v>
      </c>
      <c r="B25557" s="3" t="str">
        <f>"01075330"</f>
        <v>01075330</v>
      </c>
    </row>
    <row r="25558" spans="1:2" x14ac:dyDescent="0.25">
      <c r="A25558" s="2">
        <v>25553</v>
      </c>
      <c r="B25558" s="3" t="str">
        <f>"01075333"</f>
        <v>01075333</v>
      </c>
    </row>
    <row r="25559" spans="1:2" x14ac:dyDescent="0.25">
      <c r="A25559" s="2">
        <v>25554</v>
      </c>
      <c r="B25559" s="3" t="str">
        <f>"01075334"</f>
        <v>01075334</v>
      </c>
    </row>
    <row r="25560" spans="1:2" x14ac:dyDescent="0.25">
      <c r="A25560" s="2">
        <v>25555</v>
      </c>
      <c r="B25560" s="3" t="str">
        <f>"01075335"</f>
        <v>01075335</v>
      </c>
    </row>
    <row r="25561" spans="1:2" x14ac:dyDescent="0.25">
      <c r="A25561" s="2">
        <v>25556</v>
      </c>
      <c r="B25561" s="3" t="str">
        <f>"01075339"</f>
        <v>01075339</v>
      </c>
    </row>
    <row r="25562" spans="1:2" x14ac:dyDescent="0.25">
      <c r="A25562" s="2">
        <v>25557</v>
      </c>
      <c r="B25562" s="3" t="str">
        <f>"01075341"</f>
        <v>01075341</v>
      </c>
    </row>
    <row r="25563" spans="1:2" x14ac:dyDescent="0.25">
      <c r="A25563" s="2">
        <v>25558</v>
      </c>
      <c r="B25563" s="3" t="str">
        <f>"01075342"</f>
        <v>01075342</v>
      </c>
    </row>
    <row r="25564" spans="1:2" x14ac:dyDescent="0.25">
      <c r="A25564" s="2">
        <v>25559</v>
      </c>
      <c r="B25564" s="3" t="str">
        <f>"01075345"</f>
        <v>01075345</v>
      </c>
    </row>
    <row r="25565" spans="1:2" x14ac:dyDescent="0.25">
      <c r="A25565" s="2">
        <v>25560</v>
      </c>
      <c r="B25565" s="3" t="str">
        <f>"01075353"</f>
        <v>01075353</v>
      </c>
    </row>
    <row r="25566" spans="1:2" x14ac:dyDescent="0.25">
      <c r="A25566" s="2">
        <v>25561</v>
      </c>
      <c r="B25566" s="3" t="str">
        <f>"01075356"</f>
        <v>01075356</v>
      </c>
    </row>
    <row r="25567" spans="1:2" x14ac:dyDescent="0.25">
      <c r="A25567" s="2">
        <v>25562</v>
      </c>
      <c r="B25567" s="3" t="str">
        <f>"01075363"</f>
        <v>01075363</v>
      </c>
    </row>
    <row r="25568" spans="1:2" x14ac:dyDescent="0.25">
      <c r="A25568" s="2">
        <v>25563</v>
      </c>
      <c r="B25568" s="3" t="str">
        <f>"01075368"</f>
        <v>01075368</v>
      </c>
    </row>
    <row r="25569" spans="1:2" x14ac:dyDescent="0.25">
      <c r="A25569" s="2">
        <v>25564</v>
      </c>
      <c r="B25569" s="3" t="str">
        <f>"01075369"</f>
        <v>01075369</v>
      </c>
    </row>
    <row r="25570" spans="1:2" x14ac:dyDescent="0.25">
      <c r="A25570" s="2">
        <v>25565</v>
      </c>
      <c r="B25570" s="3" t="str">
        <f>"01075374"</f>
        <v>01075374</v>
      </c>
    </row>
    <row r="25571" spans="1:2" x14ac:dyDescent="0.25">
      <c r="A25571" s="2">
        <v>25566</v>
      </c>
      <c r="B25571" s="3" t="str">
        <f>"01075375"</f>
        <v>01075375</v>
      </c>
    </row>
    <row r="25572" spans="1:2" x14ac:dyDescent="0.25">
      <c r="A25572" s="2">
        <v>25567</v>
      </c>
      <c r="B25572" s="3" t="str">
        <f>"01075377"</f>
        <v>01075377</v>
      </c>
    </row>
    <row r="25573" spans="1:2" x14ac:dyDescent="0.25">
      <c r="A25573" s="2">
        <v>25568</v>
      </c>
      <c r="B25573" s="3" t="str">
        <f>"01075380"</f>
        <v>01075380</v>
      </c>
    </row>
    <row r="25574" spans="1:2" x14ac:dyDescent="0.25">
      <c r="A25574" s="2">
        <v>25569</v>
      </c>
      <c r="B25574" s="3" t="str">
        <f>"01075382"</f>
        <v>01075382</v>
      </c>
    </row>
    <row r="25575" spans="1:2" x14ac:dyDescent="0.25">
      <c r="A25575" s="2">
        <v>25570</v>
      </c>
      <c r="B25575" s="3" t="str">
        <f>"01075385"</f>
        <v>01075385</v>
      </c>
    </row>
    <row r="25576" spans="1:2" x14ac:dyDescent="0.25">
      <c r="A25576" s="2">
        <v>25571</v>
      </c>
      <c r="B25576" s="3" t="str">
        <f>"01075387"</f>
        <v>01075387</v>
      </c>
    </row>
    <row r="25577" spans="1:2" x14ac:dyDescent="0.25">
      <c r="A25577" s="2">
        <v>25572</v>
      </c>
      <c r="B25577" s="3" t="str">
        <f>"01075395"</f>
        <v>01075395</v>
      </c>
    </row>
    <row r="25578" spans="1:2" x14ac:dyDescent="0.25">
      <c r="A25578" s="2">
        <v>25573</v>
      </c>
      <c r="B25578" s="3" t="str">
        <f>"01075396"</f>
        <v>01075396</v>
      </c>
    </row>
    <row r="25579" spans="1:2" x14ac:dyDescent="0.25">
      <c r="A25579" s="2">
        <v>25574</v>
      </c>
      <c r="B25579" s="3" t="str">
        <f>"01075401"</f>
        <v>01075401</v>
      </c>
    </row>
    <row r="25580" spans="1:2" x14ac:dyDescent="0.25">
      <c r="A25580" s="2">
        <v>25575</v>
      </c>
      <c r="B25580" s="3" t="str">
        <f>"01075411"</f>
        <v>01075411</v>
      </c>
    </row>
    <row r="25581" spans="1:2" x14ac:dyDescent="0.25">
      <c r="A25581" s="2">
        <v>25576</v>
      </c>
      <c r="B25581" s="3" t="str">
        <f>"01075413"</f>
        <v>01075413</v>
      </c>
    </row>
    <row r="25582" spans="1:2" x14ac:dyDescent="0.25">
      <c r="A25582" s="2">
        <v>25577</v>
      </c>
      <c r="B25582" s="3" t="str">
        <f>"01075416"</f>
        <v>01075416</v>
      </c>
    </row>
    <row r="25583" spans="1:2" x14ac:dyDescent="0.25">
      <c r="A25583" s="2">
        <v>25578</v>
      </c>
      <c r="B25583" s="3" t="str">
        <f>"01075419"</f>
        <v>01075419</v>
      </c>
    </row>
    <row r="25584" spans="1:2" x14ac:dyDescent="0.25">
      <c r="A25584" s="2">
        <v>25579</v>
      </c>
      <c r="B25584" s="3" t="str">
        <f>"01075422"</f>
        <v>01075422</v>
      </c>
    </row>
    <row r="25585" spans="1:2" x14ac:dyDescent="0.25">
      <c r="A25585" s="2">
        <v>25580</v>
      </c>
      <c r="B25585" s="3" t="str">
        <f>"01075423"</f>
        <v>01075423</v>
      </c>
    </row>
    <row r="25586" spans="1:2" x14ac:dyDescent="0.25">
      <c r="A25586" s="2">
        <v>25581</v>
      </c>
      <c r="B25586" s="3" t="str">
        <f>"01075424"</f>
        <v>01075424</v>
      </c>
    </row>
    <row r="25587" spans="1:2" x14ac:dyDescent="0.25">
      <c r="A25587" s="2">
        <v>25582</v>
      </c>
      <c r="B25587" s="3" t="str">
        <f>"01075425"</f>
        <v>01075425</v>
      </c>
    </row>
    <row r="25588" spans="1:2" x14ac:dyDescent="0.25">
      <c r="A25588" s="2">
        <v>25583</v>
      </c>
      <c r="B25588" s="3" t="str">
        <f>"01075429"</f>
        <v>01075429</v>
      </c>
    </row>
    <row r="25589" spans="1:2" x14ac:dyDescent="0.25">
      <c r="A25589" s="2">
        <v>25584</v>
      </c>
      <c r="B25589" s="3" t="str">
        <f>"01075430"</f>
        <v>01075430</v>
      </c>
    </row>
    <row r="25590" spans="1:2" x14ac:dyDescent="0.25">
      <c r="A25590" s="2">
        <v>25585</v>
      </c>
      <c r="B25590" s="3" t="str">
        <f>"01075431"</f>
        <v>01075431</v>
      </c>
    </row>
    <row r="25591" spans="1:2" x14ac:dyDescent="0.25">
      <c r="A25591" s="2">
        <v>25586</v>
      </c>
      <c r="B25591" s="3" t="str">
        <f>"01075441"</f>
        <v>01075441</v>
      </c>
    </row>
    <row r="25592" spans="1:2" x14ac:dyDescent="0.25">
      <c r="A25592" s="2">
        <v>25587</v>
      </c>
      <c r="B25592" s="3" t="str">
        <f>"01075444"</f>
        <v>01075444</v>
      </c>
    </row>
    <row r="25593" spans="1:2" x14ac:dyDescent="0.25">
      <c r="A25593" s="2">
        <v>25588</v>
      </c>
      <c r="B25593" s="3" t="str">
        <f>"01075447"</f>
        <v>01075447</v>
      </c>
    </row>
    <row r="25594" spans="1:2" x14ac:dyDescent="0.25">
      <c r="A25594" s="2">
        <v>25589</v>
      </c>
      <c r="B25594" s="3" t="str">
        <f>"01075467"</f>
        <v>01075467</v>
      </c>
    </row>
    <row r="25595" spans="1:2" x14ac:dyDescent="0.25">
      <c r="A25595" s="2">
        <v>25590</v>
      </c>
      <c r="B25595" s="3" t="str">
        <f>"01075468"</f>
        <v>01075468</v>
      </c>
    </row>
    <row r="25596" spans="1:2" x14ac:dyDescent="0.25">
      <c r="A25596" s="2">
        <v>25591</v>
      </c>
      <c r="B25596" s="3" t="str">
        <f>"01075474"</f>
        <v>01075474</v>
      </c>
    </row>
    <row r="25597" spans="1:2" x14ac:dyDescent="0.25">
      <c r="A25597" s="2">
        <v>25592</v>
      </c>
      <c r="B25597" s="3" t="str">
        <f>"01075477"</f>
        <v>01075477</v>
      </c>
    </row>
    <row r="25598" spans="1:2" x14ac:dyDescent="0.25">
      <c r="A25598" s="2">
        <v>25593</v>
      </c>
      <c r="B25598" s="3" t="str">
        <f>"01075479"</f>
        <v>01075479</v>
      </c>
    </row>
    <row r="25599" spans="1:2" x14ac:dyDescent="0.25">
      <c r="A25599" s="2">
        <v>25594</v>
      </c>
      <c r="B25599" s="3" t="str">
        <f>"01075481"</f>
        <v>01075481</v>
      </c>
    </row>
    <row r="25600" spans="1:2" x14ac:dyDescent="0.25">
      <c r="A25600" s="2">
        <v>25595</v>
      </c>
      <c r="B25600" s="3" t="str">
        <f>"01075483"</f>
        <v>01075483</v>
      </c>
    </row>
    <row r="25601" spans="1:2" x14ac:dyDescent="0.25">
      <c r="A25601" s="2">
        <v>25596</v>
      </c>
      <c r="B25601" s="3" t="str">
        <f>"01075485"</f>
        <v>01075485</v>
      </c>
    </row>
    <row r="25602" spans="1:2" x14ac:dyDescent="0.25">
      <c r="A25602" s="2">
        <v>25597</v>
      </c>
      <c r="B25602" s="3" t="str">
        <f>"01075486"</f>
        <v>01075486</v>
      </c>
    </row>
    <row r="25603" spans="1:2" x14ac:dyDescent="0.25">
      <c r="A25603" s="2">
        <v>25598</v>
      </c>
      <c r="B25603" s="3" t="str">
        <f>"01075490"</f>
        <v>01075490</v>
      </c>
    </row>
    <row r="25604" spans="1:2" x14ac:dyDescent="0.25">
      <c r="A25604" s="2">
        <v>25599</v>
      </c>
      <c r="B25604" s="3" t="str">
        <f>"01075492"</f>
        <v>01075492</v>
      </c>
    </row>
    <row r="25605" spans="1:2" x14ac:dyDescent="0.25">
      <c r="A25605" s="2">
        <v>25600</v>
      </c>
      <c r="B25605" s="3" t="str">
        <f>"01075508"</f>
        <v>01075508</v>
      </c>
    </row>
    <row r="25606" spans="1:2" x14ac:dyDescent="0.25">
      <c r="A25606" s="2">
        <v>25601</v>
      </c>
      <c r="B25606" s="3" t="str">
        <f>"01075509"</f>
        <v>01075509</v>
      </c>
    </row>
    <row r="25607" spans="1:2" x14ac:dyDescent="0.25">
      <c r="A25607" s="2">
        <v>25602</v>
      </c>
      <c r="B25607" s="3" t="str">
        <f>"01075511"</f>
        <v>01075511</v>
      </c>
    </row>
    <row r="25608" spans="1:2" x14ac:dyDescent="0.25">
      <c r="A25608" s="2">
        <v>25603</v>
      </c>
      <c r="B25608" s="3" t="str">
        <f>"01075517"</f>
        <v>01075517</v>
      </c>
    </row>
    <row r="25609" spans="1:2" x14ac:dyDescent="0.25">
      <c r="A25609" s="2">
        <v>25604</v>
      </c>
      <c r="B25609" s="3" t="str">
        <f>"01075519"</f>
        <v>01075519</v>
      </c>
    </row>
    <row r="25610" spans="1:2" x14ac:dyDescent="0.25">
      <c r="A25610" s="2">
        <v>25605</v>
      </c>
      <c r="B25610" s="3" t="str">
        <f>"01075520"</f>
        <v>01075520</v>
      </c>
    </row>
    <row r="25611" spans="1:2" x14ac:dyDescent="0.25">
      <c r="A25611" s="2">
        <v>25606</v>
      </c>
      <c r="B25611" s="3" t="str">
        <f>"01075522"</f>
        <v>01075522</v>
      </c>
    </row>
    <row r="25612" spans="1:2" x14ac:dyDescent="0.25">
      <c r="A25612" s="2">
        <v>25607</v>
      </c>
      <c r="B25612" s="3" t="str">
        <f>"01075531"</f>
        <v>01075531</v>
      </c>
    </row>
    <row r="25613" spans="1:2" x14ac:dyDescent="0.25">
      <c r="A25613" s="2">
        <v>25608</v>
      </c>
      <c r="B25613" s="3" t="str">
        <f>"01075533"</f>
        <v>01075533</v>
      </c>
    </row>
    <row r="25614" spans="1:2" x14ac:dyDescent="0.25">
      <c r="A25614" s="2">
        <v>25609</v>
      </c>
      <c r="B25614" s="3" t="str">
        <f>"01075534"</f>
        <v>01075534</v>
      </c>
    </row>
    <row r="25615" spans="1:2" x14ac:dyDescent="0.25">
      <c r="A25615" s="2">
        <v>25610</v>
      </c>
      <c r="B25615" s="3" t="str">
        <f>"01075535"</f>
        <v>01075535</v>
      </c>
    </row>
    <row r="25616" spans="1:2" x14ac:dyDescent="0.25">
      <c r="A25616" s="2">
        <v>25611</v>
      </c>
      <c r="B25616" s="3" t="str">
        <f>"01075539"</f>
        <v>01075539</v>
      </c>
    </row>
    <row r="25617" spans="1:2" x14ac:dyDescent="0.25">
      <c r="A25617" s="2">
        <v>25612</v>
      </c>
      <c r="B25617" s="3" t="str">
        <f>"01075547"</f>
        <v>01075547</v>
      </c>
    </row>
    <row r="25618" spans="1:2" x14ac:dyDescent="0.25">
      <c r="A25618" s="2">
        <v>25613</v>
      </c>
      <c r="B25618" s="3" t="str">
        <f>"01075553"</f>
        <v>01075553</v>
      </c>
    </row>
    <row r="25619" spans="1:2" x14ac:dyDescent="0.25">
      <c r="A25619" s="2">
        <v>25614</v>
      </c>
      <c r="B25619" s="3" t="str">
        <f>"01075555"</f>
        <v>01075555</v>
      </c>
    </row>
    <row r="25620" spans="1:2" x14ac:dyDescent="0.25">
      <c r="A25620" s="2">
        <v>25615</v>
      </c>
      <c r="B25620" s="3" t="str">
        <f>"01075556"</f>
        <v>01075556</v>
      </c>
    </row>
    <row r="25621" spans="1:2" x14ac:dyDescent="0.25">
      <c r="A25621" s="2">
        <v>25616</v>
      </c>
      <c r="B25621" s="3" t="str">
        <f>"01075560"</f>
        <v>01075560</v>
      </c>
    </row>
    <row r="25622" spans="1:2" x14ac:dyDescent="0.25">
      <c r="A25622" s="2">
        <v>25617</v>
      </c>
      <c r="B25622" s="3" t="str">
        <f>"01075561"</f>
        <v>01075561</v>
      </c>
    </row>
    <row r="25623" spans="1:2" x14ac:dyDescent="0.25">
      <c r="A25623" s="2">
        <v>25618</v>
      </c>
      <c r="B25623" s="3" t="str">
        <f>"01075564"</f>
        <v>01075564</v>
      </c>
    </row>
    <row r="25624" spans="1:2" x14ac:dyDescent="0.25">
      <c r="A25624" s="2">
        <v>25619</v>
      </c>
      <c r="B25624" s="3" t="str">
        <f>"01075568"</f>
        <v>01075568</v>
      </c>
    </row>
    <row r="25625" spans="1:2" x14ac:dyDescent="0.25">
      <c r="A25625" s="2">
        <v>25620</v>
      </c>
      <c r="B25625" s="3" t="str">
        <f>"01075574"</f>
        <v>01075574</v>
      </c>
    </row>
    <row r="25626" spans="1:2" x14ac:dyDescent="0.25">
      <c r="A25626" s="2">
        <v>25621</v>
      </c>
      <c r="B25626" s="3" t="str">
        <f>"01075576"</f>
        <v>01075576</v>
      </c>
    </row>
    <row r="25627" spans="1:2" x14ac:dyDescent="0.25">
      <c r="A25627" s="2">
        <v>25622</v>
      </c>
      <c r="B25627" s="3" t="str">
        <f>"01075583"</f>
        <v>01075583</v>
      </c>
    </row>
    <row r="25628" spans="1:2" x14ac:dyDescent="0.25">
      <c r="A25628" s="2">
        <v>25623</v>
      </c>
      <c r="B25628" s="3" t="str">
        <f>"01075592"</f>
        <v>01075592</v>
      </c>
    </row>
    <row r="25629" spans="1:2" x14ac:dyDescent="0.25">
      <c r="A25629" s="2">
        <v>25624</v>
      </c>
      <c r="B25629" s="3" t="str">
        <f>"01075602"</f>
        <v>01075602</v>
      </c>
    </row>
    <row r="25630" spans="1:2" x14ac:dyDescent="0.25">
      <c r="A25630" s="2">
        <v>25625</v>
      </c>
      <c r="B25630" s="3" t="str">
        <f>"01075604"</f>
        <v>01075604</v>
      </c>
    </row>
    <row r="25631" spans="1:2" x14ac:dyDescent="0.25">
      <c r="A25631" s="2">
        <v>25626</v>
      </c>
      <c r="B25631" s="3" t="str">
        <f>"01075606"</f>
        <v>01075606</v>
      </c>
    </row>
    <row r="25632" spans="1:2" x14ac:dyDescent="0.25">
      <c r="A25632" s="2">
        <v>25627</v>
      </c>
      <c r="B25632" s="3" t="str">
        <f>"01075608"</f>
        <v>01075608</v>
      </c>
    </row>
    <row r="25633" spans="1:2" x14ac:dyDescent="0.25">
      <c r="A25633" s="2">
        <v>25628</v>
      </c>
      <c r="B25633" s="3" t="str">
        <f>"01075617"</f>
        <v>01075617</v>
      </c>
    </row>
    <row r="25634" spans="1:2" x14ac:dyDescent="0.25">
      <c r="A25634" s="2">
        <v>25629</v>
      </c>
      <c r="B25634" s="3" t="str">
        <f>"01075622"</f>
        <v>01075622</v>
      </c>
    </row>
    <row r="25635" spans="1:2" x14ac:dyDescent="0.25">
      <c r="A25635" s="2">
        <v>25630</v>
      </c>
      <c r="B25635" s="3" t="str">
        <f>"01075625"</f>
        <v>01075625</v>
      </c>
    </row>
    <row r="25636" spans="1:2" x14ac:dyDescent="0.25">
      <c r="A25636" s="2">
        <v>25631</v>
      </c>
      <c r="B25636" s="3" t="str">
        <f>"01075627"</f>
        <v>01075627</v>
      </c>
    </row>
    <row r="25637" spans="1:2" x14ac:dyDescent="0.25">
      <c r="A25637" s="2">
        <v>25632</v>
      </c>
      <c r="B25637" s="3" t="str">
        <f>"01075630"</f>
        <v>01075630</v>
      </c>
    </row>
    <row r="25638" spans="1:2" x14ac:dyDescent="0.25">
      <c r="A25638" s="2">
        <v>25633</v>
      </c>
      <c r="B25638" s="3" t="str">
        <f>"01075635"</f>
        <v>01075635</v>
      </c>
    </row>
    <row r="25639" spans="1:2" x14ac:dyDescent="0.25">
      <c r="A25639" s="2">
        <v>25634</v>
      </c>
      <c r="B25639" s="3" t="str">
        <f>"01075641"</f>
        <v>01075641</v>
      </c>
    </row>
    <row r="25640" spans="1:2" x14ac:dyDescent="0.25">
      <c r="A25640" s="2">
        <v>25635</v>
      </c>
      <c r="B25640" s="3" t="str">
        <f>"01075651"</f>
        <v>01075651</v>
      </c>
    </row>
    <row r="25641" spans="1:2" x14ac:dyDescent="0.25">
      <c r="A25641" s="2">
        <v>25636</v>
      </c>
      <c r="B25641" s="3" t="str">
        <f>"01075653"</f>
        <v>01075653</v>
      </c>
    </row>
    <row r="25642" spans="1:2" x14ac:dyDescent="0.25">
      <c r="A25642" s="2">
        <v>25637</v>
      </c>
      <c r="B25642" s="3" t="str">
        <f>"01075657"</f>
        <v>01075657</v>
      </c>
    </row>
    <row r="25643" spans="1:2" x14ac:dyDescent="0.25">
      <c r="A25643" s="2">
        <v>25638</v>
      </c>
      <c r="B25643" s="3" t="str">
        <f>"01075663"</f>
        <v>01075663</v>
      </c>
    </row>
    <row r="25644" spans="1:2" x14ac:dyDescent="0.25">
      <c r="A25644" s="2">
        <v>25639</v>
      </c>
      <c r="B25644" s="3" t="str">
        <f>"01075664"</f>
        <v>01075664</v>
      </c>
    </row>
    <row r="25645" spans="1:2" x14ac:dyDescent="0.25">
      <c r="A25645" s="2">
        <v>25640</v>
      </c>
      <c r="B25645" s="3" t="str">
        <f>"01075667"</f>
        <v>01075667</v>
      </c>
    </row>
    <row r="25646" spans="1:2" x14ac:dyDescent="0.25">
      <c r="A25646" s="2">
        <v>25641</v>
      </c>
      <c r="B25646" s="3" t="str">
        <f>"01075668"</f>
        <v>01075668</v>
      </c>
    </row>
    <row r="25647" spans="1:2" x14ac:dyDescent="0.25">
      <c r="A25647" s="2">
        <v>25642</v>
      </c>
      <c r="B25647" s="3" t="str">
        <f>"01075671"</f>
        <v>01075671</v>
      </c>
    </row>
    <row r="25648" spans="1:2" x14ac:dyDescent="0.25">
      <c r="A25648" s="2">
        <v>25643</v>
      </c>
      <c r="B25648" s="3" t="str">
        <f>"01075673"</f>
        <v>01075673</v>
      </c>
    </row>
    <row r="25649" spans="1:2" x14ac:dyDescent="0.25">
      <c r="A25649" s="2">
        <v>25644</v>
      </c>
      <c r="B25649" s="3" t="str">
        <f>"01075675"</f>
        <v>01075675</v>
      </c>
    </row>
    <row r="25650" spans="1:2" x14ac:dyDescent="0.25">
      <c r="A25650" s="2">
        <v>25645</v>
      </c>
      <c r="B25650" s="3" t="str">
        <f>"01075677"</f>
        <v>01075677</v>
      </c>
    </row>
    <row r="25651" spans="1:2" x14ac:dyDescent="0.25">
      <c r="A25651" s="2">
        <v>25646</v>
      </c>
      <c r="B25651" s="3" t="str">
        <f>"01075680"</f>
        <v>01075680</v>
      </c>
    </row>
    <row r="25652" spans="1:2" x14ac:dyDescent="0.25">
      <c r="A25652" s="2">
        <v>25647</v>
      </c>
      <c r="B25652" s="3" t="str">
        <f>"01075684"</f>
        <v>01075684</v>
      </c>
    </row>
    <row r="25653" spans="1:2" x14ac:dyDescent="0.25">
      <c r="A25653" s="2">
        <v>25648</v>
      </c>
      <c r="B25653" s="3" t="str">
        <f>"01075686"</f>
        <v>01075686</v>
      </c>
    </row>
    <row r="25654" spans="1:2" x14ac:dyDescent="0.25">
      <c r="A25654" s="2">
        <v>25649</v>
      </c>
      <c r="B25654" s="3" t="str">
        <f>"01075687"</f>
        <v>01075687</v>
      </c>
    </row>
    <row r="25655" spans="1:2" x14ac:dyDescent="0.25">
      <c r="A25655" s="2">
        <v>25650</v>
      </c>
      <c r="B25655" s="3" t="str">
        <f>"01075690"</f>
        <v>01075690</v>
      </c>
    </row>
    <row r="25656" spans="1:2" x14ac:dyDescent="0.25">
      <c r="A25656" s="2">
        <v>25651</v>
      </c>
      <c r="B25656" s="3" t="str">
        <f>"01075697"</f>
        <v>01075697</v>
      </c>
    </row>
    <row r="25657" spans="1:2" x14ac:dyDescent="0.25">
      <c r="A25657" s="2">
        <v>25652</v>
      </c>
      <c r="B25657" s="3" t="str">
        <f>"01075699"</f>
        <v>01075699</v>
      </c>
    </row>
    <row r="25658" spans="1:2" x14ac:dyDescent="0.25">
      <c r="A25658" s="2">
        <v>25653</v>
      </c>
      <c r="B25658" s="3" t="str">
        <f>"01075704"</f>
        <v>01075704</v>
      </c>
    </row>
    <row r="25659" spans="1:2" x14ac:dyDescent="0.25">
      <c r="A25659" s="2">
        <v>25654</v>
      </c>
      <c r="B25659" s="3" t="str">
        <f>"01075705"</f>
        <v>01075705</v>
      </c>
    </row>
    <row r="25660" spans="1:2" x14ac:dyDescent="0.25">
      <c r="A25660" s="2">
        <v>25655</v>
      </c>
      <c r="B25660" s="3" t="str">
        <f>"01075709"</f>
        <v>01075709</v>
      </c>
    </row>
    <row r="25661" spans="1:2" x14ac:dyDescent="0.25">
      <c r="A25661" s="2">
        <v>25656</v>
      </c>
      <c r="B25661" s="3" t="str">
        <f>"01075711"</f>
        <v>01075711</v>
      </c>
    </row>
    <row r="25662" spans="1:2" x14ac:dyDescent="0.25">
      <c r="A25662" s="2">
        <v>25657</v>
      </c>
      <c r="B25662" s="3" t="str">
        <f>"01075712"</f>
        <v>01075712</v>
      </c>
    </row>
    <row r="25663" spans="1:2" x14ac:dyDescent="0.25">
      <c r="A25663" s="2">
        <v>25658</v>
      </c>
      <c r="B25663" s="3" t="str">
        <f>"01075723"</f>
        <v>01075723</v>
      </c>
    </row>
    <row r="25664" spans="1:2" x14ac:dyDescent="0.25">
      <c r="A25664" s="2">
        <v>25659</v>
      </c>
      <c r="B25664" s="3" t="str">
        <f>"01075725"</f>
        <v>01075725</v>
      </c>
    </row>
    <row r="25665" spans="1:2" x14ac:dyDescent="0.25">
      <c r="A25665" s="2">
        <v>25660</v>
      </c>
      <c r="B25665" s="3" t="str">
        <f>"01075733"</f>
        <v>01075733</v>
      </c>
    </row>
    <row r="25666" spans="1:2" x14ac:dyDescent="0.25">
      <c r="A25666" s="2">
        <v>25661</v>
      </c>
      <c r="B25666" s="3" t="str">
        <f>"01075743"</f>
        <v>01075743</v>
      </c>
    </row>
    <row r="25667" spans="1:2" x14ac:dyDescent="0.25">
      <c r="A25667" s="2">
        <v>25662</v>
      </c>
      <c r="B25667" s="3" t="str">
        <f>"01075751"</f>
        <v>01075751</v>
      </c>
    </row>
    <row r="25668" spans="1:2" x14ac:dyDescent="0.25">
      <c r="A25668" s="2">
        <v>25663</v>
      </c>
      <c r="B25668" s="3" t="str">
        <f>"01075755"</f>
        <v>01075755</v>
      </c>
    </row>
    <row r="25669" spans="1:2" x14ac:dyDescent="0.25">
      <c r="A25669" s="2">
        <v>25664</v>
      </c>
      <c r="B25669" s="3" t="str">
        <f>"01075758"</f>
        <v>01075758</v>
      </c>
    </row>
    <row r="25670" spans="1:2" x14ac:dyDescent="0.25">
      <c r="A25670" s="2">
        <v>25665</v>
      </c>
      <c r="B25670" s="3" t="str">
        <f>"01075763"</f>
        <v>01075763</v>
      </c>
    </row>
    <row r="25671" spans="1:2" x14ac:dyDescent="0.25">
      <c r="A25671" s="2">
        <v>25666</v>
      </c>
      <c r="B25671" s="3" t="str">
        <f>"01075765"</f>
        <v>01075765</v>
      </c>
    </row>
    <row r="25672" spans="1:2" x14ac:dyDescent="0.25">
      <c r="A25672" s="2">
        <v>25667</v>
      </c>
      <c r="B25672" s="3" t="str">
        <f>"01075777"</f>
        <v>01075777</v>
      </c>
    </row>
    <row r="25673" spans="1:2" x14ac:dyDescent="0.25">
      <c r="A25673" s="2">
        <v>25668</v>
      </c>
      <c r="B25673" s="3" t="str">
        <f>"01075782"</f>
        <v>01075782</v>
      </c>
    </row>
    <row r="25674" spans="1:2" x14ac:dyDescent="0.25">
      <c r="A25674" s="2">
        <v>25669</v>
      </c>
      <c r="B25674" s="3" t="str">
        <f>"01075784"</f>
        <v>01075784</v>
      </c>
    </row>
    <row r="25675" spans="1:2" x14ac:dyDescent="0.25">
      <c r="A25675" s="2">
        <v>25670</v>
      </c>
      <c r="B25675" s="3" t="str">
        <f>"01075787"</f>
        <v>01075787</v>
      </c>
    </row>
    <row r="25676" spans="1:2" x14ac:dyDescent="0.25">
      <c r="A25676" s="2">
        <v>25671</v>
      </c>
      <c r="B25676" s="3" t="str">
        <f>"01075788"</f>
        <v>01075788</v>
      </c>
    </row>
    <row r="25677" spans="1:2" x14ac:dyDescent="0.25">
      <c r="A25677" s="2">
        <v>25672</v>
      </c>
      <c r="B25677" s="3" t="str">
        <f>"01075801"</f>
        <v>01075801</v>
      </c>
    </row>
    <row r="25678" spans="1:2" x14ac:dyDescent="0.25">
      <c r="A25678" s="2">
        <v>25673</v>
      </c>
      <c r="B25678" s="3" t="str">
        <f>"01075803"</f>
        <v>01075803</v>
      </c>
    </row>
    <row r="25679" spans="1:2" x14ac:dyDescent="0.25">
      <c r="A25679" s="2">
        <v>25674</v>
      </c>
      <c r="B25679" s="3" t="str">
        <f>"01075805"</f>
        <v>01075805</v>
      </c>
    </row>
    <row r="25680" spans="1:2" x14ac:dyDescent="0.25">
      <c r="A25680" s="2">
        <v>25675</v>
      </c>
      <c r="B25680" s="3" t="str">
        <f>"01075820"</f>
        <v>01075820</v>
      </c>
    </row>
    <row r="25681" spans="1:2" x14ac:dyDescent="0.25">
      <c r="A25681" s="2">
        <v>25676</v>
      </c>
      <c r="B25681" s="3" t="str">
        <f>"01075826"</f>
        <v>01075826</v>
      </c>
    </row>
    <row r="25682" spans="1:2" x14ac:dyDescent="0.25">
      <c r="A25682" s="2">
        <v>25677</v>
      </c>
      <c r="B25682" s="3" t="str">
        <f>"01075831"</f>
        <v>01075831</v>
      </c>
    </row>
    <row r="25683" spans="1:2" x14ac:dyDescent="0.25">
      <c r="A25683" s="2">
        <v>25678</v>
      </c>
      <c r="B25683" s="3" t="str">
        <f>"01075835"</f>
        <v>01075835</v>
      </c>
    </row>
    <row r="25684" spans="1:2" x14ac:dyDescent="0.25">
      <c r="A25684" s="2">
        <v>25679</v>
      </c>
      <c r="B25684" s="3" t="str">
        <f>"01075839"</f>
        <v>01075839</v>
      </c>
    </row>
    <row r="25685" spans="1:2" x14ac:dyDescent="0.25">
      <c r="A25685" s="2">
        <v>25680</v>
      </c>
      <c r="B25685" s="3" t="str">
        <f>"01075842"</f>
        <v>01075842</v>
      </c>
    </row>
    <row r="25686" spans="1:2" x14ac:dyDescent="0.25">
      <c r="A25686" s="2">
        <v>25681</v>
      </c>
      <c r="B25686" s="3" t="str">
        <f>"01075845"</f>
        <v>01075845</v>
      </c>
    </row>
    <row r="25687" spans="1:2" x14ac:dyDescent="0.25">
      <c r="A25687" s="2">
        <v>25682</v>
      </c>
      <c r="B25687" s="3" t="str">
        <f>"01075847"</f>
        <v>01075847</v>
      </c>
    </row>
    <row r="25688" spans="1:2" x14ac:dyDescent="0.25">
      <c r="A25688" s="2">
        <v>25683</v>
      </c>
      <c r="B25688" s="3" t="str">
        <f>"01075849"</f>
        <v>01075849</v>
      </c>
    </row>
    <row r="25689" spans="1:2" x14ac:dyDescent="0.25">
      <c r="A25689" s="2">
        <v>25684</v>
      </c>
      <c r="B25689" s="3" t="str">
        <f>"01075850"</f>
        <v>01075850</v>
      </c>
    </row>
    <row r="25690" spans="1:2" x14ac:dyDescent="0.25">
      <c r="A25690" s="2">
        <v>25685</v>
      </c>
      <c r="B25690" s="3" t="str">
        <f>"01075853"</f>
        <v>01075853</v>
      </c>
    </row>
    <row r="25691" spans="1:2" x14ac:dyDescent="0.25">
      <c r="A25691" s="2">
        <v>25686</v>
      </c>
      <c r="B25691" s="3" t="str">
        <f>"01075854"</f>
        <v>01075854</v>
      </c>
    </row>
    <row r="25692" spans="1:2" x14ac:dyDescent="0.25">
      <c r="A25692" s="2">
        <v>25687</v>
      </c>
      <c r="B25692" s="3" t="str">
        <f>"01075856"</f>
        <v>01075856</v>
      </c>
    </row>
    <row r="25693" spans="1:2" x14ac:dyDescent="0.25">
      <c r="A25693" s="2">
        <v>25688</v>
      </c>
      <c r="B25693" s="3" t="str">
        <f>"01075859"</f>
        <v>01075859</v>
      </c>
    </row>
    <row r="25694" spans="1:2" x14ac:dyDescent="0.25">
      <c r="A25694" s="2">
        <v>25689</v>
      </c>
      <c r="B25694" s="3" t="str">
        <f>"01075866"</f>
        <v>01075866</v>
      </c>
    </row>
    <row r="25695" spans="1:2" x14ac:dyDescent="0.25">
      <c r="A25695" s="2">
        <v>25690</v>
      </c>
      <c r="B25695" s="3" t="str">
        <f>"01075874"</f>
        <v>01075874</v>
      </c>
    </row>
    <row r="25696" spans="1:2" x14ac:dyDescent="0.25">
      <c r="A25696" s="2">
        <v>25691</v>
      </c>
      <c r="B25696" s="3" t="str">
        <f>"01075876"</f>
        <v>01075876</v>
      </c>
    </row>
    <row r="25697" spans="1:2" x14ac:dyDescent="0.25">
      <c r="A25697" s="2">
        <v>25692</v>
      </c>
      <c r="B25697" s="3" t="str">
        <f>"01075878"</f>
        <v>01075878</v>
      </c>
    </row>
    <row r="25698" spans="1:2" x14ac:dyDescent="0.25">
      <c r="A25698" s="2">
        <v>25693</v>
      </c>
      <c r="B25698" s="3" t="str">
        <f>"01075879"</f>
        <v>01075879</v>
      </c>
    </row>
    <row r="25699" spans="1:2" x14ac:dyDescent="0.25">
      <c r="A25699" s="2">
        <v>25694</v>
      </c>
      <c r="B25699" s="3" t="str">
        <f>"01075881"</f>
        <v>01075881</v>
      </c>
    </row>
    <row r="25700" spans="1:2" x14ac:dyDescent="0.25">
      <c r="A25700" s="2">
        <v>25695</v>
      </c>
      <c r="B25700" s="3" t="str">
        <f>"01075883"</f>
        <v>01075883</v>
      </c>
    </row>
    <row r="25701" spans="1:2" x14ac:dyDescent="0.25">
      <c r="A25701" s="2">
        <v>25696</v>
      </c>
      <c r="B25701" s="3" t="str">
        <f>"01075891"</f>
        <v>01075891</v>
      </c>
    </row>
    <row r="25702" spans="1:2" x14ac:dyDescent="0.25">
      <c r="A25702" s="2">
        <v>25697</v>
      </c>
      <c r="B25702" s="3" t="str">
        <f>"01075901"</f>
        <v>01075901</v>
      </c>
    </row>
    <row r="25703" spans="1:2" x14ac:dyDescent="0.25">
      <c r="A25703" s="2">
        <v>25698</v>
      </c>
      <c r="B25703" s="3" t="str">
        <f>"01075904"</f>
        <v>01075904</v>
      </c>
    </row>
    <row r="25704" spans="1:2" x14ac:dyDescent="0.25">
      <c r="A25704" s="2">
        <v>25699</v>
      </c>
      <c r="B25704" s="3" t="str">
        <f>"01075908"</f>
        <v>01075908</v>
      </c>
    </row>
    <row r="25705" spans="1:2" x14ac:dyDescent="0.25">
      <c r="A25705" s="2">
        <v>25700</v>
      </c>
      <c r="B25705" s="3" t="str">
        <f>"01075916"</f>
        <v>01075916</v>
      </c>
    </row>
    <row r="25706" spans="1:2" x14ac:dyDescent="0.25">
      <c r="A25706" s="2">
        <v>25701</v>
      </c>
      <c r="B25706" s="3" t="str">
        <f>"01075919"</f>
        <v>01075919</v>
      </c>
    </row>
    <row r="25707" spans="1:2" x14ac:dyDescent="0.25">
      <c r="A25707" s="2">
        <v>25702</v>
      </c>
      <c r="B25707" s="3" t="str">
        <f>"01075924"</f>
        <v>01075924</v>
      </c>
    </row>
    <row r="25708" spans="1:2" x14ac:dyDescent="0.25">
      <c r="A25708" s="2">
        <v>25703</v>
      </c>
      <c r="B25708" s="3" t="str">
        <f>"01075925"</f>
        <v>01075925</v>
      </c>
    </row>
    <row r="25709" spans="1:2" x14ac:dyDescent="0.25">
      <c r="A25709" s="2">
        <v>25704</v>
      </c>
      <c r="B25709" s="3" t="str">
        <f>"01075926"</f>
        <v>01075926</v>
      </c>
    </row>
    <row r="25710" spans="1:2" x14ac:dyDescent="0.25">
      <c r="A25710" s="2">
        <v>25705</v>
      </c>
      <c r="B25710" s="3" t="str">
        <f>"01075930"</f>
        <v>01075930</v>
      </c>
    </row>
    <row r="25711" spans="1:2" x14ac:dyDescent="0.25">
      <c r="A25711" s="2">
        <v>25706</v>
      </c>
      <c r="B25711" s="3" t="str">
        <f>"01075937"</f>
        <v>01075937</v>
      </c>
    </row>
    <row r="25712" spans="1:2" x14ac:dyDescent="0.25">
      <c r="A25712" s="2">
        <v>25707</v>
      </c>
      <c r="B25712" s="3" t="str">
        <f>"01075938"</f>
        <v>01075938</v>
      </c>
    </row>
    <row r="25713" spans="1:2" x14ac:dyDescent="0.25">
      <c r="A25713" s="2">
        <v>25708</v>
      </c>
      <c r="B25713" s="3" t="str">
        <f>"01075941"</f>
        <v>01075941</v>
      </c>
    </row>
    <row r="25714" spans="1:2" x14ac:dyDescent="0.25">
      <c r="A25714" s="2">
        <v>25709</v>
      </c>
      <c r="B25714" s="3" t="str">
        <f>"01075945"</f>
        <v>01075945</v>
      </c>
    </row>
    <row r="25715" spans="1:2" x14ac:dyDescent="0.25">
      <c r="A25715" s="2">
        <v>25710</v>
      </c>
      <c r="B25715" s="3" t="str">
        <f>"01075951"</f>
        <v>01075951</v>
      </c>
    </row>
    <row r="25716" spans="1:2" x14ac:dyDescent="0.25">
      <c r="A25716" s="2">
        <v>25711</v>
      </c>
      <c r="B25716" s="3" t="str">
        <f>"01075954"</f>
        <v>01075954</v>
      </c>
    </row>
    <row r="25717" spans="1:2" x14ac:dyDescent="0.25">
      <c r="A25717" s="2">
        <v>25712</v>
      </c>
      <c r="B25717" s="3" t="str">
        <f>"01075955"</f>
        <v>01075955</v>
      </c>
    </row>
    <row r="25718" spans="1:2" x14ac:dyDescent="0.25">
      <c r="A25718" s="2">
        <v>25713</v>
      </c>
      <c r="B25718" s="3" t="str">
        <f>"01075958"</f>
        <v>01075958</v>
      </c>
    </row>
    <row r="25719" spans="1:2" x14ac:dyDescent="0.25">
      <c r="A25719" s="2">
        <v>25714</v>
      </c>
      <c r="B25719" s="3" t="str">
        <f>"01075959"</f>
        <v>01075959</v>
      </c>
    </row>
    <row r="25720" spans="1:2" x14ac:dyDescent="0.25">
      <c r="A25720" s="2">
        <v>25715</v>
      </c>
      <c r="B25720" s="3" t="str">
        <f>"01075967"</f>
        <v>01075967</v>
      </c>
    </row>
    <row r="25721" spans="1:2" x14ac:dyDescent="0.25">
      <c r="A25721" s="2">
        <v>25716</v>
      </c>
      <c r="B25721" s="3" t="str">
        <f>"01075972"</f>
        <v>01075972</v>
      </c>
    </row>
    <row r="25722" spans="1:2" x14ac:dyDescent="0.25">
      <c r="A25722" s="2">
        <v>25717</v>
      </c>
      <c r="B25722" s="3" t="str">
        <f>"01075975"</f>
        <v>01075975</v>
      </c>
    </row>
    <row r="25723" spans="1:2" x14ac:dyDescent="0.25">
      <c r="A25723" s="2">
        <v>25718</v>
      </c>
      <c r="B25723" s="3" t="str">
        <f>"01075978"</f>
        <v>01075978</v>
      </c>
    </row>
    <row r="25724" spans="1:2" x14ac:dyDescent="0.25">
      <c r="A25724" s="2">
        <v>25719</v>
      </c>
      <c r="B25724" s="3" t="str">
        <f>"01075979"</f>
        <v>01075979</v>
      </c>
    </row>
    <row r="25725" spans="1:2" x14ac:dyDescent="0.25">
      <c r="A25725" s="2">
        <v>25720</v>
      </c>
      <c r="B25725" s="3" t="str">
        <f>"01075982"</f>
        <v>01075982</v>
      </c>
    </row>
    <row r="25726" spans="1:2" x14ac:dyDescent="0.25">
      <c r="A25726" s="2">
        <v>25721</v>
      </c>
      <c r="B25726" s="3" t="str">
        <f>"01075984"</f>
        <v>01075984</v>
      </c>
    </row>
    <row r="25727" spans="1:2" x14ac:dyDescent="0.25">
      <c r="A25727" s="2">
        <v>25722</v>
      </c>
      <c r="B25727" s="3" t="str">
        <f>"01075995"</f>
        <v>01075995</v>
      </c>
    </row>
    <row r="25728" spans="1:2" x14ac:dyDescent="0.25">
      <c r="A25728" s="2">
        <v>25723</v>
      </c>
      <c r="B25728" s="3" t="str">
        <f>"01075997"</f>
        <v>01075997</v>
      </c>
    </row>
    <row r="25729" spans="1:2" x14ac:dyDescent="0.25">
      <c r="A25729" s="2">
        <v>25724</v>
      </c>
      <c r="B25729" s="3" t="str">
        <f>"01076000"</f>
        <v>01076000</v>
      </c>
    </row>
    <row r="25730" spans="1:2" x14ac:dyDescent="0.25">
      <c r="A25730" s="2">
        <v>25725</v>
      </c>
      <c r="B25730" s="3" t="str">
        <f>"01076001"</f>
        <v>01076001</v>
      </c>
    </row>
    <row r="25731" spans="1:2" x14ac:dyDescent="0.25">
      <c r="A25731" s="2">
        <v>25726</v>
      </c>
      <c r="B25731" s="3" t="str">
        <f>"01076003"</f>
        <v>01076003</v>
      </c>
    </row>
    <row r="25732" spans="1:2" x14ac:dyDescent="0.25">
      <c r="A25732" s="2">
        <v>25727</v>
      </c>
      <c r="B25732" s="3" t="str">
        <f>"01076007"</f>
        <v>01076007</v>
      </c>
    </row>
    <row r="25733" spans="1:2" x14ac:dyDescent="0.25">
      <c r="A25733" s="2">
        <v>25728</v>
      </c>
      <c r="B25733" s="3" t="str">
        <f>"01076011"</f>
        <v>01076011</v>
      </c>
    </row>
    <row r="25734" spans="1:2" x14ac:dyDescent="0.25">
      <c r="A25734" s="2">
        <v>25729</v>
      </c>
      <c r="B25734" s="3" t="str">
        <f>"01076012"</f>
        <v>01076012</v>
      </c>
    </row>
    <row r="25735" spans="1:2" x14ac:dyDescent="0.25">
      <c r="A25735" s="2">
        <v>25730</v>
      </c>
      <c r="B25735" s="3" t="str">
        <f>"01076013"</f>
        <v>01076013</v>
      </c>
    </row>
    <row r="25736" spans="1:2" x14ac:dyDescent="0.25">
      <c r="A25736" s="2">
        <v>25731</v>
      </c>
      <c r="B25736" s="3" t="str">
        <f>"01076025"</f>
        <v>01076025</v>
      </c>
    </row>
    <row r="25737" spans="1:2" x14ac:dyDescent="0.25">
      <c r="A25737" s="2">
        <v>25732</v>
      </c>
      <c r="B25737" s="3" t="str">
        <f>"01076026"</f>
        <v>01076026</v>
      </c>
    </row>
    <row r="25738" spans="1:2" x14ac:dyDescent="0.25">
      <c r="A25738" s="2">
        <v>25733</v>
      </c>
      <c r="B25738" s="3" t="str">
        <f>"01076032"</f>
        <v>01076032</v>
      </c>
    </row>
    <row r="25739" spans="1:2" x14ac:dyDescent="0.25">
      <c r="A25739" s="2">
        <v>25734</v>
      </c>
      <c r="B25739" s="3" t="str">
        <f>"01076034"</f>
        <v>01076034</v>
      </c>
    </row>
    <row r="25740" spans="1:2" x14ac:dyDescent="0.25">
      <c r="A25740" s="2">
        <v>25735</v>
      </c>
      <c r="B25740" s="3" t="str">
        <f>"01076039"</f>
        <v>01076039</v>
      </c>
    </row>
    <row r="25741" spans="1:2" x14ac:dyDescent="0.25">
      <c r="A25741" s="2">
        <v>25736</v>
      </c>
      <c r="B25741" s="3" t="str">
        <f>"01076041"</f>
        <v>01076041</v>
      </c>
    </row>
    <row r="25742" spans="1:2" x14ac:dyDescent="0.25">
      <c r="A25742" s="2">
        <v>25737</v>
      </c>
      <c r="B25742" s="3" t="str">
        <f>"01076044"</f>
        <v>01076044</v>
      </c>
    </row>
    <row r="25743" spans="1:2" x14ac:dyDescent="0.25">
      <c r="A25743" s="2">
        <v>25738</v>
      </c>
      <c r="B25743" s="3" t="str">
        <f>"01076045"</f>
        <v>01076045</v>
      </c>
    </row>
    <row r="25744" spans="1:2" x14ac:dyDescent="0.25">
      <c r="A25744" s="2">
        <v>25739</v>
      </c>
      <c r="B25744" s="3" t="str">
        <f>"01076048"</f>
        <v>01076048</v>
      </c>
    </row>
    <row r="25745" spans="1:2" x14ac:dyDescent="0.25">
      <c r="A25745" s="2">
        <v>25740</v>
      </c>
      <c r="B25745" s="3" t="str">
        <f>"01076054"</f>
        <v>01076054</v>
      </c>
    </row>
    <row r="25746" spans="1:2" x14ac:dyDescent="0.25">
      <c r="A25746" s="2">
        <v>25741</v>
      </c>
      <c r="B25746" s="3" t="str">
        <f>"01076055"</f>
        <v>01076055</v>
      </c>
    </row>
    <row r="25747" spans="1:2" x14ac:dyDescent="0.25">
      <c r="A25747" s="2">
        <v>25742</v>
      </c>
      <c r="B25747" s="3" t="str">
        <f>"01076056"</f>
        <v>01076056</v>
      </c>
    </row>
    <row r="25748" spans="1:2" x14ac:dyDescent="0.25">
      <c r="A25748" s="2">
        <v>25743</v>
      </c>
      <c r="B25748" s="3" t="str">
        <f>"01076061"</f>
        <v>01076061</v>
      </c>
    </row>
    <row r="25749" spans="1:2" x14ac:dyDescent="0.25">
      <c r="A25749" s="2">
        <v>25744</v>
      </c>
      <c r="B25749" s="3" t="str">
        <f>"01076067"</f>
        <v>01076067</v>
      </c>
    </row>
    <row r="25750" spans="1:2" x14ac:dyDescent="0.25">
      <c r="A25750" s="2">
        <v>25745</v>
      </c>
      <c r="B25750" s="3" t="str">
        <f>"01076070"</f>
        <v>01076070</v>
      </c>
    </row>
    <row r="25751" spans="1:2" x14ac:dyDescent="0.25">
      <c r="A25751" s="2">
        <v>25746</v>
      </c>
      <c r="B25751" s="3" t="str">
        <f>"01076072"</f>
        <v>01076072</v>
      </c>
    </row>
    <row r="25752" spans="1:2" x14ac:dyDescent="0.25">
      <c r="A25752" s="2">
        <v>25747</v>
      </c>
      <c r="B25752" s="3" t="str">
        <f>"01076073"</f>
        <v>01076073</v>
      </c>
    </row>
    <row r="25753" spans="1:2" x14ac:dyDescent="0.25">
      <c r="A25753" s="2">
        <v>25748</v>
      </c>
      <c r="B25753" s="3" t="str">
        <f>"01076080"</f>
        <v>01076080</v>
      </c>
    </row>
    <row r="25754" spans="1:2" x14ac:dyDescent="0.25">
      <c r="A25754" s="2">
        <v>25749</v>
      </c>
      <c r="B25754" s="3" t="str">
        <f>"01076086"</f>
        <v>01076086</v>
      </c>
    </row>
    <row r="25755" spans="1:2" x14ac:dyDescent="0.25">
      <c r="A25755" s="2">
        <v>25750</v>
      </c>
      <c r="B25755" s="3" t="str">
        <f>"01076088"</f>
        <v>01076088</v>
      </c>
    </row>
    <row r="25756" spans="1:2" x14ac:dyDescent="0.25">
      <c r="A25756" s="2">
        <v>25751</v>
      </c>
      <c r="B25756" s="3" t="str">
        <f>"01076091"</f>
        <v>01076091</v>
      </c>
    </row>
    <row r="25757" spans="1:2" x14ac:dyDescent="0.25">
      <c r="A25757" s="2">
        <v>25752</v>
      </c>
      <c r="B25757" s="3" t="str">
        <f>"01076097"</f>
        <v>01076097</v>
      </c>
    </row>
    <row r="25758" spans="1:2" x14ac:dyDescent="0.25">
      <c r="A25758" s="2">
        <v>25753</v>
      </c>
      <c r="B25758" s="3" t="str">
        <f>"01076100"</f>
        <v>01076100</v>
      </c>
    </row>
    <row r="25759" spans="1:2" x14ac:dyDescent="0.25">
      <c r="A25759" s="2">
        <v>25754</v>
      </c>
      <c r="B25759" s="3" t="str">
        <f>"01076101"</f>
        <v>01076101</v>
      </c>
    </row>
    <row r="25760" spans="1:2" x14ac:dyDescent="0.25">
      <c r="A25760" s="2">
        <v>25755</v>
      </c>
      <c r="B25760" s="3" t="str">
        <f>"01076106"</f>
        <v>01076106</v>
      </c>
    </row>
    <row r="25761" spans="1:2" x14ac:dyDescent="0.25">
      <c r="A25761" s="2">
        <v>25756</v>
      </c>
      <c r="B25761" s="3" t="str">
        <f>"01076107"</f>
        <v>01076107</v>
      </c>
    </row>
    <row r="25762" spans="1:2" x14ac:dyDescent="0.25">
      <c r="A25762" s="2">
        <v>25757</v>
      </c>
      <c r="B25762" s="3" t="str">
        <f>"01076111"</f>
        <v>01076111</v>
      </c>
    </row>
    <row r="25763" spans="1:2" x14ac:dyDescent="0.25">
      <c r="A25763" s="2">
        <v>25758</v>
      </c>
      <c r="B25763" s="3" t="str">
        <f>"01076114"</f>
        <v>01076114</v>
      </c>
    </row>
    <row r="25764" spans="1:2" x14ac:dyDescent="0.25">
      <c r="A25764" s="2">
        <v>25759</v>
      </c>
      <c r="B25764" s="3" t="str">
        <f>"01076115"</f>
        <v>01076115</v>
      </c>
    </row>
    <row r="25765" spans="1:2" x14ac:dyDescent="0.25">
      <c r="A25765" s="2">
        <v>25760</v>
      </c>
      <c r="B25765" s="3" t="str">
        <f>"01076118"</f>
        <v>01076118</v>
      </c>
    </row>
    <row r="25766" spans="1:2" x14ac:dyDescent="0.25">
      <c r="A25766" s="2">
        <v>25761</v>
      </c>
      <c r="B25766" s="3" t="str">
        <f>"01076121"</f>
        <v>01076121</v>
      </c>
    </row>
    <row r="25767" spans="1:2" x14ac:dyDescent="0.25">
      <c r="A25767" s="2">
        <v>25762</v>
      </c>
      <c r="B25767" s="3" t="str">
        <f>"01076128"</f>
        <v>01076128</v>
      </c>
    </row>
    <row r="25768" spans="1:2" x14ac:dyDescent="0.25">
      <c r="A25768" s="2">
        <v>25763</v>
      </c>
      <c r="B25768" s="3" t="str">
        <f>"01076131"</f>
        <v>01076131</v>
      </c>
    </row>
    <row r="25769" spans="1:2" x14ac:dyDescent="0.25">
      <c r="A25769" s="2">
        <v>25764</v>
      </c>
      <c r="B25769" s="3" t="str">
        <f>"01076139"</f>
        <v>01076139</v>
      </c>
    </row>
    <row r="25770" spans="1:2" x14ac:dyDescent="0.25">
      <c r="A25770" s="2">
        <v>25765</v>
      </c>
      <c r="B25770" s="3" t="str">
        <f>"01076140"</f>
        <v>01076140</v>
      </c>
    </row>
    <row r="25771" spans="1:2" x14ac:dyDescent="0.25">
      <c r="A25771" s="2">
        <v>25766</v>
      </c>
      <c r="B25771" s="3" t="str">
        <f>"01076144"</f>
        <v>01076144</v>
      </c>
    </row>
    <row r="25772" spans="1:2" x14ac:dyDescent="0.25">
      <c r="A25772" s="2">
        <v>25767</v>
      </c>
      <c r="B25772" s="3" t="str">
        <f>"01076151"</f>
        <v>01076151</v>
      </c>
    </row>
    <row r="25773" spans="1:2" x14ac:dyDescent="0.25">
      <c r="A25773" s="2">
        <v>25768</v>
      </c>
      <c r="B25773" s="3" t="str">
        <f>"01076153"</f>
        <v>01076153</v>
      </c>
    </row>
    <row r="25774" spans="1:2" x14ac:dyDescent="0.25">
      <c r="A25774" s="2">
        <v>25769</v>
      </c>
      <c r="B25774" s="3" t="str">
        <f>"01076154"</f>
        <v>01076154</v>
      </c>
    </row>
    <row r="25775" spans="1:2" x14ac:dyDescent="0.25">
      <c r="A25775" s="2">
        <v>25770</v>
      </c>
      <c r="B25775" s="3" t="str">
        <f>"01076155"</f>
        <v>01076155</v>
      </c>
    </row>
    <row r="25776" spans="1:2" x14ac:dyDescent="0.25">
      <c r="A25776" s="2">
        <v>25771</v>
      </c>
      <c r="B25776" s="3" t="str">
        <f>"01076160"</f>
        <v>01076160</v>
      </c>
    </row>
    <row r="25777" spans="1:2" x14ac:dyDescent="0.25">
      <c r="A25777" s="2">
        <v>25772</v>
      </c>
      <c r="B25777" s="3" t="str">
        <f>"01076172"</f>
        <v>01076172</v>
      </c>
    </row>
    <row r="25778" spans="1:2" x14ac:dyDescent="0.25">
      <c r="A25778" s="2">
        <v>25773</v>
      </c>
      <c r="B25778" s="3" t="str">
        <f>"01076183"</f>
        <v>01076183</v>
      </c>
    </row>
    <row r="25779" spans="1:2" x14ac:dyDescent="0.25">
      <c r="A25779" s="2">
        <v>25774</v>
      </c>
      <c r="B25779" s="3" t="str">
        <f>"01076184"</f>
        <v>01076184</v>
      </c>
    </row>
    <row r="25780" spans="1:2" x14ac:dyDescent="0.25">
      <c r="A25780" s="2">
        <v>25775</v>
      </c>
      <c r="B25780" s="3" t="str">
        <f>"01076188"</f>
        <v>01076188</v>
      </c>
    </row>
    <row r="25781" spans="1:2" x14ac:dyDescent="0.25">
      <c r="A25781" s="2">
        <v>25776</v>
      </c>
      <c r="B25781" s="3" t="str">
        <f>"01076191"</f>
        <v>01076191</v>
      </c>
    </row>
    <row r="25782" spans="1:2" x14ac:dyDescent="0.25">
      <c r="A25782" s="2">
        <v>25777</v>
      </c>
      <c r="B25782" s="3" t="str">
        <f>"01076192"</f>
        <v>01076192</v>
      </c>
    </row>
    <row r="25783" spans="1:2" x14ac:dyDescent="0.25">
      <c r="A25783" s="2">
        <v>25778</v>
      </c>
      <c r="B25783" s="3" t="str">
        <f>"01076195"</f>
        <v>01076195</v>
      </c>
    </row>
    <row r="25784" spans="1:2" x14ac:dyDescent="0.25">
      <c r="A25784" s="2">
        <v>25779</v>
      </c>
      <c r="B25784" s="3" t="str">
        <f>"01076200"</f>
        <v>01076200</v>
      </c>
    </row>
    <row r="25785" spans="1:2" x14ac:dyDescent="0.25">
      <c r="A25785" s="2">
        <v>25780</v>
      </c>
      <c r="B25785" s="3" t="str">
        <f>"01076204"</f>
        <v>01076204</v>
      </c>
    </row>
    <row r="25786" spans="1:2" x14ac:dyDescent="0.25">
      <c r="A25786" s="2">
        <v>25781</v>
      </c>
      <c r="B25786" s="3" t="str">
        <f>"01076211"</f>
        <v>01076211</v>
      </c>
    </row>
    <row r="25787" spans="1:2" x14ac:dyDescent="0.25">
      <c r="A25787" s="2">
        <v>25782</v>
      </c>
      <c r="B25787" s="3" t="str">
        <f>"01076218"</f>
        <v>01076218</v>
      </c>
    </row>
    <row r="25788" spans="1:2" x14ac:dyDescent="0.25">
      <c r="A25788" s="2">
        <v>25783</v>
      </c>
      <c r="B25788" s="3" t="str">
        <f>"01076220"</f>
        <v>01076220</v>
      </c>
    </row>
    <row r="25789" spans="1:2" x14ac:dyDescent="0.25">
      <c r="A25789" s="2">
        <v>25784</v>
      </c>
      <c r="B25789" s="3" t="str">
        <f>"01076225"</f>
        <v>01076225</v>
      </c>
    </row>
    <row r="25790" spans="1:2" x14ac:dyDescent="0.25">
      <c r="A25790" s="2">
        <v>25785</v>
      </c>
      <c r="B25790" s="3" t="str">
        <f>"01076227"</f>
        <v>01076227</v>
      </c>
    </row>
    <row r="25791" spans="1:2" x14ac:dyDescent="0.25">
      <c r="A25791" s="2">
        <v>25786</v>
      </c>
      <c r="B25791" s="3" t="str">
        <f>"01076236"</f>
        <v>01076236</v>
      </c>
    </row>
    <row r="25792" spans="1:2" x14ac:dyDescent="0.25">
      <c r="A25792" s="2">
        <v>25787</v>
      </c>
      <c r="B25792" s="3" t="str">
        <f>"01076239"</f>
        <v>01076239</v>
      </c>
    </row>
    <row r="25793" spans="1:2" x14ac:dyDescent="0.25">
      <c r="A25793" s="2">
        <v>25788</v>
      </c>
      <c r="B25793" s="3" t="str">
        <f>"01076243"</f>
        <v>01076243</v>
      </c>
    </row>
    <row r="25794" spans="1:2" x14ac:dyDescent="0.25">
      <c r="A25794" s="2">
        <v>25789</v>
      </c>
      <c r="B25794" s="3" t="str">
        <f>"01076253"</f>
        <v>01076253</v>
      </c>
    </row>
    <row r="25795" spans="1:2" x14ac:dyDescent="0.25">
      <c r="A25795" s="2">
        <v>25790</v>
      </c>
      <c r="B25795" s="3" t="str">
        <f>"01076256"</f>
        <v>01076256</v>
      </c>
    </row>
    <row r="25796" spans="1:2" x14ac:dyDescent="0.25">
      <c r="A25796" s="2">
        <v>25791</v>
      </c>
      <c r="B25796" s="3" t="str">
        <f>"01076257"</f>
        <v>01076257</v>
      </c>
    </row>
    <row r="25797" spans="1:2" x14ac:dyDescent="0.25">
      <c r="A25797" s="2">
        <v>25792</v>
      </c>
      <c r="B25797" s="3" t="str">
        <f>"01076258"</f>
        <v>01076258</v>
      </c>
    </row>
    <row r="25798" spans="1:2" x14ac:dyDescent="0.25">
      <c r="A25798" s="2">
        <v>25793</v>
      </c>
      <c r="B25798" s="3" t="str">
        <f>"01076265"</f>
        <v>01076265</v>
      </c>
    </row>
    <row r="25799" spans="1:2" x14ac:dyDescent="0.25">
      <c r="A25799" s="2">
        <v>25794</v>
      </c>
      <c r="B25799" s="3" t="str">
        <f>"01076268"</f>
        <v>01076268</v>
      </c>
    </row>
    <row r="25800" spans="1:2" x14ac:dyDescent="0.25">
      <c r="A25800" s="2">
        <v>25795</v>
      </c>
      <c r="B25800" s="3" t="str">
        <f>"01076276"</f>
        <v>01076276</v>
      </c>
    </row>
    <row r="25801" spans="1:2" x14ac:dyDescent="0.25">
      <c r="A25801" s="2">
        <v>25796</v>
      </c>
      <c r="B25801" s="3" t="str">
        <f>"01076278"</f>
        <v>01076278</v>
      </c>
    </row>
    <row r="25802" spans="1:2" x14ac:dyDescent="0.25">
      <c r="A25802" s="2">
        <v>25797</v>
      </c>
      <c r="B25802" s="3" t="str">
        <f>"01076281"</f>
        <v>01076281</v>
      </c>
    </row>
    <row r="25803" spans="1:2" x14ac:dyDescent="0.25">
      <c r="A25803" s="2">
        <v>25798</v>
      </c>
      <c r="B25803" s="3" t="str">
        <f>"01076285"</f>
        <v>01076285</v>
      </c>
    </row>
    <row r="25804" spans="1:2" x14ac:dyDescent="0.25">
      <c r="A25804" s="2">
        <v>25799</v>
      </c>
      <c r="B25804" s="3" t="str">
        <f>"01076288"</f>
        <v>01076288</v>
      </c>
    </row>
    <row r="25805" spans="1:2" x14ac:dyDescent="0.25">
      <c r="A25805" s="2">
        <v>25800</v>
      </c>
      <c r="B25805" s="3" t="str">
        <f>"01076297"</f>
        <v>01076297</v>
      </c>
    </row>
    <row r="25806" spans="1:2" x14ac:dyDescent="0.25">
      <c r="A25806" s="2">
        <v>25801</v>
      </c>
      <c r="B25806" s="3" t="str">
        <f>"01076299"</f>
        <v>01076299</v>
      </c>
    </row>
    <row r="25807" spans="1:2" x14ac:dyDescent="0.25">
      <c r="A25807" s="2">
        <v>25802</v>
      </c>
      <c r="B25807" s="3" t="str">
        <f>"01076300"</f>
        <v>01076300</v>
      </c>
    </row>
    <row r="25808" spans="1:2" x14ac:dyDescent="0.25">
      <c r="A25808" s="2">
        <v>25803</v>
      </c>
      <c r="B25808" s="3" t="str">
        <f>"01076305"</f>
        <v>01076305</v>
      </c>
    </row>
    <row r="25809" spans="1:2" x14ac:dyDescent="0.25">
      <c r="A25809" s="2">
        <v>25804</v>
      </c>
      <c r="B25809" s="3" t="str">
        <f>"01076309"</f>
        <v>01076309</v>
      </c>
    </row>
    <row r="25810" spans="1:2" x14ac:dyDescent="0.25">
      <c r="A25810" s="2">
        <v>25805</v>
      </c>
      <c r="B25810" s="3" t="str">
        <f>"01076310"</f>
        <v>01076310</v>
      </c>
    </row>
    <row r="25811" spans="1:2" x14ac:dyDescent="0.25">
      <c r="A25811" s="2">
        <v>25806</v>
      </c>
      <c r="B25811" s="3" t="str">
        <f>"01076313"</f>
        <v>01076313</v>
      </c>
    </row>
    <row r="25812" spans="1:2" x14ac:dyDescent="0.25">
      <c r="A25812" s="2">
        <v>25807</v>
      </c>
      <c r="B25812" s="3" t="str">
        <f>"01076321"</f>
        <v>01076321</v>
      </c>
    </row>
    <row r="25813" spans="1:2" x14ac:dyDescent="0.25">
      <c r="A25813" s="2">
        <v>25808</v>
      </c>
      <c r="B25813" s="3" t="str">
        <f>"01076322"</f>
        <v>01076322</v>
      </c>
    </row>
    <row r="25814" spans="1:2" x14ac:dyDescent="0.25">
      <c r="A25814" s="2">
        <v>25809</v>
      </c>
      <c r="B25814" s="3" t="str">
        <f>"01076323"</f>
        <v>01076323</v>
      </c>
    </row>
    <row r="25815" spans="1:2" x14ac:dyDescent="0.25">
      <c r="A25815" s="2">
        <v>25810</v>
      </c>
      <c r="B25815" s="3" t="str">
        <f>"01076327"</f>
        <v>01076327</v>
      </c>
    </row>
    <row r="25816" spans="1:2" x14ac:dyDescent="0.25">
      <c r="A25816" s="2">
        <v>25811</v>
      </c>
      <c r="B25816" s="3" t="str">
        <f>"01076328"</f>
        <v>01076328</v>
      </c>
    </row>
    <row r="25817" spans="1:2" x14ac:dyDescent="0.25">
      <c r="A25817" s="2">
        <v>25812</v>
      </c>
      <c r="B25817" s="3" t="str">
        <f>"01076329"</f>
        <v>01076329</v>
      </c>
    </row>
    <row r="25818" spans="1:2" x14ac:dyDescent="0.25">
      <c r="A25818" s="2">
        <v>25813</v>
      </c>
      <c r="B25818" s="3" t="str">
        <f>"01076332"</f>
        <v>01076332</v>
      </c>
    </row>
    <row r="25819" spans="1:2" x14ac:dyDescent="0.25">
      <c r="A25819" s="2">
        <v>25814</v>
      </c>
      <c r="B25819" s="3" t="str">
        <f>"01076341"</f>
        <v>01076341</v>
      </c>
    </row>
    <row r="25820" spans="1:2" x14ac:dyDescent="0.25">
      <c r="A25820" s="2">
        <v>25815</v>
      </c>
      <c r="B25820" s="3" t="str">
        <f>"01076344"</f>
        <v>01076344</v>
      </c>
    </row>
    <row r="25821" spans="1:2" x14ac:dyDescent="0.25">
      <c r="A25821" s="2">
        <v>25816</v>
      </c>
      <c r="B25821" s="3" t="str">
        <f>"01076345"</f>
        <v>01076345</v>
      </c>
    </row>
    <row r="25822" spans="1:2" x14ac:dyDescent="0.25">
      <c r="A25822" s="2">
        <v>25817</v>
      </c>
      <c r="B25822" s="3" t="str">
        <f>"01076346"</f>
        <v>01076346</v>
      </c>
    </row>
    <row r="25823" spans="1:2" x14ac:dyDescent="0.25">
      <c r="A25823" s="2">
        <v>25818</v>
      </c>
      <c r="B25823" s="3" t="str">
        <f>"01076349"</f>
        <v>01076349</v>
      </c>
    </row>
    <row r="25824" spans="1:2" x14ac:dyDescent="0.25">
      <c r="A25824" s="2">
        <v>25819</v>
      </c>
      <c r="B25824" s="3" t="str">
        <f>"01076350"</f>
        <v>01076350</v>
      </c>
    </row>
    <row r="25825" spans="1:2" x14ac:dyDescent="0.25">
      <c r="A25825" s="2">
        <v>25820</v>
      </c>
      <c r="B25825" s="3" t="str">
        <f>"01076353"</f>
        <v>01076353</v>
      </c>
    </row>
    <row r="25826" spans="1:2" x14ac:dyDescent="0.25">
      <c r="A25826" s="2">
        <v>25821</v>
      </c>
      <c r="B25826" s="3" t="str">
        <f>"01076358"</f>
        <v>01076358</v>
      </c>
    </row>
    <row r="25827" spans="1:2" x14ac:dyDescent="0.25">
      <c r="A25827" s="2">
        <v>25822</v>
      </c>
      <c r="B25827" s="3" t="str">
        <f>"01076361"</f>
        <v>01076361</v>
      </c>
    </row>
    <row r="25828" spans="1:2" x14ac:dyDescent="0.25">
      <c r="A25828" s="2">
        <v>25823</v>
      </c>
      <c r="B25828" s="3" t="str">
        <f>"01076362"</f>
        <v>01076362</v>
      </c>
    </row>
    <row r="25829" spans="1:2" x14ac:dyDescent="0.25">
      <c r="A25829" s="2">
        <v>25824</v>
      </c>
      <c r="B25829" s="3" t="str">
        <f>"01076366"</f>
        <v>01076366</v>
      </c>
    </row>
    <row r="25830" spans="1:2" x14ac:dyDescent="0.25">
      <c r="A25830" s="2">
        <v>25825</v>
      </c>
      <c r="B25830" s="3" t="str">
        <f>"01076367"</f>
        <v>01076367</v>
      </c>
    </row>
    <row r="25831" spans="1:2" x14ac:dyDescent="0.25">
      <c r="A25831" s="2">
        <v>25826</v>
      </c>
      <c r="B25831" s="3" t="str">
        <f>"01076369"</f>
        <v>01076369</v>
      </c>
    </row>
    <row r="25832" spans="1:2" x14ac:dyDescent="0.25">
      <c r="A25832" s="2">
        <v>25827</v>
      </c>
      <c r="B25832" s="3" t="str">
        <f>"01076381"</f>
        <v>01076381</v>
      </c>
    </row>
    <row r="25833" spans="1:2" x14ac:dyDescent="0.25">
      <c r="A25833" s="2">
        <v>25828</v>
      </c>
      <c r="B25833" s="3" t="str">
        <f>"01076383"</f>
        <v>01076383</v>
      </c>
    </row>
    <row r="25834" spans="1:2" x14ac:dyDescent="0.25">
      <c r="A25834" s="2">
        <v>25829</v>
      </c>
      <c r="B25834" s="3" t="str">
        <f>"01076391"</f>
        <v>01076391</v>
      </c>
    </row>
    <row r="25835" spans="1:2" x14ac:dyDescent="0.25">
      <c r="A25835" s="2">
        <v>25830</v>
      </c>
      <c r="B25835" s="3" t="str">
        <f>"01076393"</f>
        <v>01076393</v>
      </c>
    </row>
    <row r="25836" spans="1:2" x14ac:dyDescent="0.25">
      <c r="A25836" s="2">
        <v>25831</v>
      </c>
      <c r="B25836" s="3" t="str">
        <f>"01076394"</f>
        <v>01076394</v>
      </c>
    </row>
    <row r="25837" spans="1:2" x14ac:dyDescent="0.25">
      <c r="A25837" s="2">
        <v>25832</v>
      </c>
      <c r="B25837" s="3" t="str">
        <f>"01076398"</f>
        <v>01076398</v>
      </c>
    </row>
    <row r="25838" spans="1:2" x14ac:dyDescent="0.25">
      <c r="A25838" s="2">
        <v>25833</v>
      </c>
      <c r="B25838" s="3" t="str">
        <f>"01076401"</f>
        <v>01076401</v>
      </c>
    </row>
    <row r="25839" spans="1:2" x14ac:dyDescent="0.25">
      <c r="A25839" s="2">
        <v>25834</v>
      </c>
      <c r="B25839" s="3" t="str">
        <f>"01076409"</f>
        <v>01076409</v>
      </c>
    </row>
    <row r="25840" spans="1:2" x14ac:dyDescent="0.25">
      <c r="A25840" s="2">
        <v>25835</v>
      </c>
      <c r="B25840" s="3" t="str">
        <f>"01076416"</f>
        <v>01076416</v>
      </c>
    </row>
    <row r="25841" spans="1:2" x14ac:dyDescent="0.25">
      <c r="A25841" s="2">
        <v>25836</v>
      </c>
      <c r="B25841" s="3" t="str">
        <f>"01076427"</f>
        <v>01076427</v>
      </c>
    </row>
    <row r="25842" spans="1:2" x14ac:dyDescent="0.25">
      <c r="A25842" s="2">
        <v>25837</v>
      </c>
      <c r="B25842" s="3" t="str">
        <f>"01076428"</f>
        <v>01076428</v>
      </c>
    </row>
    <row r="25843" spans="1:2" x14ac:dyDescent="0.25">
      <c r="A25843" s="2">
        <v>25838</v>
      </c>
      <c r="B25843" s="3" t="str">
        <f>"01076435"</f>
        <v>01076435</v>
      </c>
    </row>
    <row r="25844" spans="1:2" x14ac:dyDescent="0.25">
      <c r="A25844" s="2">
        <v>25839</v>
      </c>
      <c r="B25844" s="3" t="str">
        <f>"01076437"</f>
        <v>01076437</v>
      </c>
    </row>
    <row r="25845" spans="1:2" x14ac:dyDescent="0.25">
      <c r="A25845" s="2">
        <v>25840</v>
      </c>
      <c r="B25845" s="3" t="str">
        <f>"01076444"</f>
        <v>01076444</v>
      </c>
    </row>
    <row r="25846" spans="1:2" x14ac:dyDescent="0.25">
      <c r="A25846" s="2">
        <v>25841</v>
      </c>
      <c r="B25846" s="3" t="str">
        <f>"01076445"</f>
        <v>01076445</v>
      </c>
    </row>
    <row r="25847" spans="1:2" x14ac:dyDescent="0.25">
      <c r="A25847" s="2">
        <v>25842</v>
      </c>
      <c r="B25847" s="3" t="str">
        <f>"01076448"</f>
        <v>01076448</v>
      </c>
    </row>
    <row r="25848" spans="1:2" x14ac:dyDescent="0.25">
      <c r="A25848" s="2">
        <v>25843</v>
      </c>
      <c r="B25848" s="3" t="str">
        <f>"01076450"</f>
        <v>01076450</v>
      </c>
    </row>
    <row r="25849" spans="1:2" x14ac:dyDescent="0.25">
      <c r="A25849" s="2">
        <v>25844</v>
      </c>
      <c r="B25849" s="3" t="str">
        <f>"01076453"</f>
        <v>01076453</v>
      </c>
    </row>
    <row r="25850" spans="1:2" x14ac:dyDescent="0.25">
      <c r="A25850" s="2">
        <v>25845</v>
      </c>
      <c r="B25850" s="3" t="str">
        <f>"01076455"</f>
        <v>01076455</v>
      </c>
    </row>
    <row r="25851" spans="1:2" x14ac:dyDescent="0.25">
      <c r="A25851" s="2">
        <v>25846</v>
      </c>
      <c r="B25851" s="3" t="str">
        <f>"01076456"</f>
        <v>01076456</v>
      </c>
    </row>
    <row r="25852" spans="1:2" x14ac:dyDescent="0.25">
      <c r="A25852" s="2">
        <v>25847</v>
      </c>
      <c r="B25852" s="3" t="str">
        <f>"01076461"</f>
        <v>01076461</v>
      </c>
    </row>
    <row r="25853" spans="1:2" x14ac:dyDescent="0.25">
      <c r="A25853" s="2">
        <v>25848</v>
      </c>
      <c r="B25853" s="3" t="str">
        <f>"01076462"</f>
        <v>01076462</v>
      </c>
    </row>
    <row r="25854" spans="1:2" x14ac:dyDescent="0.25">
      <c r="A25854" s="2">
        <v>25849</v>
      </c>
      <c r="B25854" s="3" t="str">
        <f>"01076463"</f>
        <v>01076463</v>
      </c>
    </row>
    <row r="25855" spans="1:2" x14ac:dyDescent="0.25">
      <c r="A25855" s="2">
        <v>25850</v>
      </c>
      <c r="B25855" s="3" t="str">
        <f>"01076467"</f>
        <v>01076467</v>
      </c>
    </row>
    <row r="25856" spans="1:2" x14ac:dyDescent="0.25">
      <c r="A25856" s="2">
        <v>25851</v>
      </c>
      <c r="B25856" s="3" t="str">
        <f>"01076471"</f>
        <v>01076471</v>
      </c>
    </row>
    <row r="25857" spans="1:2" x14ac:dyDescent="0.25">
      <c r="A25857" s="2">
        <v>25852</v>
      </c>
      <c r="B25857" s="3" t="str">
        <f>"01076472"</f>
        <v>01076472</v>
      </c>
    </row>
    <row r="25858" spans="1:2" x14ac:dyDescent="0.25">
      <c r="A25858" s="2">
        <v>25853</v>
      </c>
      <c r="B25858" s="3" t="str">
        <f>"01076473"</f>
        <v>01076473</v>
      </c>
    </row>
    <row r="25859" spans="1:2" x14ac:dyDescent="0.25">
      <c r="A25859" s="2">
        <v>25854</v>
      </c>
      <c r="B25859" s="3" t="str">
        <f>"01076476"</f>
        <v>01076476</v>
      </c>
    </row>
    <row r="25860" spans="1:2" x14ac:dyDescent="0.25">
      <c r="A25860" s="2">
        <v>25855</v>
      </c>
      <c r="B25860" s="3" t="str">
        <f>"01076478"</f>
        <v>01076478</v>
      </c>
    </row>
    <row r="25861" spans="1:2" x14ac:dyDescent="0.25">
      <c r="A25861" s="2">
        <v>25856</v>
      </c>
      <c r="B25861" s="3" t="str">
        <f>"01076479"</f>
        <v>01076479</v>
      </c>
    </row>
    <row r="25862" spans="1:2" x14ac:dyDescent="0.25">
      <c r="A25862" s="2">
        <v>25857</v>
      </c>
      <c r="B25862" s="3" t="str">
        <f>"01076481"</f>
        <v>01076481</v>
      </c>
    </row>
    <row r="25863" spans="1:2" x14ac:dyDescent="0.25">
      <c r="A25863" s="2">
        <v>25858</v>
      </c>
      <c r="B25863" s="3" t="str">
        <f>"01076482"</f>
        <v>01076482</v>
      </c>
    </row>
    <row r="25864" spans="1:2" x14ac:dyDescent="0.25">
      <c r="A25864" s="2">
        <v>25859</v>
      </c>
      <c r="B25864" s="3" t="str">
        <f>"01076484"</f>
        <v>01076484</v>
      </c>
    </row>
    <row r="25865" spans="1:2" x14ac:dyDescent="0.25">
      <c r="A25865" s="2">
        <v>25860</v>
      </c>
      <c r="B25865" s="3" t="str">
        <f>"01076493"</f>
        <v>01076493</v>
      </c>
    </row>
    <row r="25866" spans="1:2" x14ac:dyDescent="0.25">
      <c r="A25866" s="2">
        <v>25861</v>
      </c>
      <c r="B25866" s="3" t="str">
        <f>"01076496"</f>
        <v>01076496</v>
      </c>
    </row>
    <row r="25867" spans="1:2" x14ac:dyDescent="0.25">
      <c r="A25867" s="2">
        <v>25862</v>
      </c>
      <c r="B25867" s="3" t="str">
        <f>"01076498"</f>
        <v>01076498</v>
      </c>
    </row>
    <row r="25868" spans="1:2" x14ac:dyDescent="0.25">
      <c r="A25868" s="2">
        <v>25863</v>
      </c>
      <c r="B25868" s="3" t="str">
        <f>"01076502"</f>
        <v>01076502</v>
      </c>
    </row>
    <row r="25869" spans="1:2" x14ac:dyDescent="0.25">
      <c r="A25869" s="2">
        <v>25864</v>
      </c>
      <c r="B25869" s="3" t="str">
        <f>"01076506"</f>
        <v>01076506</v>
      </c>
    </row>
    <row r="25870" spans="1:2" x14ac:dyDescent="0.25">
      <c r="A25870" s="2">
        <v>25865</v>
      </c>
      <c r="B25870" s="3" t="str">
        <f>"01076512"</f>
        <v>01076512</v>
      </c>
    </row>
    <row r="25871" spans="1:2" x14ac:dyDescent="0.25">
      <c r="A25871" s="2">
        <v>25866</v>
      </c>
      <c r="B25871" s="3" t="str">
        <f>"01076516"</f>
        <v>01076516</v>
      </c>
    </row>
    <row r="25872" spans="1:2" x14ac:dyDescent="0.25">
      <c r="A25872" s="2">
        <v>25867</v>
      </c>
      <c r="B25872" s="3" t="str">
        <f>"01076521"</f>
        <v>01076521</v>
      </c>
    </row>
    <row r="25873" spans="1:2" x14ac:dyDescent="0.25">
      <c r="A25873" s="2">
        <v>25868</v>
      </c>
      <c r="B25873" s="3" t="str">
        <f>"01076531"</f>
        <v>01076531</v>
      </c>
    </row>
    <row r="25874" spans="1:2" x14ac:dyDescent="0.25">
      <c r="A25874" s="2">
        <v>25869</v>
      </c>
      <c r="B25874" s="3" t="str">
        <f>"01076543"</f>
        <v>01076543</v>
      </c>
    </row>
    <row r="25875" spans="1:2" x14ac:dyDescent="0.25">
      <c r="A25875" s="2">
        <v>25870</v>
      </c>
      <c r="B25875" s="3" t="str">
        <f>"01076555"</f>
        <v>01076555</v>
      </c>
    </row>
    <row r="25876" spans="1:2" x14ac:dyDescent="0.25">
      <c r="A25876" s="2">
        <v>25871</v>
      </c>
      <c r="B25876" s="3" t="str">
        <f>"01076559"</f>
        <v>01076559</v>
      </c>
    </row>
    <row r="25877" spans="1:2" x14ac:dyDescent="0.25">
      <c r="A25877" s="2">
        <v>25872</v>
      </c>
      <c r="B25877" s="3" t="str">
        <f>"01076562"</f>
        <v>01076562</v>
      </c>
    </row>
    <row r="25878" spans="1:2" x14ac:dyDescent="0.25">
      <c r="A25878" s="2">
        <v>25873</v>
      </c>
      <c r="B25878" s="3" t="str">
        <f>"01076573"</f>
        <v>01076573</v>
      </c>
    </row>
    <row r="25879" spans="1:2" x14ac:dyDescent="0.25">
      <c r="A25879" s="2">
        <v>25874</v>
      </c>
      <c r="B25879" s="3" t="str">
        <f>"01076583"</f>
        <v>01076583</v>
      </c>
    </row>
    <row r="25880" spans="1:2" x14ac:dyDescent="0.25">
      <c r="A25880" s="2">
        <v>25875</v>
      </c>
      <c r="B25880" s="3" t="str">
        <f>"01076590"</f>
        <v>01076590</v>
      </c>
    </row>
    <row r="25881" spans="1:2" x14ac:dyDescent="0.25">
      <c r="A25881" s="2">
        <v>25876</v>
      </c>
      <c r="B25881" s="3" t="str">
        <f>"01076591"</f>
        <v>01076591</v>
      </c>
    </row>
    <row r="25882" spans="1:2" x14ac:dyDescent="0.25">
      <c r="A25882" s="2">
        <v>25877</v>
      </c>
      <c r="B25882" s="3" t="str">
        <f>"01076599"</f>
        <v>01076599</v>
      </c>
    </row>
    <row r="25883" spans="1:2" x14ac:dyDescent="0.25">
      <c r="A25883" s="2">
        <v>25878</v>
      </c>
      <c r="B25883" s="3" t="str">
        <f>"01076601"</f>
        <v>01076601</v>
      </c>
    </row>
    <row r="25884" spans="1:2" x14ac:dyDescent="0.25">
      <c r="A25884" s="2">
        <v>25879</v>
      </c>
      <c r="B25884" s="3" t="str">
        <f>"01076602"</f>
        <v>01076602</v>
      </c>
    </row>
    <row r="25885" spans="1:2" x14ac:dyDescent="0.25">
      <c r="A25885" s="2">
        <v>25880</v>
      </c>
      <c r="B25885" s="3" t="str">
        <f>"01076606"</f>
        <v>01076606</v>
      </c>
    </row>
    <row r="25886" spans="1:2" x14ac:dyDescent="0.25">
      <c r="A25886" s="2">
        <v>25881</v>
      </c>
      <c r="B25886" s="3" t="str">
        <f>"01076610"</f>
        <v>01076610</v>
      </c>
    </row>
    <row r="25887" spans="1:2" x14ac:dyDescent="0.25">
      <c r="A25887" s="2">
        <v>25882</v>
      </c>
      <c r="B25887" s="3" t="str">
        <f>"01076617"</f>
        <v>01076617</v>
      </c>
    </row>
    <row r="25888" spans="1:2" x14ac:dyDescent="0.25">
      <c r="A25888" s="2">
        <v>25883</v>
      </c>
      <c r="B25888" s="3" t="str">
        <f>"01076620"</f>
        <v>01076620</v>
      </c>
    </row>
    <row r="25889" spans="1:2" x14ac:dyDescent="0.25">
      <c r="A25889" s="2">
        <v>25884</v>
      </c>
      <c r="B25889" s="3" t="str">
        <f>"01076621"</f>
        <v>01076621</v>
      </c>
    </row>
    <row r="25890" spans="1:2" x14ac:dyDescent="0.25">
      <c r="A25890" s="2">
        <v>25885</v>
      </c>
      <c r="B25890" s="3" t="str">
        <f>"01076626"</f>
        <v>01076626</v>
      </c>
    </row>
    <row r="25891" spans="1:2" x14ac:dyDescent="0.25">
      <c r="A25891" s="2">
        <v>25886</v>
      </c>
      <c r="B25891" s="3" t="str">
        <f>"01076630"</f>
        <v>01076630</v>
      </c>
    </row>
    <row r="25892" spans="1:2" x14ac:dyDescent="0.25">
      <c r="A25892" s="2">
        <v>25887</v>
      </c>
      <c r="B25892" s="3" t="str">
        <f>"01076631"</f>
        <v>01076631</v>
      </c>
    </row>
    <row r="25893" spans="1:2" x14ac:dyDescent="0.25">
      <c r="A25893" s="2">
        <v>25888</v>
      </c>
      <c r="B25893" s="3" t="str">
        <f>"01076637"</f>
        <v>01076637</v>
      </c>
    </row>
    <row r="25894" spans="1:2" x14ac:dyDescent="0.25">
      <c r="A25894" s="2">
        <v>25889</v>
      </c>
      <c r="B25894" s="3" t="str">
        <f>"01076639"</f>
        <v>01076639</v>
      </c>
    </row>
    <row r="25895" spans="1:2" x14ac:dyDescent="0.25">
      <c r="A25895" s="2">
        <v>25890</v>
      </c>
      <c r="B25895" s="3" t="str">
        <f>"01076640"</f>
        <v>01076640</v>
      </c>
    </row>
    <row r="25896" spans="1:2" x14ac:dyDescent="0.25">
      <c r="A25896" s="2">
        <v>25891</v>
      </c>
      <c r="B25896" s="3" t="str">
        <f>"01076642"</f>
        <v>01076642</v>
      </c>
    </row>
    <row r="25897" spans="1:2" x14ac:dyDescent="0.25">
      <c r="A25897" s="2">
        <v>25892</v>
      </c>
      <c r="B25897" s="3" t="str">
        <f>"01076644"</f>
        <v>01076644</v>
      </c>
    </row>
    <row r="25898" spans="1:2" x14ac:dyDescent="0.25">
      <c r="A25898" s="2">
        <v>25893</v>
      </c>
      <c r="B25898" s="3" t="str">
        <f>"01076645"</f>
        <v>01076645</v>
      </c>
    </row>
    <row r="25899" spans="1:2" x14ac:dyDescent="0.25">
      <c r="A25899" s="2">
        <v>25894</v>
      </c>
      <c r="B25899" s="3" t="str">
        <f>"01076647"</f>
        <v>01076647</v>
      </c>
    </row>
    <row r="25900" spans="1:2" x14ac:dyDescent="0.25">
      <c r="A25900" s="2">
        <v>25895</v>
      </c>
      <c r="B25900" s="3" t="str">
        <f>"01076650"</f>
        <v>01076650</v>
      </c>
    </row>
    <row r="25901" spans="1:2" x14ac:dyDescent="0.25">
      <c r="A25901" s="2">
        <v>25896</v>
      </c>
      <c r="B25901" s="3" t="str">
        <f>"01076656"</f>
        <v>01076656</v>
      </c>
    </row>
    <row r="25902" spans="1:2" x14ac:dyDescent="0.25">
      <c r="A25902" s="2">
        <v>25897</v>
      </c>
      <c r="B25902" s="3" t="str">
        <f>"01076657"</f>
        <v>01076657</v>
      </c>
    </row>
    <row r="25903" spans="1:2" x14ac:dyDescent="0.25">
      <c r="A25903" s="2">
        <v>25898</v>
      </c>
      <c r="B25903" s="3" t="str">
        <f>"01076660"</f>
        <v>01076660</v>
      </c>
    </row>
    <row r="25904" spans="1:2" x14ac:dyDescent="0.25">
      <c r="A25904" s="2">
        <v>25899</v>
      </c>
      <c r="B25904" s="3" t="str">
        <f>"01076661"</f>
        <v>01076661</v>
      </c>
    </row>
    <row r="25905" spans="1:2" x14ac:dyDescent="0.25">
      <c r="A25905" s="2">
        <v>25900</v>
      </c>
      <c r="B25905" s="3" t="str">
        <f>"01076667"</f>
        <v>01076667</v>
      </c>
    </row>
    <row r="25906" spans="1:2" x14ac:dyDescent="0.25">
      <c r="A25906" s="2">
        <v>25901</v>
      </c>
      <c r="B25906" s="3" t="str">
        <f>"01076676"</f>
        <v>01076676</v>
      </c>
    </row>
    <row r="25907" spans="1:2" x14ac:dyDescent="0.25">
      <c r="A25907" s="2">
        <v>25902</v>
      </c>
      <c r="B25907" s="3" t="str">
        <f>"01076677"</f>
        <v>01076677</v>
      </c>
    </row>
    <row r="25908" spans="1:2" x14ac:dyDescent="0.25">
      <c r="A25908" s="2">
        <v>25903</v>
      </c>
      <c r="B25908" s="3" t="str">
        <f>"01076678"</f>
        <v>01076678</v>
      </c>
    </row>
    <row r="25909" spans="1:2" x14ac:dyDescent="0.25">
      <c r="A25909" s="2">
        <v>25904</v>
      </c>
      <c r="B25909" s="3" t="str">
        <f>"01076680"</f>
        <v>01076680</v>
      </c>
    </row>
    <row r="25910" spans="1:2" x14ac:dyDescent="0.25">
      <c r="A25910" s="2">
        <v>25905</v>
      </c>
      <c r="B25910" s="3" t="str">
        <f>"01076690"</f>
        <v>01076690</v>
      </c>
    </row>
    <row r="25911" spans="1:2" x14ac:dyDescent="0.25">
      <c r="A25911" s="2">
        <v>25906</v>
      </c>
      <c r="B25911" s="3" t="str">
        <f>"01076692"</f>
        <v>01076692</v>
      </c>
    </row>
    <row r="25912" spans="1:2" x14ac:dyDescent="0.25">
      <c r="A25912" s="2">
        <v>25907</v>
      </c>
      <c r="B25912" s="3" t="str">
        <f>"01076704"</f>
        <v>01076704</v>
      </c>
    </row>
    <row r="25913" spans="1:2" x14ac:dyDescent="0.25">
      <c r="A25913" s="2">
        <v>25908</v>
      </c>
      <c r="B25913" s="3" t="str">
        <f>"01076706"</f>
        <v>01076706</v>
      </c>
    </row>
    <row r="25914" spans="1:2" x14ac:dyDescent="0.25">
      <c r="A25914" s="2">
        <v>25909</v>
      </c>
      <c r="B25914" s="3" t="str">
        <f>"01076713"</f>
        <v>01076713</v>
      </c>
    </row>
    <row r="25915" spans="1:2" x14ac:dyDescent="0.25">
      <c r="A25915" s="2">
        <v>25910</v>
      </c>
      <c r="B25915" s="3" t="str">
        <f>"01076715"</f>
        <v>01076715</v>
      </c>
    </row>
    <row r="25916" spans="1:2" x14ac:dyDescent="0.25">
      <c r="A25916" s="2">
        <v>25911</v>
      </c>
      <c r="B25916" s="3" t="str">
        <f>"01076716"</f>
        <v>01076716</v>
      </c>
    </row>
    <row r="25917" spans="1:2" x14ac:dyDescent="0.25">
      <c r="A25917" s="2">
        <v>25912</v>
      </c>
      <c r="B25917" s="3" t="str">
        <f>"01076724"</f>
        <v>01076724</v>
      </c>
    </row>
    <row r="25918" spans="1:2" x14ac:dyDescent="0.25">
      <c r="A25918" s="2">
        <v>25913</v>
      </c>
      <c r="B25918" s="3" t="str">
        <f>"01076732"</f>
        <v>01076732</v>
      </c>
    </row>
    <row r="25919" spans="1:2" x14ac:dyDescent="0.25">
      <c r="A25919" s="2">
        <v>25914</v>
      </c>
      <c r="B25919" s="3" t="str">
        <f>"01076733"</f>
        <v>01076733</v>
      </c>
    </row>
    <row r="25920" spans="1:2" x14ac:dyDescent="0.25">
      <c r="A25920" s="2">
        <v>25915</v>
      </c>
      <c r="B25920" s="3" t="str">
        <f>"01076734"</f>
        <v>01076734</v>
      </c>
    </row>
    <row r="25921" spans="1:2" x14ac:dyDescent="0.25">
      <c r="A25921" s="2">
        <v>25916</v>
      </c>
      <c r="B25921" s="3" t="str">
        <f>"01076738"</f>
        <v>01076738</v>
      </c>
    </row>
    <row r="25922" spans="1:2" x14ac:dyDescent="0.25">
      <c r="A25922" s="2">
        <v>25917</v>
      </c>
      <c r="B25922" s="3" t="str">
        <f>"01076740"</f>
        <v>01076740</v>
      </c>
    </row>
    <row r="25923" spans="1:2" x14ac:dyDescent="0.25">
      <c r="A25923" s="2">
        <v>25918</v>
      </c>
      <c r="B25923" s="3" t="str">
        <f>"01076744"</f>
        <v>01076744</v>
      </c>
    </row>
    <row r="25924" spans="1:2" x14ac:dyDescent="0.25">
      <c r="A25924" s="2">
        <v>25919</v>
      </c>
      <c r="B25924" s="3" t="str">
        <f>"01076750"</f>
        <v>01076750</v>
      </c>
    </row>
    <row r="25925" spans="1:2" x14ac:dyDescent="0.25">
      <c r="A25925" s="2">
        <v>25920</v>
      </c>
      <c r="B25925" s="3" t="str">
        <f>"01076753"</f>
        <v>01076753</v>
      </c>
    </row>
    <row r="25926" spans="1:2" x14ac:dyDescent="0.25">
      <c r="A25926" s="2">
        <v>25921</v>
      </c>
      <c r="B25926" s="3" t="str">
        <f>"01076760"</f>
        <v>01076760</v>
      </c>
    </row>
    <row r="25927" spans="1:2" x14ac:dyDescent="0.25">
      <c r="A25927" s="2">
        <v>25922</v>
      </c>
      <c r="B25927" s="3" t="str">
        <f>"01076761"</f>
        <v>01076761</v>
      </c>
    </row>
    <row r="25928" spans="1:2" x14ac:dyDescent="0.25">
      <c r="A25928" s="2">
        <v>25923</v>
      </c>
      <c r="B25928" s="3" t="str">
        <f>"01076774"</f>
        <v>01076774</v>
      </c>
    </row>
    <row r="25929" spans="1:2" x14ac:dyDescent="0.25">
      <c r="A25929" s="2">
        <v>25924</v>
      </c>
      <c r="B25929" s="3" t="str">
        <f>"01076777"</f>
        <v>01076777</v>
      </c>
    </row>
    <row r="25930" spans="1:2" x14ac:dyDescent="0.25">
      <c r="A25930" s="2">
        <v>25925</v>
      </c>
      <c r="B25930" s="3" t="str">
        <f>"01076785"</f>
        <v>01076785</v>
      </c>
    </row>
    <row r="25931" spans="1:2" x14ac:dyDescent="0.25">
      <c r="A25931" s="2">
        <v>25926</v>
      </c>
      <c r="B25931" s="3" t="str">
        <f>"01076788"</f>
        <v>01076788</v>
      </c>
    </row>
    <row r="25932" spans="1:2" x14ac:dyDescent="0.25">
      <c r="A25932" s="2">
        <v>25927</v>
      </c>
      <c r="B25932" s="3" t="str">
        <f>"01076793"</f>
        <v>01076793</v>
      </c>
    </row>
    <row r="25933" spans="1:2" x14ac:dyDescent="0.25">
      <c r="A25933" s="2">
        <v>25928</v>
      </c>
      <c r="B25933" s="3" t="str">
        <f>"01076796"</f>
        <v>01076796</v>
      </c>
    </row>
    <row r="25934" spans="1:2" x14ac:dyDescent="0.25">
      <c r="A25934" s="2">
        <v>25929</v>
      </c>
      <c r="B25934" s="3" t="str">
        <f>"01076801"</f>
        <v>01076801</v>
      </c>
    </row>
    <row r="25935" spans="1:2" x14ac:dyDescent="0.25">
      <c r="A25935" s="2">
        <v>25930</v>
      </c>
      <c r="B25935" s="3" t="str">
        <f>"01076802"</f>
        <v>01076802</v>
      </c>
    </row>
    <row r="25936" spans="1:2" x14ac:dyDescent="0.25">
      <c r="A25936" s="2">
        <v>25931</v>
      </c>
      <c r="B25936" s="3" t="str">
        <f>"01076808"</f>
        <v>01076808</v>
      </c>
    </row>
    <row r="25937" spans="1:2" x14ac:dyDescent="0.25">
      <c r="A25937" s="2">
        <v>25932</v>
      </c>
      <c r="B25937" s="3" t="str">
        <f>"01076812"</f>
        <v>01076812</v>
      </c>
    </row>
    <row r="25938" spans="1:2" x14ac:dyDescent="0.25">
      <c r="A25938" s="2">
        <v>25933</v>
      </c>
      <c r="B25938" s="3" t="str">
        <f>"01076813"</f>
        <v>01076813</v>
      </c>
    </row>
    <row r="25939" spans="1:2" x14ac:dyDescent="0.25">
      <c r="A25939" s="2">
        <v>25934</v>
      </c>
      <c r="B25939" s="3" t="str">
        <f>"01076822"</f>
        <v>01076822</v>
      </c>
    </row>
    <row r="25940" spans="1:2" x14ac:dyDescent="0.25">
      <c r="A25940" s="2">
        <v>25935</v>
      </c>
      <c r="B25940" s="3" t="str">
        <f>"01076825"</f>
        <v>01076825</v>
      </c>
    </row>
    <row r="25941" spans="1:2" x14ac:dyDescent="0.25">
      <c r="A25941" s="2">
        <v>25936</v>
      </c>
      <c r="B25941" s="3" t="str">
        <f>"01076827"</f>
        <v>01076827</v>
      </c>
    </row>
    <row r="25942" spans="1:2" x14ac:dyDescent="0.25">
      <c r="A25942" s="2">
        <v>25937</v>
      </c>
      <c r="B25942" s="3" t="str">
        <f>"01076834"</f>
        <v>01076834</v>
      </c>
    </row>
    <row r="25943" spans="1:2" x14ac:dyDescent="0.25">
      <c r="A25943" s="2">
        <v>25938</v>
      </c>
      <c r="B25943" s="3" t="str">
        <f>"01076835"</f>
        <v>01076835</v>
      </c>
    </row>
    <row r="25944" spans="1:2" x14ac:dyDescent="0.25">
      <c r="A25944" s="2">
        <v>25939</v>
      </c>
      <c r="B25944" s="3" t="str">
        <f>"01076846"</f>
        <v>01076846</v>
      </c>
    </row>
    <row r="25945" spans="1:2" x14ac:dyDescent="0.25">
      <c r="A25945" s="2">
        <v>25940</v>
      </c>
      <c r="B25945" s="3" t="str">
        <f>"01076847"</f>
        <v>01076847</v>
      </c>
    </row>
    <row r="25946" spans="1:2" x14ac:dyDescent="0.25">
      <c r="A25946" s="2">
        <v>25941</v>
      </c>
      <c r="B25946" s="3" t="str">
        <f>"01076849"</f>
        <v>01076849</v>
      </c>
    </row>
    <row r="25947" spans="1:2" x14ac:dyDescent="0.25">
      <c r="A25947" s="2">
        <v>25942</v>
      </c>
      <c r="B25947" s="3" t="str">
        <f>"01076853"</f>
        <v>01076853</v>
      </c>
    </row>
    <row r="25948" spans="1:2" x14ac:dyDescent="0.25">
      <c r="A25948" s="2">
        <v>25943</v>
      </c>
      <c r="B25948" s="3" t="str">
        <f>"01076854"</f>
        <v>01076854</v>
      </c>
    </row>
    <row r="25949" spans="1:2" x14ac:dyDescent="0.25">
      <c r="A25949" s="2">
        <v>25944</v>
      </c>
      <c r="B25949" s="3" t="str">
        <f>"01076860"</f>
        <v>01076860</v>
      </c>
    </row>
    <row r="25950" spans="1:2" x14ac:dyDescent="0.25">
      <c r="A25950" s="2">
        <v>25945</v>
      </c>
      <c r="B25950" s="3" t="str">
        <f>"01076865"</f>
        <v>01076865</v>
      </c>
    </row>
    <row r="25951" spans="1:2" x14ac:dyDescent="0.25">
      <c r="A25951" s="2">
        <v>25946</v>
      </c>
      <c r="B25951" s="3" t="str">
        <f>"01076870"</f>
        <v>01076870</v>
      </c>
    </row>
    <row r="25952" spans="1:2" x14ac:dyDescent="0.25">
      <c r="A25952" s="2">
        <v>25947</v>
      </c>
      <c r="B25952" s="3" t="str">
        <f>"01076871"</f>
        <v>01076871</v>
      </c>
    </row>
    <row r="25953" spans="1:2" x14ac:dyDescent="0.25">
      <c r="A25953" s="2">
        <v>25948</v>
      </c>
      <c r="B25953" s="3" t="str">
        <f>"01076878"</f>
        <v>01076878</v>
      </c>
    </row>
    <row r="25954" spans="1:2" x14ac:dyDescent="0.25">
      <c r="A25954" s="2">
        <v>25949</v>
      </c>
      <c r="B25954" s="3" t="str">
        <f>"01076882"</f>
        <v>01076882</v>
      </c>
    </row>
    <row r="25955" spans="1:2" x14ac:dyDescent="0.25">
      <c r="A25955" s="2">
        <v>25950</v>
      </c>
      <c r="B25955" s="3" t="str">
        <f>"01076891"</f>
        <v>01076891</v>
      </c>
    </row>
    <row r="25956" spans="1:2" x14ac:dyDescent="0.25">
      <c r="A25956" s="2">
        <v>25951</v>
      </c>
      <c r="B25956" s="3" t="str">
        <f>"01076894"</f>
        <v>01076894</v>
      </c>
    </row>
    <row r="25957" spans="1:2" x14ac:dyDescent="0.25">
      <c r="A25957" s="2">
        <v>25952</v>
      </c>
      <c r="B25957" s="3" t="str">
        <f>"01076904"</f>
        <v>01076904</v>
      </c>
    </row>
    <row r="25958" spans="1:2" x14ac:dyDescent="0.25">
      <c r="A25958" s="2">
        <v>25953</v>
      </c>
      <c r="B25958" s="3" t="str">
        <f>"01076914"</f>
        <v>01076914</v>
      </c>
    </row>
    <row r="25959" spans="1:2" x14ac:dyDescent="0.25">
      <c r="A25959" s="2">
        <v>25954</v>
      </c>
      <c r="B25959" s="3" t="str">
        <f>"01076918"</f>
        <v>01076918</v>
      </c>
    </row>
    <row r="25960" spans="1:2" x14ac:dyDescent="0.25">
      <c r="A25960" s="2">
        <v>25955</v>
      </c>
      <c r="B25960" s="3" t="str">
        <f>"01076919"</f>
        <v>01076919</v>
      </c>
    </row>
    <row r="25961" spans="1:2" x14ac:dyDescent="0.25">
      <c r="A25961" s="2">
        <v>25956</v>
      </c>
      <c r="B25961" s="3" t="str">
        <f>"01076925"</f>
        <v>01076925</v>
      </c>
    </row>
    <row r="25962" spans="1:2" x14ac:dyDescent="0.25">
      <c r="A25962" s="2">
        <v>25957</v>
      </c>
      <c r="B25962" s="3" t="str">
        <f>"01076926"</f>
        <v>01076926</v>
      </c>
    </row>
    <row r="25963" spans="1:2" x14ac:dyDescent="0.25">
      <c r="A25963" s="2">
        <v>25958</v>
      </c>
      <c r="B25963" s="3" t="str">
        <f>"01076932"</f>
        <v>01076932</v>
      </c>
    </row>
    <row r="25964" spans="1:2" x14ac:dyDescent="0.25">
      <c r="A25964" s="2">
        <v>25959</v>
      </c>
      <c r="B25964" s="3" t="str">
        <f>"01076940"</f>
        <v>01076940</v>
      </c>
    </row>
    <row r="25965" spans="1:2" x14ac:dyDescent="0.25">
      <c r="A25965" s="2">
        <v>25960</v>
      </c>
      <c r="B25965" s="3" t="str">
        <f>"01076949"</f>
        <v>01076949</v>
      </c>
    </row>
    <row r="25966" spans="1:2" x14ac:dyDescent="0.25">
      <c r="A25966" s="2">
        <v>25961</v>
      </c>
      <c r="B25966" s="3" t="str">
        <f>"01076955"</f>
        <v>01076955</v>
      </c>
    </row>
    <row r="25967" spans="1:2" x14ac:dyDescent="0.25">
      <c r="A25967" s="2">
        <v>25962</v>
      </c>
      <c r="B25967" s="3" t="str">
        <f>"01076956"</f>
        <v>01076956</v>
      </c>
    </row>
    <row r="25968" spans="1:2" x14ac:dyDescent="0.25">
      <c r="A25968" s="2">
        <v>25963</v>
      </c>
      <c r="B25968" s="3" t="str">
        <f>"01076958"</f>
        <v>01076958</v>
      </c>
    </row>
    <row r="25969" spans="1:2" x14ac:dyDescent="0.25">
      <c r="A25969" s="2">
        <v>25964</v>
      </c>
      <c r="B25969" s="3" t="str">
        <f>"01076971"</f>
        <v>01076971</v>
      </c>
    </row>
    <row r="25970" spans="1:2" x14ac:dyDescent="0.25">
      <c r="A25970" s="2">
        <v>25965</v>
      </c>
      <c r="B25970" s="3" t="str">
        <f>"01076982"</f>
        <v>01076982</v>
      </c>
    </row>
    <row r="25971" spans="1:2" x14ac:dyDescent="0.25">
      <c r="A25971" s="2">
        <v>25966</v>
      </c>
      <c r="B25971" s="3" t="str">
        <f>"01076990"</f>
        <v>01076990</v>
      </c>
    </row>
    <row r="25972" spans="1:2" x14ac:dyDescent="0.25">
      <c r="A25972" s="2">
        <v>25967</v>
      </c>
      <c r="B25972" s="3" t="str">
        <f>"01076991"</f>
        <v>01076991</v>
      </c>
    </row>
    <row r="25973" spans="1:2" x14ac:dyDescent="0.25">
      <c r="A25973" s="2">
        <v>25968</v>
      </c>
      <c r="B25973" s="3" t="str">
        <f>"01077002"</f>
        <v>01077002</v>
      </c>
    </row>
    <row r="25974" spans="1:2" x14ac:dyDescent="0.25">
      <c r="A25974" s="2">
        <v>25969</v>
      </c>
      <c r="B25974" s="3" t="str">
        <f>"01077003"</f>
        <v>01077003</v>
      </c>
    </row>
    <row r="25975" spans="1:2" x14ac:dyDescent="0.25">
      <c r="A25975" s="2">
        <v>25970</v>
      </c>
      <c r="B25975" s="3" t="str">
        <f>"01077004"</f>
        <v>01077004</v>
      </c>
    </row>
    <row r="25976" spans="1:2" x14ac:dyDescent="0.25">
      <c r="A25976" s="2">
        <v>25971</v>
      </c>
      <c r="B25976" s="3" t="str">
        <f>"01077009"</f>
        <v>01077009</v>
      </c>
    </row>
    <row r="25977" spans="1:2" x14ac:dyDescent="0.25">
      <c r="A25977" s="2">
        <v>25972</v>
      </c>
      <c r="B25977" s="3" t="str">
        <f>"01077012"</f>
        <v>01077012</v>
      </c>
    </row>
    <row r="25978" spans="1:2" x14ac:dyDescent="0.25">
      <c r="A25978" s="2">
        <v>25973</v>
      </c>
      <c r="B25978" s="3" t="str">
        <f>"01077014"</f>
        <v>01077014</v>
      </c>
    </row>
    <row r="25979" spans="1:2" x14ac:dyDescent="0.25">
      <c r="A25979" s="2">
        <v>25974</v>
      </c>
      <c r="B25979" s="3" t="str">
        <f>"01077018"</f>
        <v>01077018</v>
      </c>
    </row>
    <row r="25980" spans="1:2" x14ac:dyDescent="0.25">
      <c r="A25980" s="2">
        <v>25975</v>
      </c>
      <c r="B25980" s="3" t="str">
        <f>"01077022"</f>
        <v>01077022</v>
      </c>
    </row>
    <row r="25981" spans="1:2" x14ac:dyDescent="0.25">
      <c r="A25981" s="2">
        <v>25976</v>
      </c>
      <c r="B25981" s="3" t="str">
        <f>"01077026"</f>
        <v>01077026</v>
      </c>
    </row>
    <row r="25982" spans="1:2" x14ac:dyDescent="0.25">
      <c r="A25982" s="2">
        <v>25977</v>
      </c>
      <c r="B25982" s="3" t="str">
        <f>"01077029"</f>
        <v>01077029</v>
      </c>
    </row>
    <row r="25983" spans="1:2" x14ac:dyDescent="0.25">
      <c r="A25983" s="2">
        <v>25978</v>
      </c>
      <c r="B25983" s="3" t="str">
        <f>"01077034"</f>
        <v>01077034</v>
      </c>
    </row>
    <row r="25984" spans="1:2" x14ac:dyDescent="0.25">
      <c r="A25984" s="2">
        <v>25979</v>
      </c>
      <c r="B25984" s="3" t="str">
        <f>"01077039"</f>
        <v>01077039</v>
      </c>
    </row>
    <row r="25985" spans="1:2" x14ac:dyDescent="0.25">
      <c r="A25985" s="2">
        <v>25980</v>
      </c>
      <c r="B25985" s="3" t="str">
        <f>"01077050"</f>
        <v>01077050</v>
      </c>
    </row>
    <row r="25986" spans="1:2" x14ac:dyDescent="0.25">
      <c r="A25986" s="2">
        <v>25981</v>
      </c>
      <c r="B25986" s="3" t="str">
        <f>"01077054"</f>
        <v>01077054</v>
      </c>
    </row>
    <row r="25987" spans="1:2" x14ac:dyDescent="0.25">
      <c r="A25987" s="2">
        <v>25982</v>
      </c>
      <c r="B25987" s="3" t="str">
        <f>"01077059"</f>
        <v>01077059</v>
      </c>
    </row>
    <row r="25988" spans="1:2" x14ac:dyDescent="0.25">
      <c r="A25988" s="2">
        <v>25983</v>
      </c>
      <c r="B25988" s="3" t="str">
        <f>"01077060"</f>
        <v>01077060</v>
      </c>
    </row>
    <row r="25989" spans="1:2" x14ac:dyDescent="0.25">
      <c r="A25989" s="2">
        <v>25984</v>
      </c>
      <c r="B25989" s="3" t="str">
        <f>"01077065"</f>
        <v>01077065</v>
      </c>
    </row>
    <row r="25990" spans="1:2" x14ac:dyDescent="0.25">
      <c r="A25990" s="2">
        <v>25985</v>
      </c>
      <c r="B25990" s="3" t="str">
        <f>"01077069"</f>
        <v>01077069</v>
      </c>
    </row>
    <row r="25991" spans="1:2" x14ac:dyDescent="0.25">
      <c r="A25991" s="2">
        <v>25986</v>
      </c>
      <c r="B25991" s="3" t="str">
        <f>"01077074"</f>
        <v>01077074</v>
      </c>
    </row>
    <row r="25992" spans="1:2" x14ac:dyDescent="0.25">
      <c r="A25992" s="2">
        <v>25987</v>
      </c>
      <c r="B25992" s="3" t="str">
        <f>"01077076"</f>
        <v>01077076</v>
      </c>
    </row>
    <row r="25993" spans="1:2" x14ac:dyDescent="0.25">
      <c r="A25993" s="2">
        <v>25988</v>
      </c>
      <c r="B25993" s="3" t="str">
        <f>"01077078"</f>
        <v>01077078</v>
      </c>
    </row>
    <row r="25994" spans="1:2" x14ac:dyDescent="0.25">
      <c r="A25994" s="2">
        <v>25989</v>
      </c>
      <c r="B25994" s="3" t="str">
        <f>"01077080"</f>
        <v>01077080</v>
      </c>
    </row>
    <row r="25995" spans="1:2" x14ac:dyDescent="0.25">
      <c r="A25995" s="2">
        <v>25990</v>
      </c>
      <c r="B25995" s="3" t="str">
        <f>"01077082"</f>
        <v>01077082</v>
      </c>
    </row>
    <row r="25996" spans="1:2" x14ac:dyDescent="0.25">
      <c r="A25996" s="2">
        <v>25991</v>
      </c>
      <c r="B25996" s="3" t="str">
        <f>"01077083"</f>
        <v>01077083</v>
      </c>
    </row>
    <row r="25997" spans="1:2" x14ac:dyDescent="0.25">
      <c r="A25997" s="2">
        <v>25992</v>
      </c>
      <c r="B25997" s="3" t="str">
        <f>"01077089"</f>
        <v>01077089</v>
      </c>
    </row>
    <row r="25998" spans="1:2" x14ac:dyDescent="0.25">
      <c r="A25998" s="2">
        <v>25993</v>
      </c>
      <c r="B25998" s="3" t="str">
        <f>"01077099"</f>
        <v>01077099</v>
      </c>
    </row>
    <row r="25999" spans="1:2" x14ac:dyDescent="0.25">
      <c r="A25999" s="2">
        <v>25994</v>
      </c>
      <c r="B25999" s="3" t="str">
        <f>"01077103"</f>
        <v>01077103</v>
      </c>
    </row>
    <row r="26000" spans="1:2" x14ac:dyDescent="0.25">
      <c r="A26000" s="2">
        <v>25995</v>
      </c>
      <c r="B26000" s="3" t="str">
        <f>"01077104"</f>
        <v>01077104</v>
      </c>
    </row>
    <row r="26001" spans="1:2" x14ac:dyDescent="0.25">
      <c r="A26001" s="2">
        <v>25996</v>
      </c>
      <c r="B26001" s="3" t="str">
        <f>"01077105"</f>
        <v>01077105</v>
      </c>
    </row>
    <row r="26002" spans="1:2" x14ac:dyDescent="0.25">
      <c r="A26002" s="2">
        <v>25997</v>
      </c>
      <c r="B26002" s="3" t="str">
        <f>"01077107"</f>
        <v>01077107</v>
      </c>
    </row>
    <row r="26003" spans="1:2" x14ac:dyDescent="0.25">
      <c r="A26003" s="2">
        <v>25998</v>
      </c>
      <c r="B26003" s="3" t="str">
        <f>"01077108"</f>
        <v>01077108</v>
      </c>
    </row>
    <row r="26004" spans="1:2" x14ac:dyDescent="0.25">
      <c r="A26004" s="2">
        <v>25999</v>
      </c>
      <c r="B26004" s="3" t="str">
        <f>"01077109"</f>
        <v>01077109</v>
      </c>
    </row>
    <row r="26005" spans="1:2" x14ac:dyDescent="0.25">
      <c r="A26005" s="2">
        <v>26000</v>
      </c>
      <c r="B26005" s="3" t="str">
        <f>"01077122"</f>
        <v>01077122</v>
      </c>
    </row>
    <row r="26006" spans="1:2" x14ac:dyDescent="0.25">
      <c r="A26006" s="2">
        <v>26001</v>
      </c>
      <c r="B26006" s="3" t="str">
        <f>"01077127"</f>
        <v>01077127</v>
      </c>
    </row>
    <row r="26007" spans="1:2" x14ac:dyDescent="0.25">
      <c r="A26007" s="2">
        <v>26002</v>
      </c>
      <c r="B26007" s="3" t="str">
        <f>"01077128"</f>
        <v>01077128</v>
      </c>
    </row>
    <row r="26008" spans="1:2" x14ac:dyDescent="0.25">
      <c r="A26008" s="2">
        <v>26003</v>
      </c>
      <c r="B26008" s="3" t="str">
        <f>"01077132"</f>
        <v>01077132</v>
      </c>
    </row>
    <row r="26009" spans="1:2" x14ac:dyDescent="0.25">
      <c r="A26009" s="2">
        <v>26004</v>
      </c>
      <c r="B26009" s="3" t="str">
        <f>"01077137"</f>
        <v>01077137</v>
      </c>
    </row>
    <row r="26010" spans="1:2" x14ac:dyDescent="0.25">
      <c r="A26010" s="2">
        <v>26005</v>
      </c>
      <c r="B26010" s="3" t="str">
        <f>"01077142"</f>
        <v>01077142</v>
      </c>
    </row>
    <row r="26011" spans="1:2" x14ac:dyDescent="0.25">
      <c r="A26011" s="2">
        <v>26006</v>
      </c>
      <c r="B26011" s="3" t="str">
        <f>"01077144"</f>
        <v>01077144</v>
      </c>
    </row>
    <row r="26012" spans="1:2" x14ac:dyDescent="0.25">
      <c r="A26012" s="2">
        <v>26007</v>
      </c>
      <c r="B26012" s="3" t="str">
        <f>"01077146"</f>
        <v>01077146</v>
      </c>
    </row>
    <row r="26013" spans="1:2" x14ac:dyDescent="0.25">
      <c r="A26013" s="2">
        <v>26008</v>
      </c>
      <c r="B26013" s="3" t="str">
        <f>"01077159"</f>
        <v>01077159</v>
      </c>
    </row>
    <row r="26014" spans="1:2" x14ac:dyDescent="0.25">
      <c r="A26014" s="2">
        <v>26009</v>
      </c>
      <c r="B26014" s="3" t="str">
        <f>"01077162"</f>
        <v>01077162</v>
      </c>
    </row>
    <row r="26015" spans="1:2" x14ac:dyDescent="0.25">
      <c r="A26015" s="2">
        <v>26010</v>
      </c>
      <c r="B26015" s="3" t="str">
        <f>"01077169"</f>
        <v>01077169</v>
      </c>
    </row>
    <row r="26016" spans="1:2" x14ac:dyDescent="0.25">
      <c r="A26016" s="2">
        <v>26011</v>
      </c>
      <c r="B26016" s="3" t="str">
        <f>"01077170"</f>
        <v>01077170</v>
      </c>
    </row>
    <row r="26017" spans="1:2" x14ac:dyDescent="0.25">
      <c r="A26017" s="2">
        <v>26012</v>
      </c>
      <c r="B26017" s="3" t="str">
        <f>"01077174"</f>
        <v>01077174</v>
      </c>
    </row>
    <row r="26018" spans="1:2" x14ac:dyDescent="0.25">
      <c r="A26018" s="2">
        <v>26013</v>
      </c>
      <c r="B26018" s="3" t="str">
        <f>"01077194"</f>
        <v>01077194</v>
      </c>
    </row>
    <row r="26019" spans="1:2" x14ac:dyDescent="0.25">
      <c r="A26019" s="2">
        <v>26014</v>
      </c>
      <c r="B26019" s="3" t="str">
        <f>"01077196"</f>
        <v>01077196</v>
      </c>
    </row>
    <row r="26020" spans="1:2" x14ac:dyDescent="0.25">
      <c r="A26020" s="2">
        <v>26015</v>
      </c>
      <c r="B26020" s="3" t="str">
        <f>"01077198"</f>
        <v>01077198</v>
      </c>
    </row>
    <row r="26021" spans="1:2" x14ac:dyDescent="0.25">
      <c r="A26021" s="2">
        <v>26016</v>
      </c>
      <c r="B26021" s="3" t="str">
        <f>"01077201"</f>
        <v>01077201</v>
      </c>
    </row>
    <row r="26022" spans="1:2" x14ac:dyDescent="0.25">
      <c r="A26022" s="2">
        <v>26017</v>
      </c>
      <c r="B26022" s="3" t="str">
        <f>"01077203"</f>
        <v>01077203</v>
      </c>
    </row>
    <row r="26023" spans="1:2" x14ac:dyDescent="0.25">
      <c r="A26023" s="2">
        <v>26018</v>
      </c>
      <c r="B26023" s="3" t="str">
        <f>"01077207"</f>
        <v>01077207</v>
      </c>
    </row>
    <row r="26024" spans="1:2" x14ac:dyDescent="0.25">
      <c r="A26024" s="2">
        <v>26019</v>
      </c>
      <c r="B26024" s="3" t="str">
        <f>"01077212"</f>
        <v>01077212</v>
      </c>
    </row>
    <row r="26025" spans="1:2" x14ac:dyDescent="0.25">
      <c r="A26025" s="2">
        <v>26020</v>
      </c>
      <c r="B26025" s="3" t="str">
        <f>"01077237"</f>
        <v>01077237</v>
      </c>
    </row>
    <row r="26026" spans="1:2" x14ac:dyDescent="0.25">
      <c r="A26026" s="2">
        <v>26021</v>
      </c>
      <c r="B26026" s="3" t="str">
        <f>"01077239"</f>
        <v>01077239</v>
      </c>
    </row>
    <row r="26027" spans="1:2" x14ac:dyDescent="0.25">
      <c r="A26027" s="2">
        <v>26022</v>
      </c>
      <c r="B26027" s="3" t="str">
        <f>"01077243"</f>
        <v>01077243</v>
      </c>
    </row>
    <row r="26028" spans="1:2" x14ac:dyDescent="0.25">
      <c r="A26028" s="2">
        <v>26023</v>
      </c>
      <c r="B26028" s="3" t="str">
        <f>"01077249"</f>
        <v>01077249</v>
      </c>
    </row>
    <row r="26029" spans="1:2" x14ac:dyDescent="0.25">
      <c r="A26029" s="2">
        <v>26024</v>
      </c>
      <c r="B26029" s="3" t="str">
        <f>"01077255"</f>
        <v>01077255</v>
      </c>
    </row>
    <row r="26030" spans="1:2" x14ac:dyDescent="0.25">
      <c r="A26030" s="2">
        <v>26025</v>
      </c>
      <c r="B26030" s="3" t="str">
        <f>"01077256"</f>
        <v>01077256</v>
      </c>
    </row>
    <row r="26031" spans="1:2" x14ac:dyDescent="0.25">
      <c r="A26031" s="2">
        <v>26026</v>
      </c>
      <c r="B26031" s="3" t="str">
        <f>"01077265"</f>
        <v>01077265</v>
      </c>
    </row>
    <row r="26032" spans="1:2" x14ac:dyDescent="0.25">
      <c r="A26032" s="2">
        <v>26027</v>
      </c>
      <c r="B26032" s="3" t="str">
        <f>"01077269"</f>
        <v>01077269</v>
      </c>
    </row>
    <row r="26033" spans="1:2" x14ac:dyDescent="0.25">
      <c r="A26033" s="2">
        <v>26028</v>
      </c>
      <c r="B26033" s="3" t="str">
        <f>"01077275"</f>
        <v>01077275</v>
      </c>
    </row>
    <row r="26034" spans="1:2" x14ac:dyDescent="0.25">
      <c r="A26034" s="2">
        <v>26029</v>
      </c>
      <c r="B26034" s="3" t="str">
        <f>"01077279"</f>
        <v>01077279</v>
      </c>
    </row>
    <row r="26035" spans="1:2" x14ac:dyDescent="0.25">
      <c r="A26035" s="2">
        <v>26030</v>
      </c>
      <c r="B26035" s="3" t="str">
        <f>"01077286"</f>
        <v>01077286</v>
      </c>
    </row>
    <row r="26036" spans="1:2" x14ac:dyDescent="0.25">
      <c r="A26036" s="2">
        <v>26031</v>
      </c>
      <c r="B26036" s="3" t="str">
        <f>"01077288"</f>
        <v>01077288</v>
      </c>
    </row>
    <row r="26037" spans="1:2" x14ac:dyDescent="0.25">
      <c r="A26037" s="2">
        <v>26032</v>
      </c>
      <c r="B26037" s="3" t="str">
        <f>"01077289"</f>
        <v>01077289</v>
      </c>
    </row>
    <row r="26038" spans="1:2" x14ac:dyDescent="0.25">
      <c r="A26038" s="2">
        <v>26033</v>
      </c>
      <c r="B26038" s="3" t="str">
        <f>"01077291"</f>
        <v>01077291</v>
      </c>
    </row>
    <row r="26039" spans="1:2" x14ac:dyDescent="0.25">
      <c r="A26039" s="2">
        <v>26034</v>
      </c>
      <c r="B26039" s="3" t="str">
        <f>"01077293"</f>
        <v>01077293</v>
      </c>
    </row>
    <row r="26040" spans="1:2" x14ac:dyDescent="0.25">
      <c r="A26040" s="2">
        <v>26035</v>
      </c>
      <c r="B26040" s="3" t="str">
        <f>"01077295"</f>
        <v>01077295</v>
      </c>
    </row>
    <row r="26041" spans="1:2" x14ac:dyDescent="0.25">
      <c r="A26041" s="2">
        <v>26036</v>
      </c>
      <c r="B26041" s="3" t="str">
        <f>"01077297"</f>
        <v>01077297</v>
      </c>
    </row>
    <row r="26042" spans="1:2" x14ac:dyDescent="0.25">
      <c r="A26042" s="2">
        <v>26037</v>
      </c>
      <c r="B26042" s="3" t="str">
        <f>"01077298"</f>
        <v>01077298</v>
      </c>
    </row>
    <row r="26043" spans="1:2" x14ac:dyDescent="0.25">
      <c r="A26043" s="2">
        <v>26038</v>
      </c>
      <c r="B26043" s="3" t="str">
        <f>"01077300"</f>
        <v>01077300</v>
      </c>
    </row>
    <row r="26044" spans="1:2" x14ac:dyDescent="0.25">
      <c r="A26044" s="2">
        <v>26039</v>
      </c>
      <c r="B26044" s="3" t="str">
        <f>"01077308"</f>
        <v>01077308</v>
      </c>
    </row>
    <row r="26045" spans="1:2" x14ac:dyDescent="0.25">
      <c r="A26045" s="2">
        <v>26040</v>
      </c>
      <c r="B26045" s="3" t="str">
        <f>"01077309"</f>
        <v>01077309</v>
      </c>
    </row>
    <row r="26046" spans="1:2" x14ac:dyDescent="0.25">
      <c r="A26046" s="2">
        <v>26041</v>
      </c>
      <c r="B26046" s="3" t="str">
        <f>"01077314"</f>
        <v>01077314</v>
      </c>
    </row>
    <row r="26047" spans="1:2" x14ac:dyDescent="0.25">
      <c r="A26047" s="2">
        <v>26042</v>
      </c>
      <c r="B26047" s="3" t="str">
        <f>"01077326"</f>
        <v>01077326</v>
      </c>
    </row>
    <row r="26048" spans="1:2" x14ac:dyDescent="0.25">
      <c r="A26048" s="2">
        <v>26043</v>
      </c>
      <c r="B26048" s="3" t="str">
        <f>"01077334"</f>
        <v>01077334</v>
      </c>
    </row>
    <row r="26049" spans="1:2" x14ac:dyDescent="0.25">
      <c r="A26049" s="2">
        <v>26044</v>
      </c>
      <c r="B26049" s="3" t="str">
        <f>"01077337"</f>
        <v>01077337</v>
      </c>
    </row>
    <row r="26050" spans="1:2" x14ac:dyDescent="0.25">
      <c r="A26050" s="2">
        <v>26045</v>
      </c>
      <c r="B26050" s="3" t="str">
        <f>"01077338"</f>
        <v>01077338</v>
      </c>
    </row>
    <row r="26051" spans="1:2" x14ac:dyDescent="0.25">
      <c r="A26051" s="2">
        <v>26046</v>
      </c>
      <c r="B26051" s="3" t="str">
        <f>"01077339"</f>
        <v>01077339</v>
      </c>
    </row>
    <row r="26052" spans="1:2" x14ac:dyDescent="0.25">
      <c r="A26052" s="2">
        <v>26047</v>
      </c>
      <c r="B26052" s="3" t="str">
        <f>"01077341"</f>
        <v>01077341</v>
      </c>
    </row>
    <row r="26053" spans="1:2" x14ac:dyDescent="0.25">
      <c r="A26053" s="2">
        <v>26048</v>
      </c>
      <c r="B26053" s="3" t="str">
        <f>"01077351"</f>
        <v>01077351</v>
      </c>
    </row>
    <row r="26054" spans="1:2" x14ac:dyDescent="0.25">
      <c r="A26054" s="2">
        <v>26049</v>
      </c>
      <c r="B26054" s="3" t="str">
        <f>"01077359"</f>
        <v>01077359</v>
      </c>
    </row>
    <row r="26055" spans="1:2" x14ac:dyDescent="0.25">
      <c r="A26055" s="2">
        <v>26050</v>
      </c>
      <c r="B26055" s="3" t="str">
        <f>"01077364"</f>
        <v>01077364</v>
      </c>
    </row>
    <row r="26056" spans="1:2" x14ac:dyDescent="0.25">
      <c r="A26056" s="2">
        <v>26051</v>
      </c>
      <c r="B26056" s="3" t="str">
        <f>"01077369"</f>
        <v>01077369</v>
      </c>
    </row>
    <row r="26057" spans="1:2" x14ac:dyDescent="0.25">
      <c r="A26057" s="2">
        <v>26052</v>
      </c>
      <c r="B26057" s="3" t="str">
        <f>"01077370"</f>
        <v>01077370</v>
      </c>
    </row>
    <row r="26058" spans="1:2" x14ac:dyDescent="0.25">
      <c r="A26058" s="2">
        <v>26053</v>
      </c>
      <c r="B26058" s="3" t="str">
        <f>"01077372"</f>
        <v>01077372</v>
      </c>
    </row>
    <row r="26059" spans="1:2" x14ac:dyDescent="0.25">
      <c r="A26059" s="2">
        <v>26054</v>
      </c>
      <c r="B26059" s="3" t="str">
        <f>"01077374"</f>
        <v>01077374</v>
      </c>
    </row>
    <row r="26060" spans="1:2" x14ac:dyDescent="0.25">
      <c r="A26060" s="2">
        <v>26055</v>
      </c>
      <c r="B26060" s="3" t="str">
        <f>"01077381"</f>
        <v>01077381</v>
      </c>
    </row>
    <row r="26061" spans="1:2" x14ac:dyDescent="0.25">
      <c r="A26061" s="2">
        <v>26056</v>
      </c>
      <c r="B26061" s="3" t="str">
        <f>"01077382"</f>
        <v>01077382</v>
      </c>
    </row>
    <row r="26062" spans="1:2" x14ac:dyDescent="0.25">
      <c r="A26062" s="2">
        <v>26057</v>
      </c>
      <c r="B26062" s="3" t="str">
        <f>"01077387"</f>
        <v>01077387</v>
      </c>
    </row>
    <row r="26063" spans="1:2" x14ac:dyDescent="0.25">
      <c r="A26063" s="2">
        <v>26058</v>
      </c>
      <c r="B26063" s="3" t="str">
        <f>"01077393"</f>
        <v>01077393</v>
      </c>
    </row>
    <row r="26064" spans="1:2" x14ac:dyDescent="0.25">
      <c r="A26064" s="2">
        <v>26059</v>
      </c>
      <c r="B26064" s="3" t="str">
        <f>"01077401"</f>
        <v>01077401</v>
      </c>
    </row>
    <row r="26065" spans="1:2" x14ac:dyDescent="0.25">
      <c r="A26065" s="2">
        <v>26060</v>
      </c>
      <c r="B26065" s="3" t="str">
        <f>"01077408"</f>
        <v>01077408</v>
      </c>
    </row>
    <row r="26066" spans="1:2" x14ac:dyDescent="0.25">
      <c r="A26066" s="2">
        <v>26061</v>
      </c>
      <c r="B26066" s="3" t="str">
        <f>"01077409"</f>
        <v>01077409</v>
      </c>
    </row>
    <row r="26067" spans="1:2" x14ac:dyDescent="0.25">
      <c r="A26067" s="2">
        <v>26062</v>
      </c>
      <c r="B26067" s="3" t="str">
        <f>"01077410"</f>
        <v>01077410</v>
      </c>
    </row>
    <row r="26068" spans="1:2" x14ac:dyDescent="0.25">
      <c r="A26068" s="2">
        <v>26063</v>
      </c>
      <c r="B26068" s="3" t="str">
        <f>"01077413"</f>
        <v>01077413</v>
      </c>
    </row>
    <row r="26069" spans="1:2" x14ac:dyDescent="0.25">
      <c r="A26069" s="2">
        <v>26064</v>
      </c>
      <c r="B26069" s="3" t="str">
        <f>"01077416"</f>
        <v>01077416</v>
      </c>
    </row>
    <row r="26070" spans="1:2" x14ac:dyDescent="0.25">
      <c r="A26070" s="2">
        <v>26065</v>
      </c>
      <c r="B26070" s="3" t="str">
        <f>"01077418"</f>
        <v>01077418</v>
      </c>
    </row>
    <row r="26071" spans="1:2" x14ac:dyDescent="0.25">
      <c r="A26071" s="2">
        <v>26066</v>
      </c>
      <c r="B26071" s="3" t="str">
        <f>"01077426"</f>
        <v>01077426</v>
      </c>
    </row>
    <row r="26072" spans="1:2" x14ac:dyDescent="0.25">
      <c r="A26072" s="2">
        <v>26067</v>
      </c>
      <c r="B26072" s="3" t="str">
        <f>"01077429"</f>
        <v>01077429</v>
      </c>
    </row>
    <row r="26073" spans="1:2" x14ac:dyDescent="0.25">
      <c r="A26073" s="2">
        <v>26068</v>
      </c>
      <c r="B26073" s="3" t="str">
        <f>"01077435"</f>
        <v>01077435</v>
      </c>
    </row>
    <row r="26074" spans="1:2" x14ac:dyDescent="0.25">
      <c r="A26074" s="2">
        <v>26069</v>
      </c>
      <c r="B26074" s="3" t="str">
        <f>"01077436"</f>
        <v>01077436</v>
      </c>
    </row>
    <row r="26075" spans="1:2" x14ac:dyDescent="0.25">
      <c r="A26075" s="2">
        <v>26070</v>
      </c>
      <c r="B26075" s="3" t="str">
        <f>"01077441"</f>
        <v>01077441</v>
      </c>
    </row>
    <row r="26076" spans="1:2" x14ac:dyDescent="0.25">
      <c r="A26076" s="2">
        <v>26071</v>
      </c>
      <c r="B26076" s="3" t="str">
        <f>"01077446"</f>
        <v>01077446</v>
      </c>
    </row>
    <row r="26077" spans="1:2" x14ac:dyDescent="0.25">
      <c r="A26077" s="2">
        <v>26072</v>
      </c>
      <c r="B26077" s="3" t="str">
        <f>"01077452"</f>
        <v>01077452</v>
      </c>
    </row>
    <row r="26078" spans="1:2" x14ac:dyDescent="0.25">
      <c r="A26078" s="2">
        <v>26073</v>
      </c>
      <c r="B26078" s="3" t="str">
        <f>"01077458"</f>
        <v>01077458</v>
      </c>
    </row>
    <row r="26079" spans="1:2" x14ac:dyDescent="0.25">
      <c r="A26079" s="2">
        <v>26074</v>
      </c>
      <c r="B26079" s="3" t="str">
        <f>"01077466"</f>
        <v>01077466</v>
      </c>
    </row>
    <row r="26080" spans="1:2" x14ac:dyDescent="0.25">
      <c r="A26080" s="2">
        <v>26075</v>
      </c>
      <c r="B26080" s="3" t="str">
        <f>"01077471"</f>
        <v>01077471</v>
      </c>
    </row>
    <row r="26081" spans="1:2" x14ac:dyDescent="0.25">
      <c r="A26081" s="2">
        <v>26076</v>
      </c>
      <c r="B26081" s="3" t="str">
        <f>"01077478"</f>
        <v>01077478</v>
      </c>
    </row>
    <row r="26082" spans="1:2" x14ac:dyDescent="0.25">
      <c r="A26082" s="2">
        <v>26077</v>
      </c>
      <c r="B26082" s="3" t="str">
        <f>"01077480"</f>
        <v>01077480</v>
      </c>
    </row>
    <row r="26083" spans="1:2" x14ac:dyDescent="0.25">
      <c r="A26083" s="2">
        <v>26078</v>
      </c>
      <c r="B26083" s="3" t="str">
        <f>"01077481"</f>
        <v>01077481</v>
      </c>
    </row>
    <row r="26084" spans="1:2" x14ac:dyDescent="0.25">
      <c r="A26084" s="2">
        <v>26079</v>
      </c>
      <c r="B26084" s="3" t="str">
        <f>"01077482"</f>
        <v>01077482</v>
      </c>
    </row>
    <row r="26085" spans="1:2" x14ac:dyDescent="0.25">
      <c r="A26085" s="2">
        <v>26080</v>
      </c>
      <c r="B26085" s="3" t="str">
        <f>"01077484"</f>
        <v>01077484</v>
      </c>
    </row>
    <row r="26086" spans="1:2" x14ac:dyDescent="0.25">
      <c r="A26086" s="2">
        <v>26081</v>
      </c>
      <c r="B26086" s="3" t="str">
        <f>"01077489"</f>
        <v>01077489</v>
      </c>
    </row>
    <row r="26087" spans="1:2" x14ac:dyDescent="0.25">
      <c r="A26087" s="2">
        <v>26082</v>
      </c>
      <c r="B26087" s="3" t="str">
        <f>"01077495"</f>
        <v>01077495</v>
      </c>
    </row>
    <row r="26088" spans="1:2" x14ac:dyDescent="0.25">
      <c r="A26088" s="2">
        <v>26083</v>
      </c>
      <c r="B26088" s="3" t="str">
        <f>"01077497"</f>
        <v>01077497</v>
      </c>
    </row>
    <row r="26089" spans="1:2" x14ac:dyDescent="0.25">
      <c r="A26089" s="2">
        <v>26084</v>
      </c>
      <c r="B26089" s="3" t="str">
        <f>"01077498"</f>
        <v>01077498</v>
      </c>
    </row>
    <row r="26090" spans="1:2" x14ac:dyDescent="0.25">
      <c r="A26090" s="2">
        <v>26085</v>
      </c>
      <c r="B26090" s="3" t="str">
        <f>"01077502"</f>
        <v>01077502</v>
      </c>
    </row>
    <row r="26091" spans="1:2" x14ac:dyDescent="0.25">
      <c r="A26091" s="2">
        <v>26086</v>
      </c>
      <c r="B26091" s="3" t="str">
        <f>"01077507"</f>
        <v>01077507</v>
      </c>
    </row>
    <row r="26092" spans="1:2" x14ac:dyDescent="0.25">
      <c r="A26092" s="2">
        <v>26087</v>
      </c>
      <c r="B26092" s="3" t="str">
        <f>"01077511"</f>
        <v>01077511</v>
      </c>
    </row>
    <row r="26093" spans="1:2" x14ac:dyDescent="0.25">
      <c r="A26093" s="2">
        <v>26088</v>
      </c>
      <c r="B26093" s="3" t="str">
        <f>"01077512"</f>
        <v>01077512</v>
      </c>
    </row>
    <row r="26094" spans="1:2" x14ac:dyDescent="0.25">
      <c r="A26094" s="2">
        <v>26089</v>
      </c>
      <c r="B26094" s="3" t="str">
        <f>"01077513"</f>
        <v>01077513</v>
      </c>
    </row>
    <row r="26095" spans="1:2" x14ac:dyDescent="0.25">
      <c r="A26095" s="2">
        <v>26090</v>
      </c>
      <c r="B26095" s="3" t="str">
        <f>"01077516"</f>
        <v>01077516</v>
      </c>
    </row>
    <row r="26096" spans="1:2" x14ac:dyDescent="0.25">
      <c r="A26096" s="2">
        <v>26091</v>
      </c>
      <c r="B26096" s="3" t="str">
        <f>"01077517"</f>
        <v>01077517</v>
      </c>
    </row>
    <row r="26097" spans="1:2" x14ac:dyDescent="0.25">
      <c r="A26097" s="2">
        <v>26092</v>
      </c>
      <c r="B26097" s="3" t="str">
        <f>"01077521"</f>
        <v>01077521</v>
      </c>
    </row>
    <row r="26098" spans="1:2" x14ac:dyDescent="0.25">
      <c r="A26098" s="2">
        <v>26093</v>
      </c>
      <c r="B26098" s="3" t="str">
        <f>"01077532"</f>
        <v>01077532</v>
      </c>
    </row>
    <row r="26099" spans="1:2" x14ac:dyDescent="0.25">
      <c r="A26099" s="2">
        <v>26094</v>
      </c>
      <c r="B26099" s="3" t="str">
        <f>"01077533"</f>
        <v>01077533</v>
      </c>
    </row>
    <row r="26100" spans="1:2" x14ac:dyDescent="0.25">
      <c r="A26100" s="2">
        <v>26095</v>
      </c>
      <c r="B26100" s="3" t="str">
        <f>"01077539"</f>
        <v>01077539</v>
      </c>
    </row>
    <row r="26101" spans="1:2" x14ac:dyDescent="0.25">
      <c r="A26101" s="2">
        <v>26096</v>
      </c>
      <c r="B26101" s="3" t="str">
        <f>"01077540"</f>
        <v>01077540</v>
      </c>
    </row>
    <row r="26102" spans="1:2" x14ac:dyDescent="0.25">
      <c r="A26102" s="2">
        <v>26097</v>
      </c>
      <c r="B26102" s="3" t="str">
        <f>"01077542"</f>
        <v>01077542</v>
      </c>
    </row>
    <row r="26103" spans="1:2" x14ac:dyDescent="0.25">
      <c r="A26103" s="2">
        <v>26098</v>
      </c>
      <c r="B26103" s="3" t="str">
        <f>"01077544"</f>
        <v>01077544</v>
      </c>
    </row>
    <row r="26104" spans="1:2" x14ac:dyDescent="0.25">
      <c r="A26104" s="2">
        <v>26099</v>
      </c>
      <c r="B26104" s="3" t="str">
        <f>"01077545"</f>
        <v>01077545</v>
      </c>
    </row>
    <row r="26105" spans="1:2" x14ac:dyDescent="0.25">
      <c r="A26105" s="2">
        <v>26100</v>
      </c>
      <c r="B26105" s="3" t="str">
        <f>"01077546"</f>
        <v>01077546</v>
      </c>
    </row>
    <row r="26106" spans="1:2" x14ac:dyDescent="0.25">
      <c r="A26106" s="2">
        <v>26101</v>
      </c>
      <c r="B26106" s="3" t="str">
        <f>"01077559"</f>
        <v>01077559</v>
      </c>
    </row>
    <row r="26107" spans="1:2" x14ac:dyDescent="0.25">
      <c r="A26107" s="2">
        <v>26102</v>
      </c>
      <c r="B26107" s="3" t="str">
        <f>"01077560"</f>
        <v>01077560</v>
      </c>
    </row>
    <row r="26108" spans="1:2" x14ac:dyDescent="0.25">
      <c r="A26108" s="2">
        <v>26103</v>
      </c>
      <c r="B26108" s="3" t="str">
        <f>"01077570"</f>
        <v>01077570</v>
      </c>
    </row>
    <row r="26109" spans="1:2" x14ac:dyDescent="0.25">
      <c r="A26109" s="2">
        <v>26104</v>
      </c>
      <c r="B26109" s="3" t="str">
        <f>"01077571"</f>
        <v>01077571</v>
      </c>
    </row>
    <row r="26110" spans="1:2" x14ac:dyDescent="0.25">
      <c r="A26110" s="2">
        <v>26105</v>
      </c>
      <c r="B26110" s="3" t="str">
        <f>"01077573"</f>
        <v>01077573</v>
      </c>
    </row>
    <row r="26111" spans="1:2" x14ac:dyDescent="0.25">
      <c r="A26111" s="2">
        <v>26106</v>
      </c>
      <c r="B26111" s="3" t="str">
        <f>"01077575"</f>
        <v>01077575</v>
      </c>
    </row>
    <row r="26112" spans="1:2" x14ac:dyDescent="0.25">
      <c r="A26112" s="2">
        <v>26107</v>
      </c>
      <c r="B26112" s="3" t="str">
        <f>"01077578"</f>
        <v>01077578</v>
      </c>
    </row>
    <row r="26113" spans="1:2" x14ac:dyDescent="0.25">
      <c r="A26113" s="2">
        <v>26108</v>
      </c>
      <c r="B26113" s="3" t="str">
        <f>"01077581"</f>
        <v>01077581</v>
      </c>
    </row>
    <row r="26114" spans="1:2" x14ac:dyDescent="0.25">
      <c r="A26114" s="2">
        <v>26109</v>
      </c>
      <c r="B26114" s="3" t="str">
        <f>"01077591"</f>
        <v>01077591</v>
      </c>
    </row>
    <row r="26115" spans="1:2" x14ac:dyDescent="0.25">
      <c r="A26115" s="2">
        <v>26110</v>
      </c>
      <c r="B26115" s="3" t="str">
        <f>"01077592"</f>
        <v>01077592</v>
      </c>
    </row>
    <row r="26116" spans="1:2" x14ac:dyDescent="0.25">
      <c r="A26116" s="2">
        <v>26111</v>
      </c>
      <c r="B26116" s="3" t="str">
        <f>"01077593"</f>
        <v>01077593</v>
      </c>
    </row>
    <row r="26117" spans="1:2" x14ac:dyDescent="0.25">
      <c r="A26117" s="2">
        <v>26112</v>
      </c>
      <c r="B26117" s="3" t="str">
        <f>"01077606"</f>
        <v>01077606</v>
      </c>
    </row>
    <row r="26118" spans="1:2" x14ac:dyDescent="0.25">
      <c r="A26118" s="2">
        <v>26113</v>
      </c>
      <c r="B26118" s="3" t="str">
        <f>"01077611"</f>
        <v>01077611</v>
      </c>
    </row>
    <row r="26119" spans="1:2" x14ac:dyDescent="0.25">
      <c r="A26119" s="2">
        <v>26114</v>
      </c>
      <c r="B26119" s="3" t="str">
        <f>"01077614"</f>
        <v>01077614</v>
      </c>
    </row>
    <row r="26120" spans="1:2" x14ac:dyDescent="0.25">
      <c r="A26120" s="2">
        <v>26115</v>
      </c>
      <c r="B26120" s="3" t="str">
        <f>"01077624"</f>
        <v>01077624</v>
      </c>
    </row>
    <row r="26121" spans="1:2" x14ac:dyDescent="0.25">
      <c r="A26121" s="2">
        <v>26116</v>
      </c>
      <c r="B26121" s="3" t="str">
        <f>"01077627"</f>
        <v>01077627</v>
      </c>
    </row>
    <row r="26122" spans="1:2" x14ac:dyDescent="0.25">
      <c r="A26122" s="2">
        <v>26117</v>
      </c>
      <c r="B26122" s="3" t="str">
        <f>"01077629"</f>
        <v>01077629</v>
      </c>
    </row>
    <row r="26123" spans="1:2" x14ac:dyDescent="0.25">
      <c r="A26123" s="2">
        <v>26118</v>
      </c>
      <c r="B26123" s="3" t="str">
        <f>"01077630"</f>
        <v>01077630</v>
      </c>
    </row>
    <row r="26124" spans="1:2" x14ac:dyDescent="0.25">
      <c r="A26124" s="2">
        <v>26119</v>
      </c>
      <c r="B26124" s="3" t="str">
        <f>"01077635"</f>
        <v>01077635</v>
      </c>
    </row>
    <row r="26125" spans="1:2" x14ac:dyDescent="0.25">
      <c r="A26125" s="2">
        <v>26120</v>
      </c>
      <c r="B26125" s="3" t="str">
        <f>"01077645"</f>
        <v>01077645</v>
      </c>
    </row>
    <row r="26126" spans="1:2" x14ac:dyDescent="0.25">
      <c r="A26126" s="2">
        <v>26121</v>
      </c>
      <c r="B26126" s="3" t="str">
        <f>"01077646"</f>
        <v>01077646</v>
      </c>
    </row>
    <row r="26127" spans="1:2" x14ac:dyDescent="0.25">
      <c r="A26127" s="2">
        <v>26122</v>
      </c>
      <c r="B26127" s="3" t="str">
        <f>"01077651"</f>
        <v>01077651</v>
      </c>
    </row>
    <row r="26128" spans="1:2" x14ac:dyDescent="0.25">
      <c r="A26128" s="2">
        <v>26123</v>
      </c>
      <c r="B26128" s="3" t="str">
        <f>"01077652"</f>
        <v>01077652</v>
      </c>
    </row>
    <row r="26129" spans="1:2" x14ac:dyDescent="0.25">
      <c r="A26129" s="2">
        <v>26124</v>
      </c>
      <c r="B26129" s="3" t="str">
        <f>"01077657"</f>
        <v>01077657</v>
      </c>
    </row>
    <row r="26130" spans="1:2" x14ac:dyDescent="0.25">
      <c r="A26130" s="2">
        <v>26125</v>
      </c>
      <c r="B26130" s="3" t="str">
        <f>"01077664"</f>
        <v>01077664</v>
      </c>
    </row>
    <row r="26131" spans="1:2" x14ac:dyDescent="0.25">
      <c r="A26131" s="2">
        <v>26126</v>
      </c>
      <c r="B26131" s="3" t="str">
        <f>"01077673"</f>
        <v>01077673</v>
      </c>
    </row>
    <row r="26132" spans="1:2" x14ac:dyDescent="0.25">
      <c r="A26132" s="2">
        <v>26127</v>
      </c>
      <c r="B26132" s="3" t="str">
        <f>"01077679"</f>
        <v>01077679</v>
      </c>
    </row>
    <row r="26133" spans="1:2" x14ac:dyDescent="0.25">
      <c r="A26133" s="2">
        <v>26128</v>
      </c>
      <c r="B26133" s="3" t="str">
        <f>"01077681"</f>
        <v>01077681</v>
      </c>
    </row>
    <row r="26134" spans="1:2" x14ac:dyDescent="0.25">
      <c r="A26134" s="2">
        <v>26129</v>
      </c>
      <c r="B26134" s="3" t="str">
        <f>"01077698"</f>
        <v>01077698</v>
      </c>
    </row>
    <row r="26135" spans="1:2" x14ac:dyDescent="0.25">
      <c r="A26135" s="2">
        <v>26130</v>
      </c>
      <c r="B26135" s="3" t="str">
        <f>"01077699"</f>
        <v>01077699</v>
      </c>
    </row>
    <row r="26136" spans="1:2" x14ac:dyDescent="0.25">
      <c r="A26136" s="2">
        <v>26131</v>
      </c>
      <c r="B26136" s="3" t="str">
        <f>"01077700"</f>
        <v>01077700</v>
      </c>
    </row>
    <row r="26137" spans="1:2" x14ac:dyDescent="0.25">
      <c r="A26137" s="2">
        <v>26132</v>
      </c>
      <c r="B26137" s="3" t="str">
        <f>"01077717"</f>
        <v>01077717</v>
      </c>
    </row>
    <row r="26138" spans="1:2" x14ac:dyDescent="0.25">
      <c r="A26138" s="2">
        <v>26133</v>
      </c>
      <c r="B26138" s="3" t="str">
        <f>"01077718"</f>
        <v>01077718</v>
      </c>
    </row>
    <row r="26139" spans="1:2" x14ac:dyDescent="0.25">
      <c r="A26139" s="2">
        <v>26134</v>
      </c>
      <c r="B26139" s="3" t="str">
        <f>"01077720"</f>
        <v>01077720</v>
      </c>
    </row>
    <row r="26140" spans="1:2" x14ac:dyDescent="0.25">
      <c r="A26140" s="2">
        <v>26135</v>
      </c>
      <c r="B26140" s="3" t="str">
        <f>"01077721"</f>
        <v>01077721</v>
      </c>
    </row>
    <row r="26141" spans="1:2" x14ac:dyDescent="0.25">
      <c r="A26141" s="2">
        <v>26136</v>
      </c>
      <c r="B26141" s="3" t="str">
        <f>"01077724"</f>
        <v>01077724</v>
      </c>
    </row>
    <row r="26142" spans="1:2" x14ac:dyDescent="0.25">
      <c r="A26142" s="2">
        <v>26137</v>
      </c>
      <c r="B26142" s="3" t="str">
        <f>"01077731"</f>
        <v>01077731</v>
      </c>
    </row>
    <row r="26143" spans="1:2" x14ac:dyDescent="0.25">
      <c r="A26143" s="2">
        <v>26138</v>
      </c>
      <c r="B26143" s="3" t="str">
        <f>"01077737"</f>
        <v>01077737</v>
      </c>
    </row>
    <row r="26144" spans="1:2" x14ac:dyDescent="0.25">
      <c r="A26144" s="2">
        <v>26139</v>
      </c>
      <c r="B26144" s="3" t="str">
        <f>"01077746"</f>
        <v>01077746</v>
      </c>
    </row>
    <row r="26145" spans="1:2" x14ac:dyDescent="0.25">
      <c r="A26145" s="2">
        <v>26140</v>
      </c>
      <c r="B26145" s="3" t="str">
        <f>"01077752"</f>
        <v>01077752</v>
      </c>
    </row>
    <row r="26146" spans="1:2" x14ac:dyDescent="0.25">
      <c r="A26146" s="2">
        <v>26141</v>
      </c>
      <c r="B26146" s="3" t="str">
        <f>"01077753"</f>
        <v>01077753</v>
      </c>
    </row>
    <row r="26147" spans="1:2" x14ac:dyDescent="0.25">
      <c r="A26147" s="2">
        <v>26142</v>
      </c>
      <c r="B26147" s="3" t="str">
        <f>"01077755"</f>
        <v>01077755</v>
      </c>
    </row>
    <row r="26148" spans="1:2" x14ac:dyDescent="0.25">
      <c r="A26148" s="2">
        <v>26143</v>
      </c>
      <c r="B26148" s="3" t="str">
        <f>"01077757"</f>
        <v>01077757</v>
      </c>
    </row>
    <row r="26149" spans="1:2" x14ac:dyDescent="0.25">
      <c r="A26149" s="2">
        <v>26144</v>
      </c>
      <c r="B26149" s="3" t="str">
        <f>"01077767"</f>
        <v>01077767</v>
      </c>
    </row>
    <row r="26150" spans="1:2" x14ac:dyDescent="0.25">
      <c r="A26150" s="2">
        <v>26145</v>
      </c>
      <c r="B26150" s="3" t="str">
        <f>"01077768"</f>
        <v>01077768</v>
      </c>
    </row>
    <row r="26151" spans="1:2" x14ac:dyDescent="0.25">
      <c r="A26151" s="2">
        <v>26146</v>
      </c>
      <c r="B26151" s="3" t="str">
        <f>"01077769"</f>
        <v>01077769</v>
      </c>
    </row>
    <row r="26152" spans="1:2" x14ac:dyDescent="0.25">
      <c r="A26152" s="2">
        <v>26147</v>
      </c>
      <c r="B26152" s="3" t="str">
        <f>"01077779"</f>
        <v>01077779</v>
      </c>
    </row>
    <row r="26153" spans="1:2" x14ac:dyDescent="0.25">
      <c r="A26153" s="2">
        <v>26148</v>
      </c>
      <c r="B26153" s="3" t="str">
        <f>"01077782"</f>
        <v>01077782</v>
      </c>
    </row>
    <row r="26154" spans="1:2" x14ac:dyDescent="0.25">
      <c r="A26154" s="2">
        <v>26149</v>
      </c>
      <c r="B26154" s="3" t="str">
        <f>"01077788"</f>
        <v>01077788</v>
      </c>
    </row>
    <row r="26155" spans="1:2" x14ac:dyDescent="0.25">
      <c r="A26155" s="2">
        <v>26150</v>
      </c>
      <c r="B26155" s="3" t="str">
        <f>"01077794"</f>
        <v>01077794</v>
      </c>
    </row>
    <row r="26156" spans="1:2" x14ac:dyDescent="0.25">
      <c r="A26156" s="2">
        <v>26151</v>
      </c>
      <c r="B26156" s="3" t="str">
        <f>"01077796"</f>
        <v>01077796</v>
      </c>
    </row>
    <row r="26157" spans="1:2" x14ac:dyDescent="0.25">
      <c r="A26157" s="2">
        <v>26152</v>
      </c>
      <c r="B26157" s="3" t="str">
        <f>"01077800"</f>
        <v>01077800</v>
      </c>
    </row>
    <row r="26158" spans="1:2" x14ac:dyDescent="0.25">
      <c r="A26158" s="2">
        <v>26153</v>
      </c>
      <c r="B26158" s="3" t="str">
        <f>"01077803"</f>
        <v>01077803</v>
      </c>
    </row>
    <row r="26159" spans="1:2" x14ac:dyDescent="0.25">
      <c r="A26159" s="2">
        <v>26154</v>
      </c>
      <c r="B26159" s="3" t="str">
        <f>"01077807"</f>
        <v>01077807</v>
      </c>
    </row>
    <row r="26160" spans="1:2" x14ac:dyDescent="0.25">
      <c r="A26160" s="2">
        <v>26155</v>
      </c>
      <c r="B26160" s="3" t="str">
        <f>"01077809"</f>
        <v>01077809</v>
      </c>
    </row>
    <row r="26161" spans="1:2" x14ac:dyDescent="0.25">
      <c r="A26161" s="2">
        <v>26156</v>
      </c>
      <c r="B26161" s="3" t="str">
        <f>"01077810"</f>
        <v>01077810</v>
      </c>
    </row>
    <row r="26162" spans="1:2" x14ac:dyDescent="0.25">
      <c r="A26162" s="2">
        <v>26157</v>
      </c>
      <c r="B26162" s="3" t="str">
        <f>"01077811"</f>
        <v>01077811</v>
      </c>
    </row>
    <row r="26163" spans="1:2" x14ac:dyDescent="0.25">
      <c r="A26163" s="2">
        <v>26158</v>
      </c>
      <c r="B26163" s="3" t="str">
        <f>"01077813"</f>
        <v>01077813</v>
      </c>
    </row>
    <row r="26164" spans="1:2" x14ac:dyDescent="0.25">
      <c r="A26164" s="2">
        <v>26159</v>
      </c>
      <c r="B26164" s="3" t="str">
        <f>"01077821"</f>
        <v>01077821</v>
      </c>
    </row>
    <row r="26165" spans="1:2" x14ac:dyDescent="0.25">
      <c r="A26165" s="2">
        <v>26160</v>
      </c>
      <c r="B26165" s="3" t="str">
        <f>"01077822"</f>
        <v>01077822</v>
      </c>
    </row>
    <row r="26166" spans="1:2" x14ac:dyDescent="0.25">
      <c r="A26166" s="2">
        <v>26161</v>
      </c>
      <c r="B26166" s="3" t="str">
        <f>"01077827"</f>
        <v>01077827</v>
      </c>
    </row>
    <row r="26167" spans="1:2" x14ac:dyDescent="0.25">
      <c r="A26167" s="2">
        <v>26162</v>
      </c>
      <c r="B26167" s="3" t="str">
        <f>"01077828"</f>
        <v>01077828</v>
      </c>
    </row>
    <row r="26168" spans="1:2" x14ac:dyDescent="0.25">
      <c r="A26168" s="2">
        <v>26163</v>
      </c>
      <c r="B26168" s="3" t="str">
        <f>"01077835"</f>
        <v>01077835</v>
      </c>
    </row>
    <row r="26169" spans="1:2" x14ac:dyDescent="0.25">
      <c r="A26169" s="2">
        <v>26164</v>
      </c>
      <c r="B26169" s="3" t="str">
        <f>"01077836"</f>
        <v>01077836</v>
      </c>
    </row>
    <row r="26170" spans="1:2" x14ac:dyDescent="0.25">
      <c r="A26170" s="2">
        <v>26165</v>
      </c>
      <c r="B26170" s="3" t="str">
        <f>"01077838"</f>
        <v>01077838</v>
      </c>
    </row>
    <row r="26171" spans="1:2" x14ac:dyDescent="0.25">
      <c r="A26171" s="2">
        <v>26166</v>
      </c>
      <c r="B26171" s="3" t="str">
        <f>"01077840"</f>
        <v>01077840</v>
      </c>
    </row>
    <row r="26172" spans="1:2" x14ac:dyDescent="0.25">
      <c r="A26172" s="2">
        <v>26167</v>
      </c>
      <c r="B26172" s="3" t="str">
        <f>"01077842"</f>
        <v>01077842</v>
      </c>
    </row>
    <row r="26173" spans="1:2" x14ac:dyDescent="0.25">
      <c r="A26173" s="2">
        <v>26168</v>
      </c>
      <c r="B26173" s="3" t="str">
        <f>"01077851"</f>
        <v>01077851</v>
      </c>
    </row>
    <row r="26174" spans="1:2" x14ac:dyDescent="0.25">
      <c r="A26174" s="2">
        <v>26169</v>
      </c>
      <c r="B26174" s="3" t="str">
        <f>"01077862"</f>
        <v>01077862</v>
      </c>
    </row>
    <row r="26175" spans="1:2" x14ac:dyDescent="0.25">
      <c r="A26175" s="2">
        <v>26170</v>
      </c>
      <c r="B26175" s="3" t="str">
        <f>"01077868"</f>
        <v>01077868</v>
      </c>
    </row>
    <row r="26176" spans="1:2" x14ac:dyDescent="0.25">
      <c r="A26176" s="2">
        <v>26171</v>
      </c>
      <c r="B26176" s="3" t="str">
        <f>"01077877"</f>
        <v>01077877</v>
      </c>
    </row>
    <row r="26177" spans="1:2" x14ac:dyDescent="0.25">
      <c r="A26177" s="2">
        <v>26172</v>
      </c>
      <c r="B26177" s="3" t="str">
        <f>"01077878"</f>
        <v>01077878</v>
      </c>
    </row>
    <row r="26178" spans="1:2" x14ac:dyDescent="0.25">
      <c r="A26178" s="2">
        <v>26173</v>
      </c>
      <c r="B26178" s="3" t="str">
        <f>"01077884"</f>
        <v>01077884</v>
      </c>
    </row>
    <row r="26179" spans="1:2" x14ac:dyDescent="0.25">
      <c r="A26179" s="2">
        <v>26174</v>
      </c>
      <c r="B26179" s="3" t="str">
        <f>"01077885"</f>
        <v>01077885</v>
      </c>
    </row>
    <row r="26180" spans="1:2" x14ac:dyDescent="0.25">
      <c r="A26180" s="2">
        <v>26175</v>
      </c>
      <c r="B26180" s="3" t="str">
        <f>"01077888"</f>
        <v>01077888</v>
      </c>
    </row>
    <row r="26181" spans="1:2" x14ac:dyDescent="0.25">
      <c r="A26181" s="2">
        <v>26176</v>
      </c>
      <c r="B26181" s="3" t="str">
        <f>"01077898"</f>
        <v>01077898</v>
      </c>
    </row>
    <row r="26182" spans="1:2" x14ac:dyDescent="0.25">
      <c r="A26182" s="2">
        <v>26177</v>
      </c>
      <c r="B26182" s="3" t="str">
        <f>"01077900"</f>
        <v>01077900</v>
      </c>
    </row>
    <row r="26183" spans="1:2" x14ac:dyDescent="0.25">
      <c r="A26183" s="2">
        <v>26178</v>
      </c>
      <c r="B26183" s="3" t="str">
        <f>"01077903"</f>
        <v>01077903</v>
      </c>
    </row>
    <row r="26184" spans="1:2" x14ac:dyDescent="0.25">
      <c r="A26184" s="2">
        <v>26179</v>
      </c>
      <c r="B26184" s="3" t="str">
        <f>"01077907"</f>
        <v>01077907</v>
      </c>
    </row>
    <row r="26185" spans="1:2" x14ac:dyDescent="0.25">
      <c r="A26185" s="2">
        <v>26180</v>
      </c>
      <c r="B26185" s="3" t="str">
        <f>"01077911"</f>
        <v>01077911</v>
      </c>
    </row>
    <row r="26186" spans="1:2" x14ac:dyDescent="0.25">
      <c r="A26186" s="2">
        <v>26181</v>
      </c>
      <c r="B26186" s="3" t="str">
        <f>"01077912"</f>
        <v>01077912</v>
      </c>
    </row>
    <row r="26187" spans="1:2" x14ac:dyDescent="0.25">
      <c r="A26187" s="2">
        <v>26182</v>
      </c>
      <c r="B26187" s="3" t="str">
        <f>"01077914"</f>
        <v>01077914</v>
      </c>
    </row>
    <row r="26188" spans="1:2" x14ac:dyDescent="0.25">
      <c r="A26188" s="2">
        <v>26183</v>
      </c>
      <c r="B26188" s="3" t="str">
        <f>"01077915"</f>
        <v>01077915</v>
      </c>
    </row>
    <row r="26189" spans="1:2" x14ac:dyDescent="0.25">
      <c r="A26189" s="2">
        <v>26184</v>
      </c>
      <c r="B26189" s="3" t="str">
        <f>"01077925"</f>
        <v>01077925</v>
      </c>
    </row>
    <row r="26190" spans="1:2" x14ac:dyDescent="0.25">
      <c r="A26190" s="2">
        <v>26185</v>
      </c>
      <c r="B26190" s="3" t="str">
        <f>"01077929"</f>
        <v>01077929</v>
      </c>
    </row>
    <row r="26191" spans="1:2" x14ac:dyDescent="0.25">
      <c r="A26191" s="2">
        <v>26186</v>
      </c>
      <c r="B26191" s="3" t="str">
        <f>"01077932"</f>
        <v>01077932</v>
      </c>
    </row>
    <row r="26192" spans="1:2" x14ac:dyDescent="0.25">
      <c r="A26192" s="2">
        <v>26187</v>
      </c>
      <c r="B26192" s="3" t="str">
        <f>"01077938"</f>
        <v>01077938</v>
      </c>
    </row>
    <row r="26193" spans="1:2" x14ac:dyDescent="0.25">
      <c r="A26193" s="2">
        <v>26188</v>
      </c>
      <c r="B26193" s="3" t="str">
        <f>"01077940"</f>
        <v>01077940</v>
      </c>
    </row>
    <row r="26194" spans="1:2" x14ac:dyDescent="0.25">
      <c r="A26194" s="2">
        <v>26189</v>
      </c>
      <c r="B26194" s="3" t="str">
        <f>"01077942"</f>
        <v>01077942</v>
      </c>
    </row>
    <row r="26195" spans="1:2" x14ac:dyDescent="0.25">
      <c r="A26195" s="2">
        <v>26190</v>
      </c>
      <c r="B26195" s="3" t="str">
        <f>"01077944"</f>
        <v>01077944</v>
      </c>
    </row>
    <row r="26196" spans="1:2" x14ac:dyDescent="0.25">
      <c r="A26196" s="2">
        <v>26191</v>
      </c>
      <c r="B26196" s="3" t="str">
        <f>"01077946"</f>
        <v>01077946</v>
      </c>
    </row>
    <row r="26197" spans="1:2" x14ac:dyDescent="0.25">
      <c r="A26197" s="2">
        <v>26192</v>
      </c>
      <c r="B26197" s="3" t="str">
        <f>"01077952"</f>
        <v>01077952</v>
      </c>
    </row>
    <row r="26198" spans="1:2" x14ac:dyDescent="0.25">
      <c r="A26198" s="2">
        <v>26193</v>
      </c>
      <c r="B26198" s="3" t="str">
        <f>"01077964"</f>
        <v>01077964</v>
      </c>
    </row>
    <row r="26199" spans="1:2" x14ac:dyDescent="0.25">
      <c r="A26199" s="2">
        <v>26194</v>
      </c>
      <c r="B26199" s="3" t="str">
        <f>"01077977"</f>
        <v>01077977</v>
      </c>
    </row>
    <row r="26200" spans="1:2" x14ac:dyDescent="0.25">
      <c r="A26200" s="2">
        <v>26195</v>
      </c>
      <c r="B26200" s="3" t="str">
        <f>"01077994"</f>
        <v>01077994</v>
      </c>
    </row>
    <row r="26201" spans="1:2" x14ac:dyDescent="0.25">
      <c r="A26201" s="2">
        <v>26196</v>
      </c>
      <c r="B26201" s="3" t="str">
        <f>"01078001"</f>
        <v>01078001</v>
      </c>
    </row>
    <row r="26202" spans="1:2" x14ac:dyDescent="0.25">
      <c r="A26202" s="2">
        <v>26197</v>
      </c>
      <c r="B26202" s="3" t="str">
        <f>"01078002"</f>
        <v>01078002</v>
      </c>
    </row>
    <row r="26203" spans="1:2" x14ac:dyDescent="0.25">
      <c r="A26203" s="2">
        <v>26198</v>
      </c>
      <c r="B26203" s="3" t="str">
        <f>"01078007"</f>
        <v>01078007</v>
      </c>
    </row>
    <row r="26204" spans="1:2" x14ac:dyDescent="0.25">
      <c r="A26204" s="2">
        <v>26199</v>
      </c>
      <c r="B26204" s="3" t="str">
        <f>"01078013"</f>
        <v>01078013</v>
      </c>
    </row>
    <row r="26205" spans="1:2" x14ac:dyDescent="0.25">
      <c r="A26205" s="2">
        <v>26200</v>
      </c>
      <c r="B26205" s="3" t="str">
        <f>"01078020"</f>
        <v>01078020</v>
      </c>
    </row>
    <row r="26206" spans="1:2" x14ac:dyDescent="0.25">
      <c r="A26206" s="2">
        <v>26201</v>
      </c>
      <c r="B26206" s="3" t="str">
        <f>"01078021"</f>
        <v>01078021</v>
      </c>
    </row>
    <row r="26207" spans="1:2" x14ac:dyDescent="0.25">
      <c r="A26207" s="2">
        <v>26202</v>
      </c>
      <c r="B26207" s="3" t="str">
        <f>"01078023"</f>
        <v>01078023</v>
      </c>
    </row>
    <row r="26208" spans="1:2" x14ac:dyDescent="0.25">
      <c r="A26208" s="2">
        <v>26203</v>
      </c>
      <c r="B26208" s="3" t="str">
        <f>"01078024"</f>
        <v>01078024</v>
      </c>
    </row>
    <row r="26209" spans="1:2" x14ac:dyDescent="0.25">
      <c r="A26209" s="2">
        <v>26204</v>
      </c>
      <c r="B26209" s="3" t="str">
        <f>"01078025"</f>
        <v>01078025</v>
      </c>
    </row>
    <row r="26210" spans="1:2" x14ac:dyDescent="0.25">
      <c r="A26210" s="2">
        <v>26205</v>
      </c>
      <c r="B26210" s="3" t="str">
        <f>"01078027"</f>
        <v>01078027</v>
      </c>
    </row>
    <row r="26211" spans="1:2" x14ac:dyDescent="0.25">
      <c r="A26211" s="2">
        <v>26206</v>
      </c>
      <c r="B26211" s="3" t="str">
        <f>"01078028"</f>
        <v>01078028</v>
      </c>
    </row>
    <row r="26212" spans="1:2" x14ac:dyDescent="0.25">
      <c r="A26212" s="2">
        <v>26207</v>
      </c>
      <c r="B26212" s="3" t="str">
        <f>"01078034"</f>
        <v>01078034</v>
      </c>
    </row>
    <row r="26213" spans="1:2" x14ac:dyDescent="0.25">
      <c r="A26213" s="2">
        <v>26208</v>
      </c>
      <c r="B26213" s="3" t="str">
        <f>"01078038"</f>
        <v>01078038</v>
      </c>
    </row>
    <row r="26214" spans="1:2" x14ac:dyDescent="0.25">
      <c r="A26214" s="2">
        <v>26209</v>
      </c>
      <c r="B26214" s="3" t="str">
        <f>"01078047"</f>
        <v>01078047</v>
      </c>
    </row>
    <row r="26215" spans="1:2" x14ac:dyDescent="0.25">
      <c r="A26215" s="2">
        <v>26210</v>
      </c>
      <c r="B26215" s="3" t="str">
        <f>"01078051"</f>
        <v>01078051</v>
      </c>
    </row>
    <row r="26216" spans="1:2" x14ac:dyDescent="0.25">
      <c r="A26216" s="2">
        <v>26211</v>
      </c>
      <c r="B26216" s="3" t="str">
        <f>"01078053"</f>
        <v>01078053</v>
      </c>
    </row>
    <row r="26217" spans="1:2" x14ac:dyDescent="0.25">
      <c r="A26217" s="2">
        <v>26212</v>
      </c>
      <c r="B26217" s="3" t="str">
        <f>"01078055"</f>
        <v>01078055</v>
      </c>
    </row>
    <row r="26218" spans="1:2" x14ac:dyDescent="0.25">
      <c r="A26218" s="2">
        <v>26213</v>
      </c>
      <c r="B26218" s="3" t="str">
        <f>"01078057"</f>
        <v>01078057</v>
      </c>
    </row>
    <row r="26219" spans="1:2" x14ac:dyDescent="0.25">
      <c r="A26219" s="2">
        <v>26214</v>
      </c>
      <c r="B26219" s="3" t="str">
        <f>"01078058"</f>
        <v>01078058</v>
      </c>
    </row>
    <row r="26220" spans="1:2" x14ac:dyDescent="0.25">
      <c r="A26220" s="2">
        <v>26215</v>
      </c>
      <c r="B26220" s="3" t="str">
        <f>"01078063"</f>
        <v>01078063</v>
      </c>
    </row>
    <row r="26221" spans="1:2" x14ac:dyDescent="0.25">
      <c r="A26221" s="2">
        <v>26216</v>
      </c>
      <c r="B26221" s="3" t="str">
        <f>"01078071"</f>
        <v>01078071</v>
      </c>
    </row>
    <row r="26222" spans="1:2" x14ac:dyDescent="0.25">
      <c r="A26222" s="2">
        <v>26217</v>
      </c>
      <c r="B26222" s="3" t="str">
        <f>"01078077"</f>
        <v>01078077</v>
      </c>
    </row>
    <row r="26223" spans="1:2" x14ac:dyDescent="0.25">
      <c r="A26223" s="2">
        <v>26218</v>
      </c>
      <c r="B26223" s="3" t="str">
        <f>"01078078"</f>
        <v>01078078</v>
      </c>
    </row>
    <row r="26224" spans="1:2" x14ac:dyDescent="0.25">
      <c r="A26224" s="2">
        <v>26219</v>
      </c>
      <c r="B26224" s="3" t="str">
        <f>"01078079"</f>
        <v>01078079</v>
      </c>
    </row>
    <row r="26225" spans="1:2" x14ac:dyDescent="0.25">
      <c r="A26225" s="2">
        <v>26220</v>
      </c>
      <c r="B26225" s="3" t="str">
        <f>"01078084"</f>
        <v>01078084</v>
      </c>
    </row>
    <row r="26226" spans="1:2" x14ac:dyDescent="0.25">
      <c r="A26226" s="2">
        <v>26221</v>
      </c>
      <c r="B26226" s="3" t="str">
        <f>"01078086"</f>
        <v>01078086</v>
      </c>
    </row>
    <row r="26227" spans="1:2" x14ac:dyDescent="0.25">
      <c r="A26227" s="2">
        <v>26222</v>
      </c>
      <c r="B26227" s="3" t="str">
        <f>"01078089"</f>
        <v>01078089</v>
      </c>
    </row>
    <row r="26228" spans="1:2" x14ac:dyDescent="0.25">
      <c r="A26228" s="2">
        <v>26223</v>
      </c>
      <c r="B26228" s="3" t="str">
        <f>"01078092"</f>
        <v>01078092</v>
      </c>
    </row>
    <row r="26229" spans="1:2" x14ac:dyDescent="0.25">
      <c r="A26229" s="2">
        <v>26224</v>
      </c>
      <c r="B26229" s="3" t="str">
        <f>"01078103"</f>
        <v>01078103</v>
      </c>
    </row>
    <row r="26230" spans="1:2" x14ac:dyDescent="0.25">
      <c r="A26230" s="2">
        <v>26225</v>
      </c>
      <c r="B26230" s="3" t="str">
        <f>"01078105"</f>
        <v>01078105</v>
      </c>
    </row>
    <row r="26231" spans="1:2" x14ac:dyDescent="0.25">
      <c r="A26231" s="2">
        <v>26226</v>
      </c>
      <c r="B26231" s="3" t="str">
        <f>"01078109"</f>
        <v>01078109</v>
      </c>
    </row>
    <row r="26232" spans="1:2" x14ac:dyDescent="0.25">
      <c r="A26232" s="2">
        <v>26227</v>
      </c>
      <c r="B26232" s="3" t="str">
        <f>"01078111"</f>
        <v>01078111</v>
      </c>
    </row>
    <row r="26233" spans="1:2" x14ac:dyDescent="0.25">
      <c r="A26233" s="2">
        <v>26228</v>
      </c>
      <c r="B26233" s="3" t="str">
        <f>"01078117"</f>
        <v>01078117</v>
      </c>
    </row>
    <row r="26234" spans="1:2" x14ac:dyDescent="0.25">
      <c r="A26234" s="2">
        <v>26229</v>
      </c>
      <c r="B26234" s="3" t="str">
        <f>"01078123"</f>
        <v>01078123</v>
      </c>
    </row>
    <row r="26235" spans="1:2" x14ac:dyDescent="0.25">
      <c r="A26235" s="2">
        <v>26230</v>
      </c>
      <c r="B26235" s="3" t="str">
        <f>"01078125"</f>
        <v>01078125</v>
      </c>
    </row>
    <row r="26236" spans="1:2" x14ac:dyDescent="0.25">
      <c r="A26236" s="2">
        <v>26231</v>
      </c>
      <c r="B26236" s="3" t="str">
        <f>"01078130"</f>
        <v>01078130</v>
      </c>
    </row>
    <row r="26237" spans="1:2" x14ac:dyDescent="0.25">
      <c r="A26237" s="2">
        <v>26232</v>
      </c>
      <c r="B26237" s="3" t="str">
        <f>"01078135"</f>
        <v>01078135</v>
      </c>
    </row>
    <row r="26238" spans="1:2" x14ac:dyDescent="0.25">
      <c r="A26238" s="2">
        <v>26233</v>
      </c>
      <c r="B26238" s="3" t="str">
        <f>"01078140"</f>
        <v>01078140</v>
      </c>
    </row>
    <row r="26239" spans="1:2" x14ac:dyDescent="0.25">
      <c r="A26239" s="2">
        <v>26234</v>
      </c>
      <c r="B26239" s="3" t="str">
        <f>"01078148"</f>
        <v>01078148</v>
      </c>
    </row>
    <row r="26240" spans="1:2" x14ac:dyDescent="0.25">
      <c r="A26240" s="2">
        <v>26235</v>
      </c>
      <c r="B26240" s="3" t="str">
        <f>"01078158"</f>
        <v>01078158</v>
      </c>
    </row>
    <row r="26241" spans="1:2" x14ac:dyDescent="0.25">
      <c r="A26241" s="2">
        <v>26236</v>
      </c>
      <c r="B26241" s="3" t="str">
        <f>"01078164"</f>
        <v>01078164</v>
      </c>
    </row>
    <row r="26242" spans="1:2" x14ac:dyDescent="0.25">
      <c r="A26242" s="2">
        <v>26237</v>
      </c>
      <c r="B26242" s="3" t="str">
        <f>"01078171"</f>
        <v>01078171</v>
      </c>
    </row>
    <row r="26243" spans="1:2" x14ac:dyDescent="0.25">
      <c r="A26243" s="2">
        <v>26238</v>
      </c>
      <c r="B26243" s="3" t="str">
        <f>"01078178"</f>
        <v>01078178</v>
      </c>
    </row>
    <row r="26244" spans="1:2" x14ac:dyDescent="0.25">
      <c r="A26244" s="2">
        <v>26239</v>
      </c>
      <c r="B26244" s="3" t="str">
        <f>"01078182"</f>
        <v>01078182</v>
      </c>
    </row>
    <row r="26245" spans="1:2" x14ac:dyDescent="0.25">
      <c r="A26245" s="2">
        <v>26240</v>
      </c>
      <c r="B26245" s="3" t="str">
        <f>"01078183"</f>
        <v>01078183</v>
      </c>
    </row>
    <row r="26246" spans="1:2" x14ac:dyDescent="0.25">
      <c r="A26246" s="2">
        <v>26241</v>
      </c>
      <c r="B26246" s="3" t="str">
        <f>"01078185"</f>
        <v>01078185</v>
      </c>
    </row>
    <row r="26247" spans="1:2" x14ac:dyDescent="0.25">
      <c r="A26247" s="2">
        <v>26242</v>
      </c>
      <c r="B26247" s="3" t="str">
        <f>"01078193"</f>
        <v>01078193</v>
      </c>
    </row>
    <row r="26248" spans="1:2" x14ac:dyDescent="0.25">
      <c r="A26248" s="2">
        <v>26243</v>
      </c>
      <c r="B26248" s="3" t="str">
        <f>"01078196"</f>
        <v>01078196</v>
      </c>
    </row>
    <row r="26249" spans="1:2" x14ac:dyDescent="0.25">
      <c r="A26249" s="2">
        <v>26244</v>
      </c>
      <c r="B26249" s="3" t="str">
        <f>"01078198"</f>
        <v>01078198</v>
      </c>
    </row>
    <row r="26250" spans="1:2" x14ac:dyDescent="0.25">
      <c r="A26250" s="2">
        <v>26245</v>
      </c>
      <c r="B26250" s="3" t="str">
        <f>"01078202"</f>
        <v>01078202</v>
      </c>
    </row>
    <row r="26251" spans="1:2" x14ac:dyDescent="0.25">
      <c r="A26251" s="2">
        <v>26246</v>
      </c>
      <c r="B26251" s="3" t="str">
        <f>"01078204"</f>
        <v>01078204</v>
      </c>
    </row>
    <row r="26252" spans="1:2" x14ac:dyDescent="0.25">
      <c r="A26252" s="2">
        <v>26247</v>
      </c>
      <c r="B26252" s="3" t="str">
        <f>"01078210"</f>
        <v>01078210</v>
      </c>
    </row>
    <row r="26253" spans="1:2" x14ac:dyDescent="0.25">
      <c r="A26253" s="2">
        <v>26248</v>
      </c>
      <c r="B26253" s="3" t="str">
        <f>"01078212"</f>
        <v>01078212</v>
      </c>
    </row>
    <row r="26254" spans="1:2" x14ac:dyDescent="0.25">
      <c r="A26254" s="2">
        <v>26249</v>
      </c>
      <c r="B26254" s="3" t="str">
        <f>"01078231"</f>
        <v>01078231</v>
      </c>
    </row>
    <row r="26255" spans="1:2" x14ac:dyDescent="0.25">
      <c r="A26255" s="2">
        <v>26250</v>
      </c>
      <c r="B26255" s="3" t="str">
        <f>"01078233"</f>
        <v>01078233</v>
      </c>
    </row>
    <row r="26256" spans="1:2" x14ac:dyDescent="0.25">
      <c r="A26256" s="2">
        <v>26251</v>
      </c>
      <c r="B26256" s="3" t="str">
        <f>"01078234"</f>
        <v>01078234</v>
      </c>
    </row>
    <row r="26257" spans="1:2" x14ac:dyDescent="0.25">
      <c r="A26257" s="2">
        <v>26252</v>
      </c>
      <c r="B26257" s="3" t="str">
        <f>"01078243"</f>
        <v>01078243</v>
      </c>
    </row>
    <row r="26258" spans="1:2" x14ac:dyDescent="0.25">
      <c r="A26258" s="2">
        <v>26253</v>
      </c>
      <c r="B26258" s="3" t="str">
        <f>"01078245"</f>
        <v>01078245</v>
      </c>
    </row>
    <row r="26259" spans="1:2" x14ac:dyDescent="0.25">
      <c r="A26259" s="2">
        <v>26254</v>
      </c>
      <c r="B26259" s="3" t="str">
        <f>"01078250"</f>
        <v>01078250</v>
      </c>
    </row>
    <row r="26260" spans="1:2" x14ac:dyDescent="0.25">
      <c r="A26260" s="2">
        <v>26255</v>
      </c>
      <c r="B26260" s="3" t="str">
        <f>"01078253"</f>
        <v>01078253</v>
      </c>
    </row>
    <row r="26261" spans="1:2" x14ac:dyDescent="0.25">
      <c r="A26261" s="2">
        <v>26256</v>
      </c>
      <c r="B26261" s="3" t="str">
        <f>"01078256"</f>
        <v>01078256</v>
      </c>
    </row>
    <row r="26262" spans="1:2" x14ac:dyDescent="0.25">
      <c r="A26262" s="2">
        <v>26257</v>
      </c>
      <c r="B26262" s="3" t="str">
        <f>"01078259"</f>
        <v>01078259</v>
      </c>
    </row>
    <row r="26263" spans="1:2" x14ac:dyDescent="0.25">
      <c r="A26263" s="2">
        <v>26258</v>
      </c>
      <c r="B26263" s="3" t="str">
        <f>"01078264"</f>
        <v>01078264</v>
      </c>
    </row>
    <row r="26264" spans="1:2" x14ac:dyDescent="0.25">
      <c r="A26264" s="2">
        <v>26259</v>
      </c>
      <c r="B26264" s="3" t="str">
        <f>"01078269"</f>
        <v>01078269</v>
      </c>
    </row>
    <row r="26265" spans="1:2" x14ac:dyDescent="0.25">
      <c r="A26265" s="2">
        <v>26260</v>
      </c>
      <c r="B26265" s="3" t="str">
        <f>"01078276"</f>
        <v>01078276</v>
      </c>
    </row>
    <row r="26266" spans="1:2" x14ac:dyDescent="0.25">
      <c r="A26266" s="2">
        <v>26261</v>
      </c>
      <c r="B26266" s="3" t="str">
        <f>"01078278"</f>
        <v>01078278</v>
      </c>
    </row>
    <row r="26267" spans="1:2" x14ac:dyDescent="0.25">
      <c r="A26267" s="2">
        <v>26262</v>
      </c>
      <c r="B26267" s="3" t="str">
        <f>"01078279"</f>
        <v>01078279</v>
      </c>
    </row>
    <row r="26268" spans="1:2" x14ac:dyDescent="0.25">
      <c r="A26268" s="2">
        <v>26263</v>
      </c>
      <c r="B26268" s="3" t="str">
        <f>"01078293"</f>
        <v>01078293</v>
      </c>
    </row>
    <row r="26269" spans="1:2" x14ac:dyDescent="0.25">
      <c r="A26269" s="2">
        <v>26264</v>
      </c>
      <c r="B26269" s="3" t="str">
        <f>"01078297"</f>
        <v>01078297</v>
      </c>
    </row>
    <row r="26270" spans="1:2" x14ac:dyDescent="0.25">
      <c r="A26270" s="2">
        <v>26265</v>
      </c>
      <c r="B26270" s="3" t="str">
        <f>"01078299"</f>
        <v>01078299</v>
      </c>
    </row>
    <row r="26271" spans="1:2" x14ac:dyDescent="0.25">
      <c r="A26271" s="2">
        <v>26266</v>
      </c>
      <c r="B26271" s="3" t="str">
        <f>"01078301"</f>
        <v>01078301</v>
      </c>
    </row>
    <row r="26272" spans="1:2" x14ac:dyDescent="0.25">
      <c r="A26272" s="2">
        <v>26267</v>
      </c>
      <c r="B26272" s="3" t="str">
        <f>"01078302"</f>
        <v>01078302</v>
      </c>
    </row>
    <row r="26273" spans="1:2" x14ac:dyDescent="0.25">
      <c r="A26273" s="2">
        <v>26268</v>
      </c>
      <c r="B26273" s="3" t="str">
        <f>"01078303"</f>
        <v>01078303</v>
      </c>
    </row>
    <row r="26274" spans="1:2" x14ac:dyDescent="0.25">
      <c r="A26274" s="2">
        <v>26269</v>
      </c>
      <c r="B26274" s="3" t="str">
        <f>"01078312"</f>
        <v>01078312</v>
      </c>
    </row>
    <row r="26275" spans="1:2" x14ac:dyDescent="0.25">
      <c r="A26275" s="2">
        <v>26270</v>
      </c>
      <c r="B26275" s="3" t="str">
        <f>"01078315"</f>
        <v>01078315</v>
      </c>
    </row>
    <row r="26276" spans="1:2" x14ac:dyDescent="0.25">
      <c r="A26276" s="2">
        <v>26271</v>
      </c>
      <c r="B26276" s="3" t="str">
        <f>"01078329"</f>
        <v>01078329</v>
      </c>
    </row>
    <row r="26277" spans="1:2" x14ac:dyDescent="0.25">
      <c r="A26277" s="2">
        <v>26272</v>
      </c>
      <c r="B26277" s="3" t="str">
        <f>"01078330"</f>
        <v>01078330</v>
      </c>
    </row>
    <row r="26278" spans="1:2" x14ac:dyDescent="0.25">
      <c r="A26278" s="2">
        <v>26273</v>
      </c>
      <c r="B26278" s="3" t="str">
        <f>"01078337"</f>
        <v>01078337</v>
      </c>
    </row>
    <row r="26279" spans="1:2" x14ac:dyDescent="0.25">
      <c r="A26279" s="2">
        <v>26274</v>
      </c>
      <c r="B26279" s="3" t="str">
        <f>"01078339"</f>
        <v>01078339</v>
      </c>
    </row>
    <row r="26280" spans="1:2" x14ac:dyDescent="0.25">
      <c r="A26280" s="2">
        <v>26275</v>
      </c>
      <c r="B26280" s="3" t="str">
        <f>"01078340"</f>
        <v>01078340</v>
      </c>
    </row>
    <row r="26281" spans="1:2" x14ac:dyDescent="0.25">
      <c r="A26281" s="2">
        <v>26276</v>
      </c>
      <c r="B26281" s="3" t="str">
        <f>"01078341"</f>
        <v>01078341</v>
      </c>
    </row>
    <row r="26282" spans="1:2" x14ac:dyDescent="0.25">
      <c r="A26282" s="2">
        <v>26277</v>
      </c>
      <c r="B26282" s="3" t="str">
        <f>"01078347"</f>
        <v>01078347</v>
      </c>
    </row>
    <row r="26283" spans="1:2" x14ac:dyDescent="0.25">
      <c r="A26283" s="2">
        <v>26278</v>
      </c>
      <c r="B26283" s="3" t="str">
        <f>"01078355"</f>
        <v>01078355</v>
      </c>
    </row>
    <row r="26284" spans="1:2" x14ac:dyDescent="0.25">
      <c r="A26284" s="2">
        <v>26279</v>
      </c>
      <c r="B26284" s="3" t="str">
        <f>"01078364"</f>
        <v>01078364</v>
      </c>
    </row>
    <row r="26285" spans="1:2" x14ac:dyDescent="0.25">
      <c r="A26285" s="2">
        <v>26280</v>
      </c>
      <c r="B26285" s="3" t="str">
        <f>"01078369"</f>
        <v>01078369</v>
      </c>
    </row>
    <row r="26286" spans="1:2" x14ac:dyDescent="0.25">
      <c r="A26286" s="2">
        <v>26281</v>
      </c>
      <c r="B26286" s="3" t="str">
        <f>"01078372"</f>
        <v>01078372</v>
      </c>
    </row>
    <row r="26287" spans="1:2" x14ac:dyDescent="0.25">
      <c r="A26287" s="2">
        <v>26282</v>
      </c>
      <c r="B26287" s="3" t="str">
        <f>"01078376"</f>
        <v>01078376</v>
      </c>
    </row>
    <row r="26288" spans="1:2" x14ac:dyDescent="0.25">
      <c r="A26288" s="2">
        <v>26283</v>
      </c>
      <c r="B26288" s="3" t="str">
        <f>"01078379"</f>
        <v>01078379</v>
      </c>
    </row>
    <row r="26289" spans="1:2" x14ac:dyDescent="0.25">
      <c r="A26289" s="2">
        <v>26284</v>
      </c>
      <c r="B26289" s="3" t="str">
        <f>"01078381"</f>
        <v>01078381</v>
      </c>
    </row>
    <row r="26290" spans="1:2" x14ac:dyDescent="0.25">
      <c r="A26290" s="2">
        <v>26285</v>
      </c>
      <c r="B26290" s="3" t="str">
        <f>"01078389"</f>
        <v>01078389</v>
      </c>
    </row>
    <row r="26291" spans="1:2" x14ac:dyDescent="0.25">
      <c r="A26291" s="2">
        <v>26286</v>
      </c>
      <c r="B26291" s="3" t="str">
        <f>"01078394"</f>
        <v>01078394</v>
      </c>
    </row>
    <row r="26292" spans="1:2" x14ac:dyDescent="0.25">
      <c r="A26292" s="2">
        <v>26287</v>
      </c>
      <c r="B26292" s="3" t="str">
        <f>"01078396"</f>
        <v>01078396</v>
      </c>
    </row>
    <row r="26293" spans="1:2" x14ac:dyDescent="0.25">
      <c r="A26293" s="2">
        <v>26288</v>
      </c>
      <c r="B26293" s="3" t="str">
        <f>"01078399"</f>
        <v>01078399</v>
      </c>
    </row>
    <row r="26294" spans="1:2" x14ac:dyDescent="0.25">
      <c r="A26294" s="2">
        <v>26289</v>
      </c>
      <c r="B26294" s="3" t="str">
        <f>"01078415"</f>
        <v>01078415</v>
      </c>
    </row>
    <row r="26295" spans="1:2" x14ac:dyDescent="0.25">
      <c r="A26295" s="2">
        <v>26290</v>
      </c>
      <c r="B26295" s="3" t="str">
        <f>"01078418"</f>
        <v>01078418</v>
      </c>
    </row>
    <row r="26296" spans="1:2" x14ac:dyDescent="0.25">
      <c r="A26296" s="2">
        <v>26291</v>
      </c>
      <c r="B26296" s="3" t="str">
        <f>"01078438"</f>
        <v>01078438</v>
      </c>
    </row>
    <row r="26297" spans="1:2" x14ac:dyDescent="0.25">
      <c r="A26297" s="2">
        <v>26292</v>
      </c>
      <c r="B26297" s="3" t="str">
        <f>"01078445"</f>
        <v>01078445</v>
      </c>
    </row>
    <row r="26298" spans="1:2" x14ac:dyDescent="0.25">
      <c r="A26298" s="2">
        <v>26293</v>
      </c>
      <c r="B26298" s="3" t="str">
        <f>"01078447"</f>
        <v>01078447</v>
      </c>
    </row>
    <row r="26299" spans="1:2" x14ac:dyDescent="0.25">
      <c r="A26299" s="2">
        <v>26294</v>
      </c>
      <c r="B26299" s="3" t="str">
        <f>"01078451"</f>
        <v>01078451</v>
      </c>
    </row>
    <row r="26300" spans="1:2" x14ac:dyDescent="0.25">
      <c r="A26300" s="2">
        <v>26295</v>
      </c>
      <c r="B26300" s="3" t="str">
        <f>"01078456"</f>
        <v>01078456</v>
      </c>
    </row>
    <row r="26301" spans="1:2" x14ac:dyDescent="0.25">
      <c r="A26301" s="2">
        <v>26296</v>
      </c>
      <c r="B26301" s="3" t="str">
        <f>"01078460"</f>
        <v>01078460</v>
      </c>
    </row>
    <row r="26302" spans="1:2" x14ac:dyDescent="0.25">
      <c r="A26302" s="2">
        <v>26297</v>
      </c>
      <c r="B26302" s="3" t="str">
        <f>"01078461"</f>
        <v>01078461</v>
      </c>
    </row>
    <row r="26303" spans="1:2" x14ac:dyDescent="0.25">
      <c r="A26303" s="2">
        <v>26298</v>
      </c>
      <c r="B26303" s="3" t="str">
        <f>"01078472"</f>
        <v>01078472</v>
      </c>
    </row>
    <row r="26304" spans="1:2" x14ac:dyDescent="0.25">
      <c r="A26304" s="2">
        <v>26299</v>
      </c>
      <c r="B26304" s="3" t="str">
        <f>"01078474"</f>
        <v>01078474</v>
      </c>
    </row>
    <row r="26305" spans="1:2" x14ac:dyDescent="0.25">
      <c r="A26305" s="2">
        <v>26300</v>
      </c>
      <c r="B26305" s="3" t="str">
        <f>"01078484"</f>
        <v>01078484</v>
      </c>
    </row>
    <row r="26306" spans="1:2" x14ac:dyDescent="0.25">
      <c r="A26306" s="2">
        <v>26301</v>
      </c>
      <c r="B26306" s="3" t="str">
        <f>"01078487"</f>
        <v>01078487</v>
      </c>
    </row>
    <row r="26307" spans="1:2" x14ac:dyDescent="0.25">
      <c r="A26307" s="2">
        <v>26302</v>
      </c>
      <c r="B26307" s="3" t="str">
        <f>"01078494"</f>
        <v>01078494</v>
      </c>
    </row>
    <row r="26308" spans="1:2" x14ac:dyDescent="0.25">
      <c r="A26308" s="2">
        <v>26303</v>
      </c>
      <c r="B26308" s="3" t="str">
        <f>"01078499"</f>
        <v>01078499</v>
      </c>
    </row>
    <row r="26309" spans="1:2" x14ac:dyDescent="0.25">
      <c r="A26309" s="2">
        <v>26304</v>
      </c>
      <c r="B26309" s="3" t="str">
        <f>"01078500"</f>
        <v>01078500</v>
      </c>
    </row>
    <row r="26310" spans="1:2" x14ac:dyDescent="0.25">
      <c r="A26310" s="2">
        <v>26305</v>
      </c>
      <c r="B26310" s="3" t="str">
        <f>"01078504"</f>
        <v>01078504</v>
      </c>
    </row>
    <row r="26311" spans="1:2" x14ac:dyDescent="0.25">
      <c r="A26311" s="2">
        <v>26306</v>
      </c>
      <c r="B26311" s="3" t="str">
        <f>"01078505"</f>
        <v>01078505</v>
      </c>
    </row>
    <row r="26312" spans="1:2" x14ac:dyDescent="0.25">
      <c r="A26312" s="2">
        <v>26307</v>
      </c>
      <c r="B26312" s="3" t="str">
        <f>"01078506"</f>
        <v>01078506</v>
      </c>
    </row>
    <row r="26313" spans="1:2" x14ac:dyDescent="0.25">
      <c r="A26313" s="2">
        <v>26308</v>
      </c>
      <c r="B26313" s="3" t="str">
        <f>"01078514"</f>
        <v>01078514</v>
      </c>
    </row>
    <row r="26314" spans="1:2" x14ac:dyDescent="0.25">
      <c r="A26314" s="2">
        <v>26309</v>
      </c>
      <c r="B26314" s="3" t="str">
        <f>"01078521"</f>
        <v>01078521</v>
      </c>
    </row>
    <row r="26315" spans="1:2" x14ac:dyDescent="0.25">
      <c r="A26315" s="2">
        <v>26310</v>
      </c>
      <c r="B26315" s="3" t="str">
        <f>"01078530"</f>
        <v>01078530</v>
      </c>
    </row>
    <row r="26316" spans="1:2" x14ac:dyDescent="0.25">
      <c r="A26316" s="2">
        <v>26311</v>
      </c>
      <c r="B26316" s="3" t="str">
        <f>"01078531"</f>
        <v>01078531</v>
      </c>
    </row>
    <row r="26317" spans="1:2" x14ac:dyDescent="0.25">
      <c r="A26317" s="2">
        <v>26312</v>
      </c>
      <c r="B26317" s="3" t="str">
        <f>"01078536"</f>
        <v>01078536</v>
      </c>
    </row>
    <row r="26318" spans="1:2" x14ac:dyDescent="0.25">
      <c r="A26318" s="2">
        <v>26313</v>
      </c>
      <c r="B26318" s="3" t="str">
        <f>"01078540"</f>
        <v>01078540</v>
      </c>
    </row>
    <row r="26319" spans="1:2" x14ac:dyDescent="0.25">
      <c r="A26319" s="2">
        <v>26314</v>
      </c>
      <c r="B26319" s="3" t="str">
        <f>"01078543"</f>
        <v>01078543</v>
      </c>
    </row>
    <row r="26320" spans="1:2" x14ac:dyDescent="0.25">
      <c r="A26320" s="2">
        <v>26315</v>
      </c>
      <c r="B26320" s="3" t="str">
        <f>"01078548"</f>
        <v>01078548</v>
      </c>
    </row>
    <row r="26321" spans="1:2" x14ac:dyDescent="0.25">
      <c r="A26321" s="2">
        <v>26316</v>
      </c>
      <c r="B26321" s="3" t="str">
        <f>"01078550"</f>
        <v>01078550</v>
      </c>
    </row>
    <row r="26322" spans="1:2" x14ac:dyDescent="0.25">
      <c r="A26322" s="2">
        <v>26317</v>
      </c>
      <c r="B26322" s="3" t="str">
        <f>"01078554"</f>
        <v>01078554</v>
      </c>
    </row>
    <row r="26323" spans="1:2" x14ac:dyDescent="0.25">
      <c r="A26323" s="2">
        <v>26318</v>
      </c>
      <c r="B26323" s="3" t="str">
        <f>"01078555"</f>
        <v>01078555</v>
      </c>
    </row>
    <row r="26324" spans="1:2" x14ac:dyDescent="0.25">
      <c r="A26324" s="2">
        <v>26319</v>
      </c>
      <c r="B26324" s="3" t="str">
        <f>"01078564"</f>
        <v>01078564</v>
      </c>
    </row>
    <row r="26325" spans="1:2" x14ac:dyDescent="0.25">
      <c r="A26325" s="2">
        <v>26320</v>
      </c>
      <c r="B26325" s="3" t="str">
        <f>"01078566"</f>
        <v>01078566</v>
      </c>
    </row>
    <row r="26326" spans="1:2" x14ac:dyDescent="0.25">
      <c r="A26326" s="2">
        <v>26321</v>
      </c>
      <c r="B26326" s="3" t="str">
        <f>"01078570"</f>
        <v>01078570</v>
      </c>
    </row>
    <row r="26327" spans="1:2" x14ac:dyDescent="0.25">
      <c r="A26327" s="2">
        <v>26322</v>
      </c>
      <c r="B26327" s="3" t="str">
        <f>"01078578"</f>
        <v>01078578</v>
      </c>
    </row>
    <row r="26328" spans="1:2" x14ac:dyDescent="0.25">
      <c r="A26328" s="2">
        <v>26323</v>
      </c>
      <c r="B26328" s="3" t="str">
        <f>"01078591"</f>
        <v>01078591</v>
      </c>
    </row>
    <row r="26329" spans="1:2" x14ac:dyDescent="0.25">
      <c r="A26329" s="2">
        <v>26324</v>
      </c>
      <c r="B26329" s="3" t="str">
        <f>"01078592"</f>
        <v>01078592</v>
      </c>
    </row>
    <row r="26330" spans="1:2" x14ac:dyDescent="0.25">
      <c r="A26330" s="2">
        <v>26325</v>
      </c>
      <c r="B26330" s="3" t="str">
        <f>"01078599"</f>
        <v>01078599</v>
      </c>
    </row>
    <row r="26331" spans="1:2" x14ac:dyDescent="0.25">
      <c r="A26331" s="2">
        <v>26326</v>
      </c>
      <c r="B26331" s="3" t="str">
        <f>"01078604"</f>
        <v>01078604</v>
      </c>
    </row>
    <row r="26332" spans="1:2" x14ac:dyDescent="0.25">
      <c r="A26332" s="2">
        <v>26327</v>
      </c>
      <c r="B26332" s="3" t="str">
        <f>"01078616"</f>
        <v>01078616</v>
      </c>
    </row>
    <row r="26333" spans="1:2" x14ac:dyDescent="0.25">
      <c r="A26333" s="2">
        <v>26328</v>
      </c>
      <c r="B26333" s="3" t="str">
        <f>"01078620"</f>
        <v>01078620</v>
      </c>
    </row>
    <row r="26334" spans="1:2" x14ac:dyDescent="0.25">
      <c r="A26334" s="2">
        <v>26329</v>
      </c>
      <c r="B26334" s="3" t="str">
        <f>"01078621"</f>
        <v>01078621</v>
      </c>
    </row>
    <row r="26335" spans="1:2" x14ac:dyDescent="0.25">
      <c r="A26335" s="2">
        <v>26330</v>
      </c>
      <c r="B26335" s="3" t="str">
        <f>"01078622"</f>
        <v>01078622</v>
      </c>
    </row>
    <row r="26336" spans="1:2" x14ac:dyDescent="0.25">
      <c r="A26336" s="2">
        <v>26331</v>
      </c>
      <c r="B26336" s="3" t="str">
        <f>"01078627"</f>
        <v>01078627</v>
      </c>
    </row>
    <row r="26337" spans="1:2" x14ac:dyDescent="0.25">
      <c r="A26337" s="2">
        <v>26332</v>
      </c>
      <c r="B26337" s="3" t="str">
        <f>"01078630"</f>
        <v>01078630</v>
      </c>
    </row>
    <row r="26338" spans="1:2" x14ac:dyDescent="0.25">
      <c r="A26338" s="2">
        <v>26333</v>
      </c>
      <c r="B26338" s="3" t="str">
        <f>"01078651"</f>
        <v>01078651</v>
      </c>
    </row>
    <row r="26339" spans="1:2" x14ac:dyDescent="0.25">
      <c r="A26339" s="2">
        <v>26334</v>
      </c>
      <c r="B26339" s="3" t="str">
        <f>"01078652"</f>
        <v>01078652</v>
      </c>
    </row>
    <row r="26340" spans="1:2" x14ac:dyDescent="0.25">
      <c r="A26340" s="2">
        <v>26335</v>
      </c>
      <c r="B26340" s="3" t="str">
        <f>"01078655"</f>
        <v>01078655</v>
      </c>
    </row>
    <row r="26341" spans="1:2" x14ac:dyDescent="0.25">
      <c r="A26341" s="2">
        <v>26336</v>
      </c>
      <c r="B26341" s="3" t="str">
        <f>"01078664"</f>
        <v>01078664</v>
      </c>
    </row>
    <row r="26342" spans="1:2" x14ac:dyDescent="0.25">
      <c r="A26342" s="2">
        <v>26337</v>
      </c>
      <c r="B26342" s="3" t="str">
        <f>"01078672"</f>
        <v>01078672</v>
      </c>
    </row>
    <row r="26343" spans="1:2" x14ac:dyDescent="0.25">
      <c r="A26343" s="2">
        <v>26338</v>
      </c>
      <c r="B26343" s="3" t="str">
        <f>"01078676"</f>
        <v>01078676</v>
      </c>
    </row>
    <row r="26344" spans="1:2" x14ac:dyDescent="0.25">
      <c r="A26344" s="2">
        <v>26339</v>
      </c>
      <c r="B26344" s="3" t="str">
        <f>"01078681"</f>
        <v>01078681</v>
      </c>
    </row>
    <row r="26345" spans="1:2" x14ac:dyDescent="0.25">
      <c r="A26345" s="2">
        <v>26340</v>
      </c>
      <c r="B26345" s="3" t="str">
        <f>"01078686"</f>
        <v>01078686</v>
      </c>
    </row>
    <row r="26346" spans="1:2" x14ac:dyDescent="0.25">
      <c r="A26346" s="2">
        <v>26341</v>
      </c>
      <c r="B26346" s="3" t="str">
        <f>"01078690"</f>
        <v>01078690</v>
      </c>
    </row>
    <row r="26347" spans="1:2" x14ac:dyDescent="0.25">
      <c r="A26347" s="2">
        <v>26342</v>
      </c>
      <c r="B26347" s="3" t="str">
        <f>"01078692"</f>
        <v>01078692</v>
      </c>
    </row>
    <row r="26348" spans="1:2" x14ac:dyDescent="0.25">
      <c r="A26348" s="2">
        <v>26343</v>
      </c>
      <c r="B26348" s="3" t="str">
        <f>"01078698"</f>
        <v>01078698</v>
      </c>
    </row>
    <row r="26349" spans="1:2" x14ac:dyDescent="0.25">
      <c r="A26349" s="2">
        <v>26344</v>
      </c>
      <c r="B26349" s="3" t="str">
        <f>"01078700"</f>
        <v>01078700</v>
      </c>
    </row>
    <row r="26350" spans="1:2" x14ac:dyDescent="0.25">
      <c r="A26350" s="2">
        <v>26345</v>
      </c>
      <c r="B26350" s="3" t="str">
        <f>"01078701"</f>
        <v>01078701</v>
      </c>
    </row>
    <row r="26351" spans="1:2" x14ac:dyDescent="0.25">
      <c r="A26351" s="2">
        <v>26346</v>
      </c>
      <c r="B26351" s="3" t="str">
        <f>"01078708"</f>
        <v>01078708</v>
      </c>
    </row>
    <row r="26352" spans="1:2" x14ac:dyDescent="0.25">
      <c r="A26352" s="2">
        <v>26347</v>
      </c>
      <c r="B26352" s="3" t="str">
        <f>"01078711"</f>
        <v>01078711</v>
      </c>
    </row>
    <row r="26353" spans="1:2" x14ac:dyDescent="0.25">
      <c r="A26353" s="2">
        <v>26348</v>
      </c>
      <c r="B26353" s="3" t="str">
        <f>"01078720"</f>
        <v>01078720</v>
      </c>
    </row>
    <row r="26354" spans="1:2" x14ac:dyDescent="0.25">
      <c r="A26354" s="2">
        <v>26349</v>
      </c>
      <c r="B26354" s="3" t="str">
        <f>"01078729"</f>
        <v>01078729</v>
      </c>
    </row>
    <row r="26355" spans="1:2" x14ac:dyDescent="0.25">
      <c r="A26355" s="2">
        <v>26350</v>
      </c>
      <c r="B26355" s="3" t="str">
        <f>"01078730"</f>
        <v>01078730</v>
      </c>
    </row>
    <row r="26356" spans="1:2" x14ac:dyDescent="0.25">
      <c r="A26356" s="2">
        <v>26351</v>
      </c>
      <c r="B26356" s="3" t="str">
        <f>"01078732"</f>
        <v>01078732</v>
      </c>
    </row>
    <row r="26357" spans="1:2" x14ac:dyDescent="0.25">
      <c r="A26357" s="2">
        <v>26352</v>
      </c>
      <c r="B26357" s="3" t="str">
        <f>"01078734"</f>
        <v>01078734</v>
      </c>
    </row>
    <row r="26358" spans="1:2" x14ac:dyDescent="0.25">
      <c r="A26358" s="2">
        <v>26353</v>
      </c>
      <c r="B26358" s="3" t="str">
        <f>"01078737"</f>
        <v>01078737</v>
      </c>
    </row>
    <row r="26359" spans="1:2" x14ac:dyDescent="0.25">
      <c r="A26359" s="2">
        <v>26354</v>
      </c>
      <c r="B26359" s="3" t="str">
        <f>"01078739"</f>
        <v>01078739</v>
      </c>
    </row>
    <row r="26360" spans="1:2" x14ac:dyDescent="0.25">
      <c r="A26360" s="2">
        <v>26355</v>
      </c>
      <c r="B26360" s="3" t="str">
        <f>"01078740"</f>
        <v>01078740</v>
      </c>
    </row>
    <row r="26361" spans="1:2" x14ac:dyDescent="0.25">
      <c r="A26361" s="2">
        <v>26356</v>
      </c>
      <c r="B26361" s="3" t="str">
        <f>"01078750"</f>
        <v>01078750</v>
      </c>
    </row>
    <row r="26362" spans="1:2" x14ac:dyDescent="0.25">
      <c r="A26362" s="2">
        <v>26357</v>
      </c>
      <c r="B26362" s="3" t="str">
        <f>"01078752"</f>
        <v>01078752</v>
      </c>
    </row>
    <row r="26363" spans="1:2" x14ac:dyDescent="0.25">
      <c r="A26363" s="2">
        <v>26358</v>
      </c>
      <c r="B26363" s="3" t="str">
        <f>"01078754"</f>
        <v>01078754</v>
      </c>
    </row>
    <row r="26364" spans="1:2" x14ac:dyDescent="0.25">
      <c r="A26364" s="2">
        <v>26359</v>
      </c>
      <c r="B26364" s="3" t="str">
        <f>"01078759"</f>
        <v>01078759</v>
      </c>
    </row>
    <row r="26365" spans="1:2" x14ac:dyDescent="0.25">
      <c r="A26365" s="2">
        <v>26360</v>
      </c>
      <c r="B26365" s="3" t="str">
        <f>"01078766"</f>
        <v>01078766</v>
      </c>
    </row>
    <row r="26366" spans="1:2" x14ac:dyDescent="0.25">
      <c r="A26366" s="2">
        <v>26361</v>
      </c>
      <c r="B26366" s="3" t="str">
        <f>"01078772"</f>
        <v>01078772</v>
      </c>
    </row>
    <row r="26367" spans="1:2" x14ac:dyDescent="0.25">
      <c r="A26367" s="2">
        <v>26362</v>
      </c>
      <c r="B26367" s="3" t="str">
        <f>"01078774"</f>
        <v>01078774</v>
      </c>
    </row>
    <row r="26368" spans="1:2" x14ac:dyDescent="0.25">
      <c r="A26368" s="2">
        <v>26363</v>
      </c>
      <c r="B26368" s="3" t="str">
        <f>"01078777"</f>
        <v>01078777</v>
      </c>
    </row>
    <row r="26369" spans="1:2" x14ac:dyDescent="0.25">
      <c r="A26369" s="2">
        <v>26364</v>
      </c>
      <c r="B26369" s="3" t="str">
        <f>"01078788"</f>
        <v>01078788</v>
      </c>
    </row>
    <row r="26370" spans="1:2" x14ac:dyDescent="0.25">
      <c r="A26370" s="2">
        <v>26365</v>
      </c>
      <c r="B26370" s="3" t="str">
        <f>"01078792"</f>
        <v>01078792</v>
      </c>
    </row>
    <row r="26371" spans="1:2" x14ac:dyDescent="0.25">
      <c r="A26371" s="2">
        <v>26366</v>
      </c>
      <c r="B26371" s="3" t="str">
        <f>"01078795"</f>
        <v>01078795</v>
      </c>
    </row>
    <row r="26372" spans="1:2" x14ac:dyDescent="0.25">
      <c r="A26372" s="2">
        <v>26367</v>
      </c>
      <c r="B26372" s="3" t="str">
        <f>"01078798"</f>
        <v>01078798</v>
      </c>
    </row>
    <row r="26373" spans="1:2" x14ac:dyDescent="0.25">
      <c r="A26373" s="2">
        <v>26368</v>
      </c>
      <c r="B26373" s="3" t="str">
        <f>"01078804"</f>
        <v>01078804</v>
      </c>
    </row>
    <row r="26374" spans="1:2" x14ac:dyDescent="0.25">
      <c r="A26374" s="2">
        <v>26369</v>
      </c>
      <c r="B26374" s="3" t="str">
        <f>"01078806"</f>
        <v>01078806</v>
      </c>
    </row>
    <row r="26375" spans="1:2" x14ac:dyDescent="0.25">
      <c r="A26375" s="2">
        <v>26370</v>
      </c>
      <c r="B26375" s="3" t="str">
        <f>"01078814"</f>
        <v>01078814</v>
      </c>
    </row>
    <row r="26376" spans="1:2" x14ac:dyDescent="0.25">
      <c r="A26376" s="2">
        <v>26371</v>
      </c>
      <c r="B26376" s="3" t="str">
        <f>"01078822"</f>
        <v>01078822</v>
      </c>
    </row>
    <row r="26377" spans="1:2" x14ac:dyDescent="0.25">
      <c r="A26377" s="2">
        <v>26372</v>
      </c>
      <c r="B26377" s="3" t="str">
        <f>"01078837"</f>
        <v>01078837</v>
      </c>
    </row>
    <row r="26378" spans="1:2" x14ac:dyDescent="0.25">
      <c r="A26378" s="2">
        <v>26373</v>
      </c>
      <c r="B26378" s="3" t="str">
        <f>"01078838"</f>
        <v>01078838</v>
      </c>
    </row>
    <row r="26379" spans="1:2" x14ac:dyDescent="0.25">
      <c r="A26379" s="2">
        <v>26374</v>
      </c>
      <c r="B26379" s="3" t="str">
        <f>"01078844"</f>
        <v>01078844</v>
      </c>
    </row>
    <row r="26380" spans="1:2" x14ac:dyDescent="0.25">
      <c r="A26380" s="2">
        <v>26375</v>
      </c>
      <c r="B26380" s="3" t="str">
        <f>"01078845"</f>
        <v>01078845</v>
      </c>
    </row>
    <row r="26381" spans="1:2" x14ac:dyDescent="0.25">
      <c r="A26381" s="2">
        <v>26376</v>
      </c>
      <c r="B26381" s="3" t="str">
        <f>"01078847"</f>
        <v>01078847</v>
      </c>
    </row>
    <row r="26382" spans="1:2" x14ac:dyDescent="0.25">
      <c r="A26382" s="2">
        <v>26377</v>
      </c>
      <c r="B26382" s="3" t="str">
        <f>"01078852"</f>
        <v>01078852</v>
      </c>
    </row>
    <row r="26383" spans="1:2" x14ac:dyDescent="0.25">
      <c r="A26383" s="2">
        <v>26378</v>
      </c>
      <c r="B26383" s="3" t="str">
        <f>"01078855"</f>
        <v>01078855</v>
      </c>
    </row>
    <row r="26384" spans="1:2" x14ac:dyDescent="0.25">
      <c r="A26384" s="2">
        <v>26379</v>
      </c>
      <c r="B26384" s="3" t="str">
        <f>"01078864"</f>
        <v>01078864</v>
      </c>
    </row>
    <row r="26385" spans="1:2" x14ac:dyDescent="0.25">
      <c r="A26385" s="2">
        <v>26380</v>
      </c>
      <c r="B26385" s="3" t="str">
        <f>"01078867"</f>
        <v>01078867</v>
      </c>
    </row>
    <row r="26386" spans="1:2" x14ac:dyDescent="0.25">
      <c r="A26386" s="2">
        <v>26381</v>
      </c>
      <c r="B26386" s="3" t="str">
        <f>"01078872"</f>
        <v>01078872</v>
      </c>
    </row>
    <row r="26387" spans="1:2" x14ac:dyDescent="0.25">
      <c r="A26387" s="2">
        <v>26382</v>
      </c>
      <c r="B26387" s="3" t="str">
        <f>"01078873"</f>
        <v>01078873</v>
      </c>
    </row>
    <row r="26388" spans="1:2" x14ac:dyDescent="0.25">
      <c r="A26388" s="2">
        <v>26383</v>
      </c>
      <c r="B26388" s="3" t="str">
        <f>"01078876"</f>
        <v>01078876</v>
      </c>
    </row>
    <row r="26389" spans="1:2" x14ac:dyDescent="0.25">
      <c r="A26389" s="2">
        <v>26384</v>
      </c>
      <c r="B26389" s="3" t="str">
        <f>"01078878"</f>
        <v>01078878</v>
      </c>
    </row>
    <row r="26390" spans="1:2" x14ac:dyDescent="0.25">
      <c r="A26390" s="2">
        <v>26385</v>
      </c>
      <c r="B26390" s="3" t="str">
        <f>"01078892"</f>
        <v>01078892</v>
      </c>
    </row>
    <row r="26391" spans="1:2" x14ac:dyDescent="0.25">
      <c r="A26391" s="2">
        <v>26386</v>
      </c>
      <c r="B26391" s="3" t="str">
        <f>"01078898"</f>
        <v>01078898</v>
      </c>
    </row>
    <row r="26392" spans="1:2" x14ac:dyDescent="0.25">
      <c r="A26392" s="2">
        <v>26387</v>
      </c>
      <c r="B26392" s="3" t="str">
        <f>"01078902"</f>
        <v>01078902</v>
      </c>
    </row>
    <row r="26393" spans="1:2" x14ac:dyDescent="0.25">
      <c r="A26393" s="2">
        <v>26388</v>
      </c>
      <c r="B26393" s="3" t="str">
        <f>"01078928"</f>
        <v>01078928</v>
      </c>
    </row>
    <row r="26394" spans="1:2" x14ac:dyDescent="0.25">
      <c r="A26394" s="2">
        <v>26389</v>
      </c>
      <c r="B26394" s="3" t="str">
        <f>"01078930"</f>
        <v>01078930</v>
      </c>
    </row>
    <row r="26395" spans="1:2" x14ac:dyDescent="0.25">
      <c r="A26395" s="2">
        <v>26390</v>
      </c>
      <c r="B26395" s="3" t="str">
        <f>"01078931"</f>
        <v>01078931</v>
      </c>
    </row>
    <row r="26396" spans="1:2" x14ac:dyDescent="0.25">
      <c r="A26396" s="2">
        <v>26391</v>
      </c>
      <c r="B26396" s="3" t="str">
        <f>"01078935"</f>
        <v>01078935</v>
      </c>
    </row>
    <row r="26397" spans="1:2" x14ac:dyDescent="0.25">
      <c r="A26397" s="2">
        <v>26392</v>
      </c>
      <c r="B26397" s="3" t="str">
        <f>"01078936"</f>
        <v>01078936</v>
      </c>
    </row>
    <row r="26398" spans="1:2" x14ac:dyDescent="0.25">
      <c r="A26398" s="2">
        <v>26393</v>
      </c>
      <c r="B26398" s="3" t="str">
        <f>"01078938"</f>
        <v>01078938</v>
      </c>
    </row>
    <row r="26399" spans="1:2" x14ac:dyDescent="0.25">
      <c r="A26399" s="2">
        <v>26394</v>
      </c>
      <c r="B26399" s="3" t="str">
        <f>"01078941"</f>
        <v>01078941</v>
      </c>
    </row>
    <row r="26400" spans="1:2" x14ac:dyDescent="0.25">
      <c r="A26400" s="2">
        <v>26395</v>
      </c>
      <c r="B26400" s="3" t="str">
        <f>"01078943"</f>
        <v>01078943</v>
      </c>
    </row>
    <row r="26401" spans="1:2" x14ac:dyDescent="0.25">
      <c r="A26401" s="2">
        <v>26396</v>
      </c>
      <c r="B26401" s="3" t="str">
        <f>"01078947"</f>
        <v>01078947</v>
      </c>
    </row>
    <row r="26402" spans="1:2" x14ac:dyDescent="0.25">
      <c r="A26402" s="2">
        <v>26397</v>
      </c>
      <c r="B26402" s="3" t="str">
        <f>"01078948"</f>
        <v>01078948</v>
      </c>
    </row>
    <row r="26403" spans="1:2" x14ac:dyDescent="0.25">
      <c r="A26403" s="2">
        <v>26398</v>
      </c>
      <c r="B26403" s="3" t="str">
        <f>"01078952"</f>
        <v>01078952</v>
      </c>
    </row>
    <row r="26404" spans="1:2" x14ac:dyDescent="0.25">
      <c r="A26404" s="2">
        <v>26399</v>
      </c>
      <c r="B26404" s="3" t="str">
        <f>"01078953"</f>
        <v>01078953</v>
      </c>
    </row>
    <row r="26405" spans="1:2" x14ac:dyDescent="0.25">
      <c r="A26405" s="2">
        <v>26400</v>
      </c>
      <c r="B26405" s="3" t="str">
        <f>"01078960"</f>
        <v>01078960</v>
      </c>
    </row>
    <row r="26406" spans="1:2" x14ac:dyDescent="0.25">
      <c r="A26406" s="2">
        <v>26401</v>
      </c>
      <c r="B26406" s="3" t="str">
        <f>"01078961"</f>
        <v>01078961</v>
      </c>
    </row>
    <row r="26407" spans="1:2" x14ac:dyDescent="0.25">
      <c r="A26407" s="2">
        <v>26402</v>
      </c>
      <c r="B26407" s="3" t="str">
        <f>"01078964"</f>
        <v>01078964</v>
      </c>
    </row>
    <row r="26408" spans="1:2" x14ac:dyDescent="0.25">
      <c r="A26408" s="2">
        <v>26403</v>
      </c>
      <c r="B26408" s="3" t="str">
        <f>"01078969"</f>
        <v>01078969</v>
      </c>
    </row>
    <row r="26409" spans="1:2" x14ac:dyDescent="0.25">
      <c r="A26409" s="2">
        <v>26404</v>
      </c>
      <c r="B26409" s="3" t="str">
        <f>"01078973"</f>
        <v>01078973</v>
      </c>
    </row>
    <row r="26410" spans="1:2" x14ac:dyDescent="0.25">
      <c r="A26410" s="2">
        <v>26405</v>
      </c>
      <c r="B26410" s="3" t="str">
        <f>"01078974"</f>
        <v>01078974</v>
      </c>
    </row>
    <row r="26411" spans="1:2" x14ac:dyDescent="0.25">
      <c r="A26411" s="2">
        <v>26406</v>
      </c>
      <c r="B26411" s="3" t="str">
        <f>"01078976"</f>
        <v>01078976</v>
      </c>
    </row>
    <row r="26412" spans="1:2" x14ac:dyDescent="0.25">
      <c r="A26412" s="2">
        <v>26407</v>
      </c>
      <c r="B26412" s="3" t="str">
        <f>"01078978"</f>
        <v>01078978</v>
      </c>
    </row>
    <row r="26413" spans="1:2" x14ac:dyDescent="0.25">
      <c r="A26413" s="2">
        <v>26408</v>
      </c>
      <c r="B26413" s="3" t="str">
        <f>"01078980"</f>
        <v>01078980</v>
      </c>
    </row>
    <row r="26414" spans="1:2" x14ac:dyDescent="0.25">
      <c r="A26414" s="2">
        <v>26409</v>
      </c>
      <c r="B26414" s="3" t="str">
        <f>"01078982"</f>
        <v>01078982</v>
      </c>
    </row>
    <row r="26415" spans="1:2" x14ac:dyDescent="0.25">
      <c r="A26415" s="2">
        <v>26410</v>
      </c>
      <c r="B26415" s="3" t="str">
        <f>"01078983"</f>
        <v>01078983</v>
      </c>
    </row>
    <row r="26416" spans="1:2" x14ac:dyDescent="0.25">
      <c r="A26416" s="2">
        <v>26411</v>
      </c>
      <c r="B26416" s="3" t="str">
        <f>"01078987"</f>
        <v>01078987</v>
      </c>
    </row>
    <row r="26417" spans="1:2" x14ac:dyDescent="0.25">
      <c r="A26417" s="2">
        <v>26412</v>
      </c>
      <c r="B26417" s="3" t="str">
        <f>"01078993"</f>
        <v>01078993</v>
      </c>
    </row>
    <row r="26418" spans="1:2" x14ac:dyDescent="0.25">
      <c r="A26418" s="2">
        <v>26413</v>
      </c>
      <c r="B26418" s="3" t="str">
        <f>"01079000"</f>
        <v>01079000</v>
      </c>
    </row>
    <row r="26419" spans="1:2" x14ac:dyDescent="0.25">
      <c r="A26419" s="2">
        <v>26414</v>
      </c>
      <c r="B26419" s="3" t="str">
        <f>"01079021"</f>
        <v>01079021</v>
      </c>
    </row>
    <row r="26420" spans="1:2" x14ac:dyDescent="0.25">
      <c r="A26420" s="2">
        <v>26415</v>
      </c>
      <c r="B26420" s="3" t="str">
        <f>"01079025"</f>
        <v>01079025</v>
      </c>
    </row>
    <row r="26421" spans="1:2" x14ac:dyDescent="0.25">
      <c r="A26421" s="2">
        <v>26416</v>
      </c>
      <c r="B26421" s="3" t="str">
        <f>"01079029"</f>
        <v>01079029</v>
      </c>
    </row>
    <row r="26422" spans="1:2" x14ac:dyDescent="0.25">
      <c r="A26422" s="2">
        <v>26417</v>
      </c>
      <c r="B26422" s="3" t="str">
        <f>"01079033"</f>
        <v>01079033</v>
      </c>
    </row>
    <row r="26423" spans="1:2" x14ac:dyDescent="0.25">
      <c r="A26423" s="2">
        <v>26418</v>
      </c>
      <c r="B26423" s="3" t="str">
        <f>"01079035"</f>
        <v>01079035</v>
      </c>
    </row>
    <row r="26424" spans="1:2" x14ac:dyDescent="0.25">
      <c r="A26424" s="2">
        <v>26419</v>
      </c>
      <c r="B26424" s="3" t="str">
        <f>"01079040"</f>
        <v>01079040</v>
      </c>
    </row>
    <row r="26425" spans="1:2" x14ac:dyDescent="0.25">
      <c r="A26425" s="2">
        <v>26420</v>
      </c>
      <c r="B26425" s="3" t="str">
        <f>"01079041"</f>
        <v>01079041</v>
      </c>
    </row>
    <row r="26426" spans="1:2" x14ac:dyDescent="0.25">
      <c r="A26426" s="2">
        <v>26421</v>
      </c>
      <c r="B26426" s="3" t="str">
        <f>"01079047"</f>
        <v>01079047</v>
      </c>
    </row>
    <row r="26427" spans="1:2" x14ac:dyDescent="0.25">
      <c r="A26427" s="2">
        <v>26422</v>
      </c>
      <c r="B26427" s="3" t="str">
        <f>"01079053"</f>
        <v>01079053</v>
      </c>
    </row>
    <row r="26428" spans="1:2" x14ac:dyDescent="0.25">
      <c r="A26428" s="2">
        <v>26423</v>
      </c>
      <c r="B26428" s="3" t="str">
        <f>"01079056"</f>
        <v>01079056</v>
      </c>
    </row>
    <row r="26429" spans="1:2" x14ac:dyDescent="0.25">
      <c r="A26429" s="2">
        <v>26424</v>
      </c>
      <c r="B26429" s="3" t="str">
        <f>"01079061"</f>
        <v>01079061</v>
      </c>
    </row>
    <row r="26430" spans="1:2" x14ac:dyDescent="0.25">
      <c r="A26430" s="2">
        <v>26425</v>
      </c>
      <c r="B26430" s="3" t="str">
        <f>"01079070"</f>
        <v>01079070</v>
      </c>
    </row>
    <row r="26431" spans="1:2" x14ac:dyDescent="0.25">
      <c r="A26431" s="2">
        <v>26426</v>
      </c>
      <c r="B26431" s="3" t="str">
        <f>"01079076"</f>
        <v>01079076</v>
      </c>
    </row>
    <row r="26432" spans="1:2" x14ac:dyDescent="0.25">
      <c r="A26432" s="2">
        <v>26427</v>
      </c>
      <c r="B26432" s="3" t="str">
        <f>"01079083"</f>
        <v>01079083</v>
      </c>
    </row>
    <row r="26433" spans="1:2" x14ac:dyDescent="0.25">
      <c r="A26433" s="2">
        <v>26428</v>
      </c>
      <c r="B26433" s="3" t="str">
        <f>"01079084"</f>
        <v>01079084</v>
      </c>
    </row>
    <row r="26434" spans="1:2" x14ac:dyDescent="0.25">
      <c r="A26434" s="2">
        <v>26429</v>
      </c>
      <c r="B26434" s="3" t="str">
        <f>"01079091"</f>
        <v>01079091</v>
      </c>
    </row>
    <row r="26435" spans="1:2" x14ac:dyDescent="0.25">
      <c r="A26435" s="2">
        <v>26430</v>
      </c>
      <c r="B26435" s="3" t="str">
        <f>"01079097"</f>
        <v>01079097</v>
      </c>
    </row>
    <row r="26436" spans="1:2" x14ac:dyDescent="0.25">
      <c r="A26436" s="2">
        <v>26431</v>
      </c>
      <c r="B26436" s="3" t="str">
        <f>"01079101"</f>
        <v>01079101</v>
      </c>
    </row>
    <row r="26437" spans="1:2" x14ac:dyDescent="0.25">
      <c r="A26437" s="2">
        <v>26432</v>
      </c>
      <c r="B26437" s="3" t="str">
        <f>"01079111"</f>
        <v>01079111</v>
      </c>
    </row>
    <row r="26438" spans="1:2" x14ac:dyDescent="0.25">
      <c r="A26438" s="2">
        <v>26433</v>
      </c>
      <c r="B26438" s="3" t="str">
        <f>"01079113"</f>
        <v>01079113</v>
      </c>
    </row>
    <row r="26439" spans="1:2" x14ac:dyDescent="0.25">
      <c r="A26439" s="2">
        <v>26434</v>
      </c>
      <c r="B26439" s="3" t="str">
        <f>"01079118"</f>
        <v>01079118</v>
      </c>
    </row>
    <row r="26440" spans="1:2" x14ac:dyDescent="0.25">
      <c r="A26440" s="2">
        <v>26435</v>
      </c>
      <c r="B26440" s="3" t="str">
        <f>"01079126"</f>
        <v>01079126</v>
      </c>
    </row>
    <row r="26441" spans="1:2" x14ac:dyDescent="0.25">
      <c r="A26441" s="2">
        <v>26436</v>
      </c>
      <c r="B26441" s="3" t="str">
        <f>"01079130"</f>
        <v>01079130</v>
      </c>
    </row>
    <row r="26442" spans="1:2" x14ac:dyDescent="0.25">
      <c r="A26442" s="2">
        <v>26437</v>
      </c>
      <c r="B26442" s="3" t="str">
        <f>"01079138"</f>
        <v>01079138</v>
      </c>
    </row>
    <row r="26443" spans="1:2" x14ac:dyDescent="0.25">
      <c r="A26443" s="2">
        <v>26438</v>
      </c>
      <c r="B26443" s="3" t="str">
        <f>"01079140"</f>
        <v>01079140</v>
      </c>
    </row>
    <row r="26444" spans="1:2" x14ac:dyDescent="0.25">
      <c r="A26444" s="2">
        <v>26439</v>
      </c>
      <c r="B26444" s="3" t="str">
        <f>"01079146"</f>
        <v>01079146</v>
      </c>
    </row>
    <row r="26445" spans="1:2" x14ac:dyDescent="0.25">
      <c r="A26445" s="2">
        <v>26440</v>
      </c>
      <c r="B26445" s="3" t="str">
        <f>"01079149"</f>
        <v>01079149</v>
      </c>
    </row>
    <row r="26446" spans="1:2" x14ac:dyDescent="0.25">
      <c r="A26446" s="2">
        <v>26441</v>
      </c>
      <c r="B26446" s="3" t="str">
        <f>"01079154"</f>
        <v>01079154</v>
      </c>
    </row>
    <row r="26447" spans="1:2" x14ac:dyDescent="0.25">
      <c r="A26447" s="2">
        <v>26442</v>
      </c>
      <c r="B26447" s="3" t="str">
        <f>"01079158"</f>
        <v>01079158</v>
      </c>
    </row>
    <row r="26448" spans="1:2" x14ac:dyDescent="0.25">
      <c r="A26448" s="2">
        <v>26443</v>
      </c>
      <c r="B26448" s="3" t="str">
        <f>"01079161"</f>
        <v>01079161</v>
      </c>
    </row>
    <row r="26449" spans="1:2" x14ac:dyDescent="0.25">
      <c r="A26449" s="2">
        <v>26444</v>
      </c>
      <c r="B26449" s="3" t="str">
        <f>"01079171"</f>
        <v>01079171</v>
      </c>
    </row>
    <row r="26450" spans="1:2" x14ac:dyDescent="0.25">
      <c r="A26450" s="2">
        <v>26445</v>
      </c>
      <c r="B26450" s="3" t="str">
        <f>"01079175"</f>
        <v>01079175</v>
      </c>
    </row>
    <row r="26451" spans="1:2" x14ac:dyDescent="0.25">
      <c r="A26451" s="2">
        <v>26446</v>
      </c>
      <c r="B26451" s="3" t="str">
        <f>"01079186"</f>
        <v>01079186</v>
      </c>
    </row>
    <row r="26452" spans="1:2" x14ac:dyDescent="0.25">
      <c r="A26452" s="2">
        <v>26447</v>
      </c>
      <c r="B26452" s="3" t="str">
        <f>"01079194"</f>
        <v>01079194</v>
      </c>
    </row>
    <row r="26453" spans="1:2" x14ac:dyDescent="0.25">
      <c r="A26453" s="2">
        <v>26448</v>
      </c>
      <c r="B26453" s="3" t="str">
        <f>"01079196"</f>
        <v>01079196</v>
      </c>
    </row>
    <row r="26454" spans="1:2" x14ac:dyDescent="0.25">
      <c r="A26454" s="2">
        <v>26449</v>
      </c>
      <c r="B26454" s="3" t="str">
        <f>"01079197"</f>
        <v>01079197</v>
      </c>
    </row>
    <row r="26455" spans="1:2" x14ac:dyDescent="0.25">
      <c r="A26455" s="2">
        <v>26450</v>
      </c>
      <c r="B26455" s="3" t="str">
        <f>"01079210"</f>
        <v>01079210</v>
      </c>
    </row>
    <row r="26456" spans="1:2" x14ac:dyDescent="0.25">
      <c r="A26456" s="2">
        <v>26451</v>
      </c>
      <c r="B26456" s="3" t="str">
        <f>"01079212"</f>
        <v>01079212</v>
      </c>
    </row>
    <row r="26457" spans="1:2" x14ac:dyDescent="0.25">
      <c r="A26457" s="2">
        <v>26452</v>
      </c>
      <c r="B26457" s="3" t="str">
        <f>"01079214"</f>
        <v>01079214</v>
      </c>
    </row>
    <row r="26458" spans="1:2" x14ac:dyDescent="0.25">
      <c r="A26458" s="2">
        <v>26453</v>
      </c>
      <c r="B26458" s="3" t="str">
        <f>"01079216"</f>
        <v>01079216</v>
      </c>
    </row>
    <row r="26459" spans="1:2" x14ac:dyDescent="0.25">
      <c r="A26459" s="2">
        <v>26454</v>
      </c>
      <c r="B26459" s="3" t="str">
        <f>"01079218"</f>
        <v>01079218</v>
      </c>
    </row>
    <row r="26460" spans="1:2" x14ac:dyDescent="0.25">
      <c r="A26460" s="2">
        <v>26455</v>
      </c>
      <c r="B26460" s="3" t="str">
        <f>"01079219"</f>
        <v>01079219</v>
      </c>
    </row>
    <row r="26461" spans="1:2" x14ac:dyDescent="0.25">
      <c r="A26461" s="2">
        <v>26456</v>
      </c>
      <c r="B26461" s="3" t="str">
        <f>"01079220"</f>
        <v>01079220</v>
      </c>
    </row>
    <row r="26462" spans="1:2" x14ac:dyDescent="0.25">
      <c r="A26462" s="2">
        <v>26457</v>
      </c>
      <c r="B26462" s="3" t="str">
        <f>"01079226"</f>
        <v>01079226</v>
      </c>
    </row>
    <row r="26463" spans="1:2" x14ac:dyDescent="0.25">
      <c r="A26463" s="2">
        <v>26458</v>
      </c>
      <c r="B26463" s="3" t="str">
        <f>"01079228"</f>
        <v>01079228</v>
      </c>
    </row>
    <row r="26464" spans="1:2" x14ac:dyDescent="0.25">
      <c r="A26464" s="2">
        <v>26459</v>
      </c>
      <c r="B26464" s="3" t="str">
        <f>"01079232"</f>
        <v>01079232</v>
      </c>
    </row>
    <row r="26465" spans="1:2" x14ac:dyDescent="0.25">
      <c r="A26465" s="2">
        <v>26460</v>
      </c>
      <c r="B26465" s="3" t="str">
        <f>"01079237"</f>
        <v>01079237</v>
      </c>
    </row>
    <row r="26466" spans="1:2" x14ac:dyDescent="0.25">
      <c r="A26466" s="2">
        <v>26461</v>
      </c>
      <c r="B26466" s="3" t="str">
        <f>"01079249"</f>
        <v>01079249</v>
      </c>
    </row>
    <row r="26467" spans="1:2" x14ac:dyDescent="0.25">
      <c r="A26467" s="2">
        <v>26462</v>
      </c>
      <c r="B26467" s="3" t="str">
        <f>"01079251"</f>
        <v>01079251</v>
      </c>
    </row>
    <row r="26468" spans="1:2" x14ac:dyDescent="0.25">
      <c r="A26468" s="2">
        <v>26463</v>
      </c>
      <c r="B26468" s="3" t="str">
        <f>"01079252"</f>
        <v>01079252</v>
      </c>
    </row>
    <row r="26469" spans="1:2" x14ac:dyDescent="0.25">
      <c r="A26469" s="2">
        <v>26464</v>
      </c>
      <c r="B26469" s="3" t="str">
        <f>"01079255"</f>
        <v>01079255</v>
      </c>
    </row>
    <row r="26470" spans="1:2" x14ac:dyDescent="0.25">
      <c r="A26470" s="2">
        <v>26465</v>
      </c>
      <c r="B26470" s="3" t="str">
        <f>"01079256"</f>
        <v>01079256</v>
      </c>
    </row>
    <row r="26471" spans="1:2" x14ac:dyDescent="0.25">
      <c r="A26471" s="2">
        <v>26466</v>
      </c>
      <c r="B26471" s="3" t="str">
        <f>"01079258"</f>
        <v>01079258</v>
      </c>
    </row>
    <row r="26472" spans="1:2" x14ac:dyDescent="0.25">
      <c r="A26472" s="2">
        <v>26467</v>
      </c>
      <c r="B26472" s="3" t="str">
        <f>"01079264"</f>
        <v>01079264</v>
      </c>
    </row>
    <row r="26473" spans="1:2" x14ac:dyDescent="0.25">
      <c r="A26473" s="2">
        <v>26468</v>
      </c>
      <c r="B26473" s="3" t="str">
        <f>"01079267"</f>
        <v>01079267</v>
      </c>
    </row>
    <row r="26474" spans="1:2" x14ac:dyDescent="0.25">
      <c r="A26474" s="2">
        <v>26469</v>
      </c>
      <c r="B26474" s="3" t="str">
        <f>"01079269"</f>
        <v>01079269</v>
      </c>
    </row>
    <row r="26475" spans="1:2" x14ac:dyDescent="0.25">
      <c r="A26475" s="2">
        <v>26470</v>
      </c>
      <c r="B26475" s="3" t="str">
        <f>"01079277"</f>
        <v>01079277</v>
      </c>
    </row>
    <row r="26476" spans="1:2" x14ac:dyDescent="0.25">
      <c r="A26476" s="2">
        <v>26471</v>
      </c>
      <c r="B26476" s="3" t="str">
        <f>"01079281"</f>
        <v>01079281</v>
      </c>
    </row>
    <row r="26477" spans="1:2" x14ac:dyDescent="0.25">
      <c r="A26477" s="2">
        <v>26472</v>
      </c>
      <c r="B26477" s="3" t="str">
        <f>"01079290"</f>
        <v>01079290</v>
      </c>
    </row>
    <row r="26478" spans="1:2" x14ac:dyDescent="0.25">
      <c r="A26478" s="2">
        <v>26473</v>
      </c>
      <c r="B26478" s="3" t="str">
        <f>"01079294"</f>
        <v>01079294</v>
      </c>
    </row>
    <row r="26479" spans="1:2" x14ac:dyDescent="0.25">
      <c r="A26479" s="2">
        <v>26474</v>
      </c>
      <c r="B26479" s="3" t="str">
        <f>"01079298"</f>
        <v>01079298</v>
      </c>
    </row>
    <row r="26480" spans="1:2" x14ac:dyDescent="0.25">
      <c r="A26480" s="2">
        <v>26475</v>
      </c>
      <c r="B26480" s="3" t="str">
        <f>"01079301"</f>
        <v>01079301</v>
      </c>
    </row>
    <row r="26481" spans="1:2" x14ac:dyDescent="0.25">
      <c r="A26481" s="2">
        <v>26476</v>
      </c>
      <c r="B26481" s="3" t="str">
        <f>"01079307"</f>
        <v>01079307</v>
      </c>
    </row>
    <row r="26482" spans="1:2" x14ac:dyDescent="0.25">
      <c r="A26482" s="2">
        <v>26477</v>
      </c>
      <c r="B26482" s="3" t="str">
        <f>"01079310"</f>
        <v>01079310</v>
      </c>
    </row>
    <row r="26483" spans="1:2" x14ac:dyDescent="0.25">
      <c r="A26483" s="2">
        <v>26478</v>
      </c>
      <c r="B26483" s="3" t="str">
        <f>"01079311"</f>
        <v>01079311</v>
      </c>
    </row>
    <row r="26484" spans="1:2" x14ac:dyDescent="0.25">
      <c r="A26484" s="2">
        <v>26479</v>
      </c>
      <c r="B26484" s="3" t="str">
        <f>"01079313"</f>
        <v>01079313</v>
      </c>
    </row>
    <row r="26485" spans="1:2" x14ac:dyDescent="0.25">
      <c r="A26485" s="2">
        <v>26480</v>
      </c>
      <c r="B26485" s="3" t="str">
        <f>"01079314"</f>
        <v>01079314</v>
      </c>
    </row>
    <row r="26486" spans="1:2" x14ac:dyDescent="0.25">
      <c r="A26486" s="2">
        <v>26481</v>
      </c>
      <c r="B26486" s="3" t="str">
        <f>"01079323"</f>
        <v>01079323</v>
      </c>
    </row>
    <row r="26487" spans="1:2" x14ac:dyDescent="0.25">
      <c r="A26487" s="2">
        <v>26482</v>
      </c>
      <c r="B26487" s="3" t="str">
        <f>"01079326"</f>
        <v>01079326</v>
      </c>
    </row>
    <row r="26488" spans="1:2" x14ac:dyDescent="0.25">
      <c r="A26488" s="2">
        <v>26483</v>
      </c>
      <c r="B26488" s="3" t="str">
        <f>"01079328"</f>
        <v>01079328</v>
      </c>
    </row>
    <row r="26489" spans="1:2" x14ac:dyDescent="0.25">
      <c r="A26489" s="2">
        <v>26484</v>
      </c>
      <c r="B26489" s="3" t="str">
        <f>"01079334"</f>
        <v>01079334</v>
      </c>
    </row>
    <row r="26490" spans="1:2" x14ac:dyDescent="0.25">
      <c r="A26490" s="2">
        <v>26485</v>
      </c>
      <c r="B26490" s="3" t="str">
        <f>"01079335"</f>
        <v>01079335</v>
      </c>
    </row>
    <row r="26491" spans="1:2" x14ac:dyDescent="0.25">
      <c r="A26491" s="2">
        <v>26486</v>
      </c>
      <c r="B26491" s="3" t="str">
        <f>"01079336"</f>
        <v>01079336</v>
      </c>
    </row>
    <row r="26492" spans="1:2" x14ac:dyDescent="0.25">
      <c r="A26492" s="2">
        <v>26487</v>
      </c>
      <c r="B26492" s="3" t="str">
        <f>"01079338"</f>
        <v>01079338</v>
      </c>
    </row>
    <row r="26493" spans="1:2" x14ac:dyDescent="0.25">
      <c r="A26493" s="2">
        <v>26488</v>
      </c>
      <c r="B26493" s="3" t="str">
        <f>"01079346"</f>
        <v>01079346</v>
      </c>
    </row>
    <row r="26494" spans="1:2" x14ac:dyDescent="0.25">
      <c r="A26494" s="2">
        <v>26489</v>
      </c>
      <c r="B26494" s="3" t="str">
        <f>"01079348"</f>
        <v>01079348</v>
      </c>
    </row>
    <row r="26495" spans="1:2" x14ac:dyDescent="0.25">
      <c r="A26495" s="2">
        <v>26490</v>
      </c>
      <c r="B26495" s="3" t="str">
        <f>"01079349"</f>
        <v>01079349</v>
      </c>
    </row>
    <row r="26496" spans="1:2" x14ac:dyDescent="0.25">
      <c r="A26496" s="2">
        <v>26491</v>
      </c>
      <c r="B26496" s="3" t="str">
        <f>"01079351"</f>
        <v>01079351</v>
      </c>
    </row>
    <row r="26497" spans="1:2" x14ac:dyDescent="0.25">
      <c r="A26497" s="2">
        <v>26492</v>
      </c>
      <c r="B26497" s="3" t="str">
        <f>"01079353"</f>
        <v>01079353</v>
      </c>
    </row>
    <row r="26498" spans="1:2" x14ac:dyDescent="0.25">
      <c r="A26498" s="2">
        <v>26493</v>
      </c>
      <c r="B26498" s="3" t="str">
        <f>"01079355"</f>
        <v>01079355</v>
      </c>
    </row>
    <row r="26499" spans="1:2" x14ac:dyDescent="0.25">
      <c r="A26499" s="2">
        <v>26494</v>
      </c>
      <c r="B26499" s="3" t="str">
        <f>"01079368"</f>
        <v>01079368</v>
      </c>
    </row>
    <row r="26500" spans="1:2" x14ac:dyDescent="0.25">
      <c r="A26500" s="2">
        <v>26495</v>
      </c>
      <c r="B26500" s="3" t="str">
        <f>"01079376"</f>
        <v>01079376</v>
      </c>
    </row>
    <row r="26501" spans="1:2" x14ac:dyDescent="0.25">
      <c r="A26501" s="2">
        <v>26496</v>
      </c>
      <c r="B26501" s="3" t="str">
        <f>"01079378"</f>
        <v>01079378</v>
      </c>
    </row>
    <row r="26502" spans="1:2" x14ac:dyDescent="0.25">
      <c r="A26502" s="2">
        <v>26497</v>
      </c>
      <c r="B26502" s="3" t="str">
        <f>"01079382"</f>
        <v>01079382</v>
      </c>
    </row>
    <row r="26503" spans="1:2" x14ac:dyDescent="0.25">
      <c r="A26503" s="2">
        <v>26498</v>
      </c>
      <c r="B26503" s="3" t="str">
        <f>"01079390"</f>
        <v>01079390</v>
      </c>
    </row>
    <row r="26504" spans="1:2" x14ac:dyDescent="0.25">
      <c r="A26504" s="2">
        <v>26499</v>
      </c>
      <c r="B26504" s="3" t="str">
        <f>"01079393"</f>
        <v>01079393</v>
      </c>
    </row>
    <row r="26505" spans="1:2" x14ac:dyDescent="0.25">
      <c r="A26505" s="2">
        <v>26500</v>
      </c>
      <c r="B26505" s="3" t="str">
        <f>"01079394"</f>
        <v>01079394</v>
      </c>
    </row>
    <row r="26506" spans="1:2" x14ac:dyDescent="0.25">
      <c r="A26506" s="2">
        <v>26501</v>
      </c>
      <c r="B26506" s="3" t="str">
        <f>"01079400"</f>
        <v>01079400</v>
      </c>
    </row>
    <row r="26507" spans="1:2" x14ac:dyDescent="0.25">
      <c r="A26507" s="2">
        <v>26502</v>
      </c>
      <c r="B26507" s="3" t="str">
        <f>"01079406"</f>
        <v>01079406</v>
      </c>
    </row>
    <row r="26508" spans="1:2" x14ac:dyDescent="0.25">
      <c r="A26508" s="2">
        <v>26503</v>
      </c>
      <c r="B26508" s="3" t="str">
        <f>"01079415"</f>
        <v>01079415</v>
      </c>
    </row>
    <row r="26509" spans="1:2" x14ac:dyDescent="0.25">
      <c r="A26509" s="2">
        <v>26504</v>
      </c>
      <c r="B26509" s="3" t="str">
        <f>"01079424"</f>
        <v>01079424</v>
      </c>
    </row>
    <row r="26510" spans="1:2" x14ac:dyDescent="0.25">
      <c r="A26510" s="2">
        <v>26505</v>
      </c>
      <c r="B26510" s="3" t="str">
        <f>"01079427"</f>
        <v>01079427</v>
      </c>
    </row>
    <row r="26511" spans="1:2" x14ac:dyDescent="0.25">
      <c r="A26511" s="2">
        <v>26506</v>
      </c>
      <c r="B26511" s="3" t="str">
        <f>"01079434"</f>
        <v>01079434</v>
      </c>
    </row>
    <row r="26512" spans="1:2" x14ac:dyDescent="0.25">
      <c r="A26512" s="2">
        <v>26507</v>
      </c>
      <c r="B26512" s="3" t="str">
        <f>"01079438"</f>
        <v>01079438</v>
      </c>
    </row>
    <row r="26513" spans="1:2" x14ac:dyDescent="0.25">
      <c r="A26513" s="2">
        <v>26508</v>
      </c>
      <c r="B26513" s="3" t="str">
        <f>"01079440"</f>
        <v>01079440</v>
      </c>
    </row>
    <row r="26514" spans="1:2" x14ac:dyDescent="0.25">
      <c r="A26514" s="2">
        <v>26509</v>
      </c>
      <c r="B26514" s="3" t="str">
        <f>"01079444"</f>
        <v>01079444</v>
      </c>
    </row>
    <row r="26515" spans="1:2" x14ac:dyDescent="0.25">
      <c r="A26515" s="2">
        <v>26510</v>
      </c>
      <c r="B26515" s="3" t="str">
        <f>"01079445"</f>
        <v>01079445</v>
      </c>
    </row>
    <row r="26516" spans="1:2" x14ac:dyDescent="0.25">
      <c r="A26516" s="2">
        <v>26511</v>
      </c>
      <c r="B26516" s="3" t="str">
        <f>"01079449"</f>
        <v>01079449</v>
      </c>
    </row>
    <row r="26517" spans="1:2" x14ac:dyDescent="0.25">
      <c r="A26517" s="2">
        <v>26512</v>
      </c>
      <c r="B26517" s="3" t="str">
        <f>"01079452"</f>
        <v>01079452</v>
      </c>
    </row>
    <row r="26518" spans="1:2" x14ac:dyDescent="0.25">
      <c r="A26518" s="2">
        <v>26513</v>
      </c>
      <c r="B26518" s="3" t="str">
        <f>"01079457"</f>
        <v>01079457</v>
      </c>
    </row>
    <row r="26519" spans="1:2" x14ac:dyDescent="0.25">
      <c r="A26519" s="2">
        <v>26514</v>
      </c>
      <c r="B26519" s="3" t="str">
        <f>"01079464"</f>
        <v>01079464</v>
      </c>
    </row>
    <row r="26520" spans="1:2" x14ac:dyDescent="0.25">
      <c r="A26520" s="2">
        <v>26515</v>
      </c>
      <c r="B26520" s="3" t="str">
        <f>"01079467"</f>
        <v>01079467</v>
      </c>
    </row>
    <row r="26521" spans="1:2" x14ac:dyDescent="0.25">
      <c r="A26521" s="2">
        <v>26516</v>
      </c>
      <c r="B26521" s="3" t="str">
        <f>"01079471"</f>
        <v>01079471</v>
      </c>
    </row>
    <row r="26522" spans="1:2" x14ac:dyDescent="0.25">
      <c r="A26522" s="2">
        <v>26517</v>
      </c>
      <c r="B26522" s="3" t="str">
        <f>"01079478"</f>
        <v>01079478</v>
      </c>
    </row>
    <row r="26523" spans="1:2" x14ac:dyDescent="0.25">
      <c r="A26523" s="2">
        <v>26518</v>
      </c>
      <c r="B26523" s="3" t="str">
        <f>"01079491"</f>
        <v>01079491</v>
      </c>
    </row>
    <row r="26524" spans="1:2" x14ac:dyDescent="0.25">
      <c r="A26524" s="2">
        <v>26519</v>
      </c>
      <c r="B26524" s="3" t="str">
        <f>"01079493"</f>
        <v>01079493</v>
      </c>
    </row>
    <row r="26525" spans="1:2" x14ac:dyDescent="0.25">
      <c r="A26525" s="2">
        <v>26520</v>
      </c>
      <c r="B26525" s="3" t="str">
        <f>"01079495"</f>
        <v>01079495</v>
      </c>
    </row>
    <row r="26526" spans="1:2" x14ac:dyDescent="0.25">
      <c r="A26526" s="2">
        <v>26521</v>
      </c>
      <c r="B26526" s="3" t="str">
        <f>"01079501"</f>
        <v>01079501</v>
      </c>
    </row>
    <row r="26527" spans="1:2" x14ac:dyDescent="0.25">
      <c r="A26527" s="2">
        <v>26522</v>
      </c>
      <c r="B26527" s="3" t="str">
        <f>"01079502"</f>
        <v>01079502</v>
      </c>
    </row>
    <row r="26528" spans="1:2" x14ac:dyDescent="0.25">
      <c r="A26528" s="2">
        <v>26523</v>
      </c>
      <c r="B26528" s="3" t="str">
        <f>"01079505"</f>
        <v>01079505</v>
      </c>
    </row>
    <row r="26529" spans="1:2" x14ac:dyDescent="0.25">
      <c r="A26529" s="2">
        <v>26524</v>
      </c>
      <c r="B26529" s="3" t="str">
        <f>"01079508"</f>
        <v>01079508</v>
      </c>
    </row>
    <row r="26530" spans="1:2" x14ac:dyDescent="0.25">
      <c r="A26530" s="2">
        <v>26525</v>
      </c>
      <c r="B26530" s="3" t="str">
        <f>"01079514"</f>
        <v>01079514</v>
      </c>
    </row>
    <row r="26531" spans="1:2" x14ac:dyDescent="0.25">
      <c r="A26531" s="2">
        <v>26526</v>
      </c>
      <c r="B26531" s="3" t="str">
        <f>"01079518"</f>
        <v>01079518</v>
      </c>
    </row>
    <row r="26532" spans="1:2" x14ac:dyDescent="0.25">
      <c r="A26532" s="2">
        <v>26527</v>
      </c>
      <c r="B26532" s="3" t="str">
        <f>"01079519"</f>
        <v>01079519</v>
      </c>
    </row>
    <row r="26533" spans="1:2" x14ac:dyDescent="0.25">
      <c r="A26533" s="2">
        <v>26528</v>
      </c>
      <c r="B26533" s="3" t="str">
        <f>"01079520"</f>
        <v>01079520</v>
      </c>
    </row>
    <row r="26534" spans="1:2" x14ac:dyDescent="0.25">
      <c r="A26534" s="2">
        <v>26529</v>
      </c>
      <c r="B26534" s="3" t="str">
        <f>"01079524"</f>
        <v>01079524</v>
      </c>
    </row>
    <row r="26535" spans="1:2" x14ac:dyDescent="0.25">
      <c r="A26535" s="2">
        <v>26530</v>
      </c>
      <c r="B26535" s="3" t="str">
        <f>"01079525"</f>
        <v>01079525</v>
      </c>
    </row>
    <row r="26536" spans="1:2" x14ac:dyDescent="0.25">
      <c r="A26536" s="2">
        <v>26531</v>
      </c>
      <c r="B26536" s="3" t="str">
        <f>"01079528"</f>
        <v>01079528</v>
      </c>
    </row>
    <row r="26537" spans="1:2" x14ac:dyDescent="0.25">
      <c r="A26537" s="2">
        <v>26532</v>
      </c>
      <c r="B26537" s="3" t="str">
        <f>"01079533"</f>
        <v>01079533</v>
      </c>
    </row>
    <row r="26538" spans="1:2" x14ac:dyDescent="0.25">
      <c r="A26538" s="2">
        <v>26533</v>
      </c>
      <c r="B26538" s="3" t="str">
        <f>"01079539"</f>
        <v>01079539</v>
      </c>
    </row>
    <row r="26539" spans="1:2" x14ac:dyDescent="0.25">
      <c r="A26539" s="2">
        <v>26534</v>
      </c>
      <c r="B26539" s="3" t="str">
        <f>"01079540"</f>
        <v>01079540</v>
      </c>
    </row>
    <row r="26540" spans="1:2" x14ac:dyDescent="0.25">
      <c r="A26540" s="2">
        <v>26535</v>
      </c>
      <c r="B26540" s="3" t="str">
        <f>"01079541"</f>
        <v>01079541</v>
      </c>
    </row>
    <row r="26541" spans="1:2" x14ac:dyDescent="0.25">
      <c r="A26541" s="2">
        <v>26536</v>
      </c>
      <c r="B26541" s="3" t="str">
        <f>"01079542"</f>
        <v>01079542</v>
      </c>
    </row>
    <row r="26542" spans="1:2" x14ac:dyDescent="0.25">
      <c r="A26542" s="2">
        <v>26537</v>
      </c>
      <c r="B26542" s="3" t="str">
        <f>"01079546"</f>
        <v>01079546</v>
      </c>
    </row>
    <row r="26543" spans="1:2" x14ac:dyDescent="0.25">
      <c r="A26543" s="2">
        <v>26538</v>
      </c>
      <c r="B26543" s="3" t="str">
        <f>"01079549"</f>
        <v>01079549</v>
      </c>
    </row>
    <row r="26544" spans="1:2" x14ac:dyDescent="0.25">
      <c r="A26544" s="2">
        <v>26539</v>
      </c>
      <c r="B26544" s="3" t="str">
        <f>"01079550"</f>
        <v>01079550</v>
      </c>
    </row>
    <row r="26545" spans="1:2" x14ac:dyDescent="0.25">
      <c r="A26545" s="2">
        <v>26540</v>
      </c>
      <c r="B26545" s="3" t="str">
        <f>"01079551"</f>
        <v>01079551</v>
      </c>
    </row>
    <row r="26546" spans="1:2" x14ac:dyDescent="0.25">
      <c r="A26546" s="2">
        <v>26541</v>
      </c>
      <c r="B26546" s="3" t="str">
        <f>"01079562"</f>
        <v>01079562</v>
      </c>
    </row>
    <row r="26547" spans="1:2" x14ac:dyDescent="0.25">
      <c r="A26547" s="2">
        <v>26542</v>
      </c>
      <c r="B26547" s="3" t="str">
        <f>"01079578"</f>
        <v>01079578</v>
      </c>
    </row>
    <row r="26548" spans="1:2" x14ac:dyDescent="0.25">
      <c r="A26548" s="2">
        <v>26543</v>
      </c>
      <c r="B26548" s="3" t="str">
        <f>"01079582"</f>
        <v>01079582</v>
      </c>
    </row>
    <row r="26549" spans="1:2" x14ac:dyDescent="0.25">
      <c r="A26549" s="2">
        <v>26544</v>
      </c>
      <c r="B26549" s="3" t="str">
        <f>"01079586"</f>
        <v>01079586</v>
      </c>
    </row>
    <row r="26550" spans="1:2" x14ac:dyDescent="0.25">
      <c r="A26550" s="2">
        <v>26545</v>
      </c>
      <c r="B26550" s="3" t="str">
        <f>"01079591"</f>
        <v>01079591</v>
      </c>
    </row>
    <row r="26551" spans="1:2" x14ac:dyDescent="0.25">
      <c r="A26551" s="2">
        <v>26546</v>
      </c>
      <c r="B26551" s="3" t="str">
        <f>"01079593"</f>
        <v>01079593</v>
      </c>
    </row>
    <row r="26552" spans="1:2" x14ac:dyDescent="0.25">
      <c r="A26552" s="2">
        <v>26547</v>
      </c>
      <c r="B26552" s="3" t="str">
        <f>"01079595"</f>
        <v>01079595</v>
      </c>
    </row>
    <row r="26553" spans="1:2" x14ac:dyDescent="0.25">
      <c r="A26553" s="2">
        <v>26548</v>
      </c>
      <c r="B26553" s="3" t="str">
        <f>"01079617"</f>
        <v>01079617</v>
      </c>
    </row>
    <row r="26554" spans="1:2" x14ac:dyDescent="0.25">
      <c r="A26554" s="2">
        <v>26549</v>
      </c>
      <c r="B26554" s="3" t="str">
        <f>"01079621"</f>
        <v>01079621</v>
      </c>
    </row>
    <row r="26555" spans="1:2" x14ac:dyDescent="0.25">
      <c r="A26555" s="2">
        <v>26550</v>
      </c>
      <c r="B26555" s="3" t="str">
        <f>"01079626"</f>
        <v>01079626</v>
      </c>
    </row>
    <row r="26556" spans="1:2" x14ac:dyDescent="0.25">
      <c r="A26556" s="2">
        <v>26551</v>
      </c>
      <c r="B26556" s="3" t="str">
        <f>"01079629"</f>
        <v>01079629</v>
      </c>
    </row>
    <row r="26557" spans="1:2" x14ac:dyDescent="0.25">
      <c r="A26557" s="2">
        <v>26552</v>
      </c>
      <c r="B26557" s="3" t="str">
        <f>"01079634"</f>
        <v>01079634</v>
      </c>
    </row>
    <row r="26558" spans="1:2" x14ac:dyDescent="0.25">
      <c r="A26558" s="2">
        <v>26553</v>
      </c>
      <c r="B26558" s="3" t="str">
        <f>"01079637"</f>
        <v>01079637</v>
      </c>
    </row>
    <row r="26559" spans="1:2" x14ac:dyDescent="0.25">
      <c r="A26559" s="2">
        <v>26554</v>
      </c>
      <c r="B26559" s="3" t="str">
        <f>"01079641"</f>
        <v>01079641</v>
      </c>
    </row>
    <row r="26560" spans="1:2" x14ac:dyDescent="0.25">
      <c r="A26560" s="2">
        <v>26555</v>
      </c>
      <c r="B26560" s="3" t="str">
        <f>"01079658"</f>
        <v>01079658</v>
      </c>
    </row>
    <row r="26561" spans="1:2" x14ac:dyDescent="0.25">
      <c r="A26561" s="2">
        <v>26556</v>
      </c>
      <c r="B26561" s="3" t="str">
        <f>"01079659"</f>
        <v>01079659</v>
      </c>
    </row>
    <row r="26562" spans="1:2" x14ac:dyDescent="0.25">
      <c r="A26562" s="2">
        <v>26557</v>
      </c>
      <c r="B26562" s="3" t="str">
        <f>"01079662"</f>
        <v>01079662</v>
      </c>
    </row>
    <row r="26563" spans="1:2" x14ac:dyDescent="0.25">
      <c r="A26563" s="2">
        <v>26558</v>
      </c>
      <c r="B26563" s="3" t="str">
        <f>"01079664"</f>
        <v>01079664</v>
      </c>
    </row>
    <row r="26564" spans="1:2" x14ac:dyDescent="0.25">
      <c r="A26564" s="2">
        <v>26559</v>
      </c>
      <c r="B26564" s="3" t="str">
        <f>"01079669"</f>
        <v>01079669</v>
      </c>
    </row>
    <row r="26565" spans="1:2" x14ac:dyDescent="0.25">
      <c r="A26565" s="2">
        <v>26560</v>
      </c>
      <c r="B26565" s="3" t="str">
        <f>"01079672"</f>
        <v>01079672</v>
      </c>
    </row>
    <row r="26566" spans="1:2" x14ac:dyDescent="0.25">
      <c r="A26566" s="2">
        <v>26561</v>
      </c>
      <c r="B26566" s="3" t="str">
        <f>"01079673"</f>
        <v>01079673</v>
      </c>
    </row>
    <row r="26567" spans="1:2" x14ac:dyDescent="0.25">
      <c r="A26567" s="2">
        <v>26562</v>
      </c>
      <c r="B26567" s="3" t="str">
        <f>"01079677"</f>
        <v>01079677</v>
      </c>
    </row>
    <row r="26568" spans="1:2" x14ac:dyDescent="0.25">
      <c r="A26568" s="2">
        <v>26563</v>
      </c>
      <c r="B26568" s="3" t="str">
        <f>"01079684"</f>
        <v>01079684</v>
      </c>
    </row>
    <row r="26569" spans="1:2" x14ac:dyDescent="0.25">
      <c r="A26569" s="2">
        <v>26564</v>
      </c>
      <c r="B26569" s="3" t="str">
        <f>"01079687"</f>
        <v>01079687</v>
      </c>
    </row>
    <row r="26570" spans="1:2" x14ac:dyDescent="0.25">
      <c r="A26570" s="2">
        <v>26565</v>
      </c>
      <c r="B26570" s="3" t="str">
        <f>"01079688"</f>
        <v>01079688</v>
      </c>
    </row>
    <row r="26571" spans="1:2" x14ac:dyDescent="0.25">
      <c r="A26571" s="2">
        <v>26566</v>
      </c>
      <c r="B26571" s="3" t="str">
        <f>"01079697"</f>
        <v>01079697</v>
      </c>
    </row>
    <row r="26572" spans="1:2" x14ac:dyDescent="0.25">
      <c r="A26572" s="2">
        <v>26567</v>
      </c>
      <c r="B26572" s="3" t="str">
        <f>"01079701"</f>
        <v>01079701</v>
      </c>
    </row>
    <row r="26573" spans="1:2" x14ac:dyDescent="0.25">
      <c r="A26573" s="2">
        <v>26568</v>
      </c>
      <c r="B26573" s="3" t="str">
        <f>"01079706"</f>
        <v>01079706</v>
      </c>
    </row>
    <row r="26574" spans="1:2" x14ac:dyDescent="0.25">
      <c r="A26574" s="2">
        <v>26569</v>
      </c>
      <c r="B26574" s="3" t="str">
        <f>"01079713"</f>
        <v>01079713</v>
      </c>
    </row>
    <row r="26575" spans="1:2" x14ac:dyDescent="0.25">
      <c r="A26575" s="2">
        <v>26570</v>
      </c>
      <c r="B26575" s="3" t="str">
        <f>"01079714"</f>
        <v>01079714</v>
      </c>
    </row>
    <row r="26576" spans="1:2" x14ac:dyDescent="0.25">
      <c r="A26576" s="2">
        <v>26571</v>
      </c>
      <c r="B26576" s="3" t="str">
        <f>"01079717"</f>
        <v>01079717</v>
      </c>
    </row>
    <row r="26577" spans="1:2" x14ac:dyDescent="0.25">
      <c r="A26577" s="2">
        <v>26572</v>
      </c>
      <c r="B26577" s="3" t="str">
        <f>"01079720"</f>
        <v>01079720</v>
      </c>
    </row>
    <row r="26578" spans="1:2" x14ac:dyDescent="0.25">
      <c r="A26578" s="2">
        <v>26573</v>
      </c>
      <c r="B26578" s="3" t="str">
        <f>"01079722"</f>
        <v>01079722</v>
      </c>
    </row>
    <row r="26579" spans="1:2" x14ac:dyDescent="0.25">
      <c r="A26579" s="2">
        <v>26574</v>
      </c>
      <c r="B26579" s="3" t="str">
        <f>"01079725"</f>
        <v>01079725</v>
      </c>
    </row>
    <row r="26580" spans="1:2" x14ac:dyDescent="0.25">
      <c r="A26580" s="2">
        <v>26575</v>
      </c>
      <c r="B26580" s="3" t="str">
        <f>"01079732"</f>
        <v>01079732</v>
      </c>
    </row>
    <row r="26581" spans="1:2" x14ac:dyDescent="0.25">
      <c r="A26581" s="2">
        <v>26576</v>
      </c>
      <c r="B26581" s="3" t="str">
        <f>"01079736"</f>
        <v>01079736</v>
      </c>
    </row>
    <row r="26582" spans="1:2" x14ac:dyDescent="0.25">
      <c r="A26582" s="2">
        <v>26577</v>
      </c>
      <c r="B26582" s="3" t="str">
        <f>"01079746"</f>
        <v>01079746</v>
      </c>
    </row>
    <row r="26583" spans="1:2" x14ac:dyDescent="0.25">
      <c r="A26583" s="2">
        <v>26578</v>
      </c>
      <c r="B26583" s="3" t="str">
        <f>"01079752"</f>
        <v>01079752</v>
      </c>
    </row>
    <row r="26584" spans="1:2" x14ac:dyDescent="0.25">
      <c r="A26584" s="2">
        <v>26579</v>
      </c>
      <c r="B26584" s="3" t="str">
        <f>"01079755"</f>
        <v>01079755</v>
      </c>
    </row>
    <row r="26585" spans="1:2" x14ac:dyDescent="0.25">
      <c r="A26585" s="2">
        <v>26580</v>
      </c>
      <c r="B26585" s="3" t="str">
        <f>"01079756"</f>
        <v>01079756</v>
      </c>
    </row>
    <row r="26586" spans="1:2" x14ac:dyDescent="0.25">
      <c r="A26586" s="2">
        <v>26581</v>
      </c>
      <c r="B26586" s="3" t="str">
        <f>"01079762"</f>
        <v>01079762</v>
      </c>
    </row>
    <row r="26587" spans="1:2" x14ac:dyDescent="0.25">
      <c r="A26587" s="2">
        <v>26582</v>
      </c>
      <c r="B26587" s="3" t="str">
        <f>"01079763"</f>
        <v>01079763</v>
      </c>
    </row>
    <row r="26588" spans="1:2" x14ac:dyDescent="0.25">
      <c r="A26588" s="2">
        <v>26583</v>
      </c>
      <c r="B26588" s="3" t="str">
        <f>"01079767"</f>
        <v>01079767</v>
      </c>
    </row>
    <row r="26589" spans="1:2" x14ac:dyDescent="0.25">
      <c r="A26589" s="2">
        <v>26584</v>
      </c>
      <c r="B26589" s="3" t="str">
        <f>"01079768"</f>
        <v>01079768</v>
      </c>
    </row>
    <row r="26590" spans="1:2" x14ac:dyDescent="0.25">
      <c r="A26590" s="2">
        <v>26585</v>
      </c>
      <c r="B26590" s="3" t="str">
        <f>"01079769"</f>
        <v>01079769</v>
      </c>
    </row>
    <row r="26591" spans="1:2" x14ac:dyDescent="0.25">
      <c r="A26591" s="2">
        <v>26586</v>
      </c>
      <c r="B26591" s="3" t="str">
        <f>"01079771"</f>
        <v>01079771</v>
      </c>
    </row>
    <row r="26592" spans="1:2" x14ac:dyDescent="0.25">
      <c r="A26592" s="2">
        <v>26587</v>
      </c>
      <c r="B26592" s="3" t="str">
        <f>"01079773"</f>
        <v>01079773</v>
      </c>
    </row>
    <row r="26593" spans="1:2" x14ac:dyDescent="0.25">
      <c r="A26593" s="2">
        <v>26588</v>
      </c>
      <c r="B26593" s="3" t="str">
        <f>"01079774"</f>
        <v>01079774</v>
      </c>
    </row>
    <row r="26594" spans="1:2" x14ac:dyDescent="0.25">
      <c r="A26594" s="2">
        <v>26589</v>
      </c>
      <c r="B26594" s="3" t="str">
        <f>"01079784"</f>
        <v>01079784</v>
      </c>
    </row>
    <row r="26595" spans="1:2" x14ac:dyDescent="0.25">
      <c r="A26595" s="2">
        <v>26590</v>
      </c>
      <c r="B26595" s="3" t="str">
        <f>"01079792"</f>
        <v>01079792</v>
      </c>
    </row>
    <row r="26596" spans="1:2" x14ac:dyDescent="0.25">
      <c r="A26596" s="2">
        <v>26591</v>
      </c>
      <c r="B26596" s="3" t="str">
        <f>"01079798"</f>
        <v>01079798</v>
      </c>
    </row>
    <row r="26597" spans="1:2" x14ac:dyDescent="0.25">
      <c r="A26597" s="2">
        <v>26592</v>
      </c>
      <c r="B26597" s="3" t="str">
        <f>"01079800"</f>
        <v>01079800</v>
      </c>
    </row>
    <row r="26598" spans="1:2" x14ac:dyDescent="0.25">
      <c r="A26598" s="2">
        <v>26593</v>
      </c>
      <c r="B26598" s="3" t="str">
        <f>"01079806"</f>
        <v>01079806</v>
      </c>
    </row>
    <row r="26599" spans="1:2" x14ac:dyDescent="0.25">
      <c r="A26599" s="2">
        <v>26594</v>
      </c>
      <c r="B26599" s="3" t="str">
        <f>"01079811"</f>
        <v>01079811</v>
      </c>
    </row>
    <row r="26600" spans="1:2" x14ac:dyDescent="0.25">
      <c r="A26600" s="2">
        <v>26595</v>
      </c>
      <c r="B26600" s="3" t="str">
        <f>"01079814"</f>
        <v>01079814</v>
      </c>
    </row>
    <row r="26601" spans="1:2" x14ac:dyDescent="0.25">
      <c r="A26601" s="2">
        <v>26596</v>
      </c>
      <c r="B26601" s="3" t="str">
        <f>"01079815"</f>
        <v>01079815</v>
      </c>
    </row>
    <row r="26602" spans="1:2" x14ac:dyDescent="0.25">
      <c r="A26602" s="2">
        <v>26597</v>
      </c>
      <c r="B26602" s="3" t="str">
        <f>"01079818"</f>
        <v>01079818</v>
      </c>
    </row>
    <row r="26603" spans="1:2" x14ac:dyDescent="0.25">
      <c r="A26603" s="2">
        <v>26598</v>
      </c>
      <c r="B26603" s="3" t="str">
        <f>"01079834"</f>
        <v>01079834</v>
      </c>
    </row>
    <row r="26604" spans="1:2" x14ac:dyDescent="0.25">
      <c r="A26604" s="2">
        <v>26599</v>
      </c>
      <c r="B26604" s="3" t="str">
        <f>"01079838"</f>
        <v>01079838</v>
      </c>
    </row>
    <row r="26605" spans="1:2" x14ac:dyDescent="0.25">
      <c r="A26605" s="2">
        <v>26600</v>
      </c>
      <c r="B26605" s="3" t="str">
        <f>"01079839"</f>
        <v>01079839</v>
      </c>
    </row>
    <row r="26606" spans="1:2" x14ac:dyDescent="0.25">
      <c r="A26606" s="2">
        <v>26601</v>
      </c>
      <c r="B26606" s="3" t="str">
        <f>"01079840"</f>
        <v>01079840</v>
      </c>
    </row>
    <row r="26607" spans="1:2" x14ac:dyDescent="0.25">
      <c r="A26607" s="2">
        <v>26602</v>
      </c>
      <c r="B26607" s="3" t="str">
        <f>"01079841"</f>
        <v>01079841</v>
      </c>
    </row>
    <row r="26608" spans="1:2" x14ac:dyDescent="0.25">
      <c r="A26608" s="2">
        <v>26603</v>
      </c>
      <c r="B26608" s="3" t="str">
        <f>"01079847"</f>
        <v>01079847</v>
      </c>
    </row>
    <row r="26609" spans="1:2" x14ac:dyDescent="0.25">
      <c r="A26609" s="2">
        <v>26604</v>
      </c>
      <c r="B26609" s="3" t="str">
        <f>"01079848"</f>
        <v>01079848</v>
      </c>
    </row>
    <row r="26610" spans="1:2" x14ac:dyDescent="0.25">
      <c r="A26610" s="2">
        <v>26605</v>
      </c>
      <c r="B26610" s="3" t="str">
        <f>"01079857"</f>
        <v>01079857</v>
      </c>
    </row>
    <row r="26611" spans="1:2" x14ac:dyDescent="0.25">
      <c r="A26611" s="2">
        <v>26606</v>
      </c>
      <c r="B26611" s="3" t="str">
        <f>"01079858"</f>
        <v>01079858</v>
      </c>
    </row>
    <row r="26612" spans="1:2" x14ac:dyDescent="0.25">
      <c r="A26612" s="2">
        <v>26607</v>
      </c>
      <c r="B26612" s="3" t="str">
        <f>"01079859"</f>
        <v>01079859</v>
      </c>
    </row>
    <row r="26613" spans="1:2" x14ac:dyDescent="0.25">
      <c r="A26613" s="2">
        <v>26608</v>
      </c>
      <c r="B26613" s="3" t="str">
        <f>"01079864"</f>
        <v>01079864</v>
      </c>
    </row>
    <row r="26614" spans="1:2" x14ac:dyDescent="0.25">
      <c r="A26614" s="2">
        <v>26609</v>
      </c>
      <c r="B26614" s="3" t="str">
        <f>"01079876"</f>
        <v>01079876</v>
      </c>
    </row>
    <row r="26615" spans="1:2" x14ac:dyDescent="0.25">
      <c r="A26615" s="2">
        <v>26610</v>
      </c>
      <c r="B26615" s="3" t="str">
        <f>"01079879"</f>
        <v>01079879</v>
      </c>
    </row>
    <row r="26616" spans="1:2" x14ac:dyDescent="0.25">
      <c r="A26616" s="2">
        <v>26611</v>
      </c>
      <c r="B26616" s="3" t="str">
        <f>"01079880"</f>
        <v>01079880</v>
      </c>
    </row>
    <row r="26617" spans="1:2" x14ac:dyDescent="0.25">
      <c r="A26617" s="2">
        <v>26612</v>
      </c>
      <c r="B26617" s="3" t="str">
        <f>"01079882"</f>
        <v>01079882</v>
      </c>
    </row>
    <row r="26618" spans="1:2" x14ac:dyDescent="0.25">
      <c r="A26618" s="2">
        <v>26613</v>
      </c>
      <c r="B26618" s="3" t="str">
        <f>"01079887"</f>
        <v>01079887</v>
      </c>
    </row>
    <row r="26619" spans="1:2" x14ac:dyDescent="0.25">
      <c r="A26619" s="2">
        <v>26614</v>
      </c>
      <c r="B26619" s="3" t="str">
        <f>"01079888"</f>
        <v>01079888</v>
      </c>
    </row>
    <row r="26620" spans="1:2" x14ac:dyDescent="0.25">
      <c r="A26620" s="2">
        <v>26615</v>
      </c>
      <c r="B26620" s="3" t="str">
        <f>"01079889"</f>
        <v>01079889</v>
      </c>
    </row>
    <row r="26621" spans="1:2" x14ac:dyDescent="0.25">
      <c r="A26621" s="2">
        <v>26616</v>
      </c>
      <c r="B26621" s="3" t="str">
        <f>"01079891"</f>
        <v>01079891</v>
      </c>
    </row>
    <row r="26622" spans="1:2" x14ac:dyDescent="0.25">
      <c r="A26622" s="2">
        <v>26617</v>
      </c>
      <c r="B26622" s="3" t="str">
        <f>"01079894"</f>
        <v>01079894</v>
      </c>
    </row>
    <row r="26623" spans="1:2" x14ac:dyDescent="0.25">
      <c r="A26623" s="2">
        <v>26618</v>
      </c>
      <c r="B26623" s="3" t="str">
        <f>"01079896"</f>
        <v>01079896</v>
      </c>
    </row>
    <row r="26624" spans="1:2" x14ac:dyDescent="0.25">
      <c r="A26624" s="2">
        <v>26619</v>
      </c>
      <c r="B26624" s="3" t="str">
        <f>"01079899"</f>
        <v>01079899</v>
      </c>
    </row>
    <row r="26625" spans="1:2" x14ac:dyDescent="0.25">
      <c r="A26625" s="2">
        <v>26620</v>
      </c>
      <c r="B26625" s="3" t="str">
        <f>"01079900"</f>
        <v>01079900</v>
      </c>
    </row>
    <row r="26626" spans="1:2" x14ac:dyDescent="0.25">
      <c r="A26626" s="2">
        <v>26621</v>
      </c>
      <c r="B26626" s="3" t="str">
        <f>"01079903"</f>
        <v>01079903</v>
      </c>
    </row>
    <row r="26627" spans="1:2" x14ac:dyDescent="0.25">
      <c r="A26627" s="2">
        <v>26622</v>
      </c>
      <c r="B26627" s="3" t="str">
        <f>"01079908"</f>
        <v>01079908</v>
      </c>
    </row>
    <row r="26628" spans="1:2" x14ac:dyDescent="0.25">
      <c r="A26628" s="2">
        <v>26623</v>
      </c>
      <c r="B26628" s="3" t="str">
        <f>"01079926"</f>
        <v>01079926</v>
      </c>
    </row>
    <row r="26629" spans="1:2" x14ac:dyDescent="0.25">
      <c r="A26629" s="2">
        <v>26624</v>
      </c>
      <c r="B26629" s="3" t="str">
        <f>"01079927"</f>
        <v>01079927</v>
      </c>
    </row>
    <row r="26630" spans="1:2" x14ac:dyDescent="0.25">
      <c r="A26630" s="2">
        <v>26625</v>
      </c>
      <c r="B26630" s="3" t="str">
        <f>"01079928"</f>
        <v>01079928</v>
      </c>
    </row>
    <row r="26631" spans="1:2" x14ac:dyDescent="0.25">
      <c r="A26631" s="2">
        <v>26626</v>
      </c>
      <c r="B26631" s="3" t="str">
        <f>"01079931"</f>
        <v>01079931</v>
      </c>
    </row>
    <row r="26632" spans="1:2" x14ac:dyDescent="0.25">
      <c r="A26632" s="2">
        <v>26627</v>
      </c>
      <c r="B26632" s="3" t="str">
        <f>"01079933"</f>
        <v>01079933</v>
      </c>
    </row>
    <row r="26633" spans="1:2" x14ac:dyDescent="0.25">
      <c r="A26633" s="2">
        <v>26628</v>
      </c>
      <c r="B26633" s="3" t="str">
        <f>"01079934"</f>
        <v>01079934</v>
      </c>
    </row>
    <row r="26634" spans="1:2" x14ac:dyDescent="0.25">
      <c r="A26634" s="2">
        <v>26629</v>
      </c>
      <c r="B26634" s="3" t="str">
        <f>"01079935"</f>
        <v>01079935</v>
      </c>
    </row>
    <row r="26635" spans="1:2" x14ac:dyDescent="0.25">
      <c r="A26635" s="2">
        <v>26630</v>
      </c>
      <c r="B26635" s="3" t="str">
        <f>"01079940"</f>
        <v>01079940</v>
      </c>
    </row>
    <row r="26636" spans="1:2" x14ac:dyDescent="0.25">
      <c r="A26636" s="2">
        <v>26631</v>
      </c>
      <c r="B26636" s="3" t="str">
        <f>"01079945"</f>
        <v>01079945</v>
      </c>
    </row>
    <row r="26637" spans="1:2" x14ac:dyDescent="0.25">
      <c r="A26637" s="2">
        <v>26632</v>
      </c>
      <c r="B26637" s="3" t="str">
        <f>"01079947"</f>
        <v>01079947</v>
      </c>
    </row>
    <row r="26638" spans="1:2" x14ac:dyDescent="0.25">
      <c r="A26638" s="2">
        <v>26633</v>
      </c>
      <c r="B26638" s="3" t="str">
        <f>"01079949"</f>
        <v>01079949</v>
      </c>
    </row>
    <row r="26639" spans="1:2" x14ac:dyDescent="0.25">
      <c r="A26639" s="2">
        <v>26634</v>
      </c>
      <c r="B26639" s="3" t="str">
        <f>"01079951"</f>
        <v>01079951</v>
      </c>
    </row>
    <row r="26640" spans="1:2" x14ac:dyDescent="0.25">
      <c r="A26640" s="2">
        <v>26635</v>
      </c>
      <c r="B26640" s="3" t="str">
        <f>"01079955"</f>
        <v>01079955</v>
      </c>
    </row>
    <row r="26641" spans="1:2" x14ac:dyDescent="0.25">
      <c r="A26641" s="2">
        <v>26636</v>
      </c>
      <c r="B26641" s="3" t="str">
        <f>"01079957"</f>
        <v>01079957</v>
      </c>
    </row>
    <row r="26642" spans="1:2" x14ac:dyDescent="0.25">
      <c r="A26642" s="2">
        <v>26637</v>
      </c>
      <c r="B26642" s="3" t="str">
        <f>"01079963"</f>
        <v>01079963</v>
      </c>
    </row>
    <row r="26643" spans="1:2" x14ac:dyDescent="0.25">
      <c r="A26643" s="2">
        <v>26638</v>
      </c>
      <c r="B26643" s="3" t="str">
        <f>"01079965"</f>
        <v>01079965</v>
      </c>
    </row>
    <row r="26644" spans="1:2" x14ac:dyDescent="0.25">
      <c r="A26644" s="2">
        <v>26639</v>
      </c>
      <c r="B26644" s="3" t="str">
        <f>"01079967"</f>
        <v>01079967</v>
      </c>
    </row>
    <row r="26645" spans="1:2" x14ac:dyDescent="0.25">
      <c r="A26645" s="2">
        <v>26640</v>
      </c>
      <c r="B26645" s="3" t="str">
        <f>"01079969"</f>
        <v>01079969</v>
      </c>
    </row>
    <row r="26646" spans="1:2" x14ac:dyDescent="0.25">
      <c r="A26646" s="2">
        <v>26641</v>
      </c>
      <c r="B26646" s="3" t="str">
        <f>"01079973"</f>
        <v>01079973</v>
      </c>
    </row>
    <row r="26647" spans="1:2" x14ac:dyDescent="0.25">
      <c r="A26647" s="2">
        <v>26642</v>
      </c>
      <c r="B26647" s="3" t="str">
        <f>"01079976"</f>
        <v>01079976</v>
      </c>
    </row>
    <row r="26648" spans="1:2" x14ac:dyDescent="0.25">
      <c r="A26648" s="2">
        <v>26643</v>
      </c>
      <c r="B26648" s="3" t="str">
        <f>"01079979"</f>
        <v>01079979</v>
      </c>
    </row>
    <row r="26649" spans="1:2" x14ac:dyDescent="0.25">
      <c r="A26649" s="2">
        <v>26644</v>
      </c>
      <c r="B26649" s="3" t="str">
        <f>"01079981"</f>
        <v>01079981</v>
      </c>
    </row>
    <row r="26650" spans="1:2" x14ac:dyDescent="0.25">
      <c r="A26650" s="2">
        <v>26645</v>
      </c>
      <c r="B26650" s="3" t="str">
        <f>"01079984"</f>
        <v>01079984</v>
      </c>
    </row>
    <row r="26651" spans="1:2" x14ac:dyDescent="0.25">
      <c r="A26651" s="2">
        <v>26646</v>
      </c>
      <c r="B26651" s="3" t="str">
        <f>"01079993"</f>
        <v>01079993</v>
      </c>
    </row>
    <row r="26652" spans="1:2" x14ac:dyDescent="0.25">
      <c r="A26652" s="2">
        <v>26647</v>
      </c>
      <c r="B26652" s="3" t="str">
        <f>"01079995"</f>
        <v>01079995</v>
      </c>
    </row>
    <row r="26653" spans="1:2" x14ac:dyDescent="0.25">
      <c r="A26653" s="2">
        <v>26648</v>
      </c>
      <c r="B26653" s="3" t="str">
        <f>"01079996"</f>
        <v>01079996</v>
      </c>
    </row>
    <row r="26654" spans="1:2" x14ac:dyDescent="0.25">
      <c r="A26654" s="2">
        <v>26649</v>
      </c>
      <c r="B26654" s="3" t="str">
        <f>"01079997"</f>
        <v>01079997</v>
      </c>
    </row>
    <row r="26655" spans="1:2" x14ac:dyDescent="0.25">
      <c r="A26655" s="2">
        <v>26650</v>
      </c>
      <c r="B26655" s="3" t="str">
        <f>"01079998"</f>
        <v>01079998</v>
      </c>
    </row>
    <row r="26656" spans="1:2" x14ac:dyDescent="0.25">
      <c r="A26656" s="2">
        <v>26651</v>
      </c>
      <c r="B26656" s="3" t="str">
        <f>"01080003"</f>
        <v>01080003</v>
      </c>
    </row>
    <row r="26657" spans="1:2" x14ac:dyDescent="0.25">
      <c r="A26657" s="2">
        <v>26652</v>
      </c>
      <c r="B26657" s="3" t="str">
        <f>"01080005"</f>
        <v>01080005</v>
      </c>
    </row>
    <row r="26658" spans="1:2" x14ac:dyDescent="0.25">
      <c r="A26658" s="2">
        <v>26653</v>
      </c>
      <c r="B26658" s="3" t="str">
        <f>"01080007"</f>
        <v>01080007</v>
      </c>
    </row>
    <row r="26659" spans="1:2" x14ac:dyDescent="0.25">
      <c r="A26659" s="2">
        <v>26654</v>
      </c>
      <c r="B26659" s="3" t="str">
        <f>"01080008"</f>
        <v>01080008</v>
      </c>
    </row>
    <row r="26660" spans="1:2" x14ac:dyDescent="0.25">
      <c r="A26660" s="2">
        <v>26655</v>
      </c>
      <c r="B26660" s="3" t="str">
        <f>"01080010"</f>
        <v>01080010</v>
      </c>
    </row>
    <row r="26661" spans="1:2" x14ac:dyDescent="0.25">
      <c r="A26661" s="2">
        <v>26656</v>
      </c>
      <c r="B26661" s="3" t="str">
        <f>"01080011"</f>
        <v>01080011</v>
      </c>
    </row>
    <row r="26662" spans="1:2" x14ac:dyDescent="0.25">
      <c r="A26662" s="2">
        <v>26657</v>
      </c>
      <c r="B26662" s="3" t="str">
        <f>"01080013"</f>
        <v>01080013</v>
      </c>
    </row>
    <row r="26663" spans="1:2" x14ac:dyDescent="0.25">
      <c r="A26663" s="2">
        <v>26658</v>
      </c>
      <c r="B26663" s="3" t="str">
        <f>"01080014"</f>
        <v>01080014</v>
      </c>
    </row>
    <row r="26664" spans="1:2" x14ac:dyDescent="0.25">
      <c r="A26664" s="2">
        <v>26659</v>
      </c>
      <c r="B26664" s="3" t="str">
        <f>"01080017"</f>
        <v>01080017</v>
      </c>
    </row>
    <row r="26665" spans="1:2" x14ac:dyDescent="0.25">
      <c r="A26665" s="2">
        <v>26660</v>
      </c>
      <c r="B26665" s="3" t="str">
        <f>"01080019"</f>
        <v>01080019</v>
      </c>
    </row>
    <row r="26666" spans="1:2" x14ac:dyDescent="0.25">
      <c r="A26666" s="2">
        <v>26661</v>
      </c>
      <c r="B26666" s="3" t="str">
        <f>"01080045"</f>
        <v>01080045</v>
      </c>
    </row>
    <row r="26667" spans="1:2" x14ac:dyDescent="0.25">
      <c r="A26667" s="2">
        <v>26662</v>
      </c>
      <c r="B26667" s="3" t="str">
        <f>"01080049"</f>
        <v>01080049</v>
      </c>
    </row>
    <row r="26668" spans="1:2" x14ac:dyDescent="0.25">
      <c r="A26668" s="2">
        <v>26663</v>
      </c>
      <c r="B26668" s="3" t="str">
        <f>"01080052"</f>
        <v>01080052</v>
      </c>
    </row>
    <row r="26669" spans="1:2" x14ac:dyDescent="0.25">
      <c r="A26669" s="2">
        <v>26664</v>
      </c>
      <c r="B26669" s="3" t="str">
        <f>"01080053"</f>
        <v>01080053</v>
      </c>
    </row>
    <row r="26670" spans="1:2" x14ac:dyDescent="0.25">
      <c r="A26670" s="2">
        <v>26665</v>
      </c>
      <c r="B26670" s="3" t="str">
        <f>"01080055"</f>
        <v>01080055</v>
      </c>
    </row>
    <row r="26671" spans="1:2" x14ac:dyDescent="0.25">
      <c r="A26671" s="2">
        <v>26666</v>
      </c>
      <c r="B26671" s="3" t="str">
        <f>"01080056"</f>
        <v>01080056</v>
      </c>
    </row>
    <row r="26672" spans="1:2" x14ac:dyDescent="0.25">
      <c r="A26672" s="2">
        <v>26667</v>
      </c>
      <c r="B26672" s="3" t="str">
        <f>"01080057"</f>
        <v>01080057</v>
      </c>
    </row>
    <row r="26673" spans="1:2" x14ac:dyDescent="0.25">
      <c r="A26673" s="2">
        <v>26668</v>
      </c>
      <c r="B26673" s="3" t="str">
        <f>"01080060"</f>
        <v>01080060</v>
      </c>
    </row>
    <row r="26674" spans="1:2" x14ac:dyDescent="0.25">
      <c r="A26674" s="2">
        <v>26669</v>
      </c>
      <c r="B26674" s="3" t="str">
        <f>"01080068"</f>
        <v>01080068</v>
      </c>
    </row>
    <row r="26675" spans="1:2" x14ac:dyDescent="0.25">
      <c r="A26675" s="2">
        <v>26670</v>
      </c>
      <c r="B26675" s="3" t="str">
        <f>"01080080"</f>
        <v>01080080</v>
      </c>
    </row>
    <row r="26676" spans="1:2" x14ac:dyDescent="0.25">
      <c r="A26676" s="2">
        <v>26671</v>
      </c>
      <c r="B26676" s="3" t="str">
        <f>"01080084"</f>
        <v>01080084</v>
      </c>
    </row>
    <row r="26677" spans="1:2" x14ac:dyDescent="0.25">
      <c r="A26677" s="2">
        <v>26672</v>
      </c>
      <c r="B26677" s="3" t="str">
        <f>"01080092"</f>
        <v>01080092</v>
      </c>
    </row>
    <row r="26678" spans="1:2" x14ac:dyDescent="0.25">
      <c r="A26678" s="2">
        <v>26673</v>
      </c>
      <c r="B26678" s="3" t="str">
        <f>"01080094"</f>
        <v>01080094</v>
      </c>
    </row>
    <row r="26679" spans="1:2" x14ac:dyDescent="0.25">
      <c r="A26679" s="2">
        <v>26674</v>
      </c>
      <c r="B26679" s="3" t="str">
        <f>"01080108"</f>
        <v>01080108</v>
      </c>
    </row>
    <row r="26680" spans="1:2" x14ac:dyDescent="0.25">
      <c r="A26680" s="2">
        <v>26675</v>
      </c>
      <c r="B26680" s="3" t="str">
        <f>"01080110"</f>
        <v>01080110</v>
      </c>
    </row>
    <row r="26681" spans="1:2" x14ac:dyDescent="0.25">
      <c r="A26681" s="2">
        <v>26676</v>
      </c>
      <c r="B26681" s="3" t="str">
        <f>"01080115"</f>
        <v>01080115</v>
      </c>
    </row>
    <row r="26682" spans="1:2" x14ac:dyDescent="0.25">
      <c r="A26682" s="2">
        <v>26677</v>
      </c>
      <c r="B26682" s="3" t="str">
        <f>"01080124"</f>
        <v>01080124</v>
      </c>
    </row>
    <row r="26683" spans="1:2" x14ac:dyDescent="0.25">
      <c r="A26683" s="2">
        <v>26678</v>
      </c>
      <c r="B26683" s="3" t="str">
        <f>"01080129"</f>
        <v>01080129</v>
      </c>
    </row>
    <row r="26684" spans="1:2" x14ac:dyDescent="0.25">
      <c r="A26684" s="2">
        <v>26679</v>
      </c>
      <c r="B26684" s="3" t="str">
        <f>"01080133"</f>
        <v>01080133</v>
      </c>
    </row>
    <row r="26685" spans="1:2" x14ac:dyDescent="0.25">
      <c r="A26685" s="2">
        <v>26680</v>
      </c>
      <c r="B26685" s="3" t="str">
        <f>"01080134"</f>
        <v>01080134</v>
      </c>
    </row>
    <row r="26686" spans="1:2" x14ac:dyDescent="0.25">
      <c r="A26686" s="2">
        <v>26681</v>
      </c>
      <c r="B26686" s="3" t="str">
        <f>"01080135"</f>
        <v>01080135</v>
      </c>
    </row>
    <row r="26687" spans="1:2" x14ac:dyDescent="0.25">
      <c r="A26687" s="2">
        <v>26682</v>
      </c>
      <c r="B26687" s="3" t="str">
        <f>"01080142"</f>
        <v>01080142</v>
      </c>
    </row>
    <row r="26688" spans="1:2" x14ac:dyDescent="0.25">
      <c r="A26688" s="2">
        <v>26683</v>
      </c>
      <c r="B26688" s="3" t="str">
        <f>"01080143"</f>
        <v>01080143</v>
      </c>
    </row>
    <row r="26689" spans="1:2" x14ac:dyDescent="0.25">
      <c r="A26689" s="2">
        <v>26684</v>
      </c>
      <c r="B26689" s="3" t="str">
        <f>"01080161"</f>
        <v>01080161</v>
      </c>
    </row>
    <row r="26690" spans="1:2" x14ac:dyDescent="0.25">
      <c r="A26690" s="2">
        <v>26685</v>
      </c>
      <c r="B26690" s="3" t="str">
        <f>"01080168"</f>
        <v>01080168</v>
      </c>
    </row>
    <row r="26691" spans="1:2" x14ac:dyDescent="0.25">
      <c r="A26691" s="2">
        <v>26686</v>
      </c>
      <c r="B26691" s="3" t="str">
        <f>"01080171"</f>
        <v>01080171</v>
      </c>
    </row>
    <row r="26692" spans="1:2" x14ac:dyDescent="0.25">
      <c r="A26692" s="2">
        <v>26687</v>
      </c>
      <c r="B26692" s="3" t="str">
        <f>"01080184"</f>
        <v>01080184</v>
      </c>
    </row>
    <row r="26693" spans="1:2" x14ac:dyDescent="0.25">
      <c r="A26693" s="2">
        <v>26688</v>
      </c>
      <c r="B26693" s="3" t="str">
        <f>"01080195"</f>
        <v>01080195</v>
      </c>
    </row>
    <row r="26694" spans="1:2" x14ac:dyDescent="0.25">
      <c r="A26694" s="2">
        <v>26689</v>
      </c>
      <c r="B26694" s="3" t="str">
        <f>"01080210"</f>
        <v>01080210</v>
      </c>
    </row>
    <row r="26695" spans="1:2" x14ac:dyDescent="0.25">
      <c r="A26695" s="2">
        <v>26690</v>
      </c>
      <c r="B26695" s="3" t="str">
        <f>"01080211"</f>
        <v>01080211</v>
      </c>
    </row>
    <row r="26696" spans="1:2" x14ac:dyDescent="0.25">
      <c r="A26696" s="2">
        <v>26691</v>
      </c>
      <c r="B26696" s="3" t="str">
        <f>"01080212"</f>
        <v>01080212</v>
      </c>
    </row>
    <row r="26697" spans="1:2" x14ac:dyDescent="0.25">
      <c r="A26697" s="2">
        <v>26692</v>
      </c>
      <c r="B26697" s="3" t="str">
        <f>"01080215"</f>
        <v>01080215</v>
      </c>
    </row>
    <row r="26698" spans="1:2" x14ac:dyDescent="0.25">
      <c r="A26698" s="2">
        <v>26693</v>
      </c>
      <c r="B26698" s="3" t="str">
        <f>"01080216"</f>
        <v>01080216</v>
      </c>
    </row>
    <row r="26699" spans="1:2" x14ac:dyDescent="0.25">
      <c r="A26699" s="2">
        <v>26694</v>
      </c>
      <c r="B26699" s="3" t="str">
        <f>"01080221"</f>
        <v>01080221</v>
      </c>
    </row>
    <row r="26700" spans="1:2" x14ac:dyDescent="0.25">
      <c r="A26700" s="2">
        <v>26695</v>
      </c>
      <c r="B26700" s="3" t="str">
        <f>"01080223"</f>
        <v>01080223</v>
      </c>
    </row>
    <row r="26701" spans="1:2" x14ac:dyDescent="0.25">
      <c r="A26701" s="2">
        <v>26696</v>
      </c>
      <c r="B26701" s="3" t="str">
        <f>"01080224"</f>
        <v>01080224</v>
      </c>
    </row>
    <row r="26702" spans="1:2" x14ac:dyDescent="0.25">
      <c r="A26702" s="2">
        <v>26697</v>
      </c>
      <c r="B26702" s="3" t="str">
        <f>"01080226"</f>
        <v>01080226</v>
      </c>
    </row>
    <row r="26703" spans="1:2" x14ac:dyDescent="0.25">
      <c r="A26703" s="2">
        <v>26698</v>
      </c>
      <c r="B26703" s="3" t="str">
        <f>"01080227"</f>
        <v>01080227</v>
      </c>
    </row>
    <row r="26704" spans="1:2" x14ac:dyDescent="0.25">
      <c r="A26704" s="2">
        <v>26699</v>
      </c>
      <c r="B26704" s="3" t="str">
        <f>"01080232"</f>
        <v>01080232</v>
      </c>
    </row>
    <row r="26705" spans="1:2" x14ac:dyDescent="0.25">
      <c r="A26705" s="2">
        <v>26700</v>
      </c>
      <c r="B26705" s="3" t="str">
        <f>"01080234"</f>
        <v>01080234</v>
      </c>
    </row>
    <row r="26706" spans="1:2" x14ac:dyDescent="0.25">
      <c r="A26706" s="2">
        <v>26701</v>
      </c>
      <c r="B26706" s="3" t="str">
        <f>"01080235"</f>
        <v>01080235</v>
      </c>
    </row>
    <row r="26707" spans="1:2" x14ac:dyDescent="0.25">
      <c r="A26707" s="2">
        <v>26702</v>
      </c>
      <c r="B26707" s="3" t="str">
        <f>"01080244"</f>
        <v>01080244</v>
      </c>
    </row>
    <row r="26708" spans="1:2" x14ac:dyDescent="0.25">
      <c r="A26708" s="2">
        <v>26703</v>
      </c>
      <c r="B26708" s="3" t="str">
        <f>"01080246"</f>
        <v>01080246</v>
      </c>
    </row>
    <row r="26709" spans="1:2" x14ac:dyDescent="0.25">
      <c r="A26709" s="2">
        <v>26704</v>
      </c>
      <c r="B26709" s="3" t="str">
        <f>"01080247"</f>
        <v>01080247</v>
      </c>
    </row>
    <row r="26710" spans="1:2" x14ac:dyDescent="0.25">
      <c r="A26710" s="2">
        <v>26705</v>
      </c>
      <c r="B26710" s="3" t="str">
        <f>"01080249"</f>
        <v>01080249</v>
      </c>
    </row>
    <row r="26711" spans="1:2" x14ac:dyDescent="0.25">
      <c r="A26711" s="2">
        <v>26706</v>
      </c>
      <c r="B26711" s="3" t="str">
        <f>"01080250"</f>
        <v>01080250</v>
      </c>
    </row>
    <row r="26712" spans="1:2" x14ac:dyDescent="0.25">
      <c r="A26712" s="2">
        <v>26707</v>
      </c>
      <c r="B26712" s="3" t="str">
        <f>"01080253"</f>
        <v>01080253</v>
      </c>
    </row>
    <row r="26713" spans="1:2" x14ac:dyDescent="0.25">
      <c r="A26713" s="2">
        <v>26708</v>
      </c>
      <c r="B26713" s="3" t="str">
        <f>"01080256"</f>
        <v>01080256</v>
      </c>
    </row>
    <row r="26714" spans="1:2" x14ac:dyDescent="0.25">
      <c r="A26714" s="2">
        <v>26709</v>
      </c>
      <c r="B26714" s="3" t="str">
        <f>"01080261"</f>
        <v>01080261</v>
      </c>
    </row>
    <row r="26715" spans="1:2" x14ac:dyDescent="0.25">
      <c r="A26715" s="2">
        <v>26710</v>
      </c>
      <c r="B26715" s="3" t="str">
        <f>"01080265"</f>
        <v>01080265</v>
      </c>
    </row>
    <row r="26716" spans="1:2" x14ac:dyDescent="0.25">
      <c r="A26716" s="2">
        <v>26711</v>
      </c>
      <c r="B26716" s="3" t="str">
        <f>"01080269"</f>
        <v>01080269</v>
      </c>
    </row>
    <row r="26717" spans="1:2" x14ac:dyDescent="0.25">
      <c r="A26717" s="2">
        <v>26712</v>
      </c>
      <c r="B26717" s="3" t="str">
        <f>"01080271"</f>
        <v>01080271</v>
      </c>
    </row>
    <row r="26718" spans="1:2" x14ac:dyDescent="0.25">
      <c r="A26718" s="2">
        <v>26713</v>
      </c>
      <c r="B26718" s="3" t="str">
        <f>"01080273"</f>
        <v>01080273</v>
      </c>
    </row>
    <row r="26719" spans="1:2" x14ac:dyDescent="0.25">
      <c r="A26719" s="2">
        <v>26714</v>
      </c>
      <c r="B26719" s="3" t="str">
        <f>"01080277"</f>
        <v>01080277</v>
      </c>
    </row>
    <row r="26720" spans="1:2" x14ac:dyDescent="0.25">
      <c r="A26720" s="2">
        <v>26715</v>
      </c>
      <c r="B26720" s="3" t="str">
        <f>"01080281"</f>
        <v>01080281</v>
      </c>
    </row>
    <row r="26721" spans="1:2" x14ac:dyDescent="0.25">
      <c r="A26721" s="2">
        <v>26716</v>
      </c>
      <c r="B26721" s="3" t="str">
        <f>"01080286"</f>
        <v>01080286</v>
      </c>
    </row>
    <row r="26722" spans="1:2" x14ac:dyDescent="0.25">
      <c r="A26722" s="2">
        <v>26717</v>
      </c>
      <c r="B26722" s="3" t="str">
        <f>"01080291"</f>
        <v>01080291</v>
      </c>
    </row>
    <row r="26723" spans="1:2" x14ac:dyDescent="0.25">
      <c r="A26723" s="2">
        <v>26718</v>
      </c>
      <c r="B26723" s="3" t="str">
        <f>"01080293"</f>
        <v>01080293</v>
      </c>
    </row>
    <row r="26724" spans="1:2" x14ac:dyDescent="0.25">
      <c r="A26724" s="2">
        <v>26719</v>
      </c>
      <c r="B26724" s="3" t="str">
        <f>"01080301"</f>
        <v>01080301</v>
      </c>
    </row>
    <row r="26725" spans="1:2" x14ac:dyDescent="0.25">
      <c r="A26725" s="2">
        <v>26720</v>
      </c>
      <c r="B26725" s="3" t="str">
        <f>"01080305"</f>
        <v>01080305</v>
      </c>
    </row>
    <row r="26726" spans="1:2" x14ac:dyDescent="0.25">
      <c r="A26726" s="2">
        <v>26721</v>
      </c>
      <c r="B26726" s="3" t="str">
        <f>"01080306"</f>
        <v>01080306</v>
      </c>
    </row>
    <row r="26727" spans="1:2" x14ac:dyDescent="0.25">
      <c r="A26727" s="2">
        <v>26722</v>
      </c>
      <c r="B26727" s="3" t="str">
        <f>"01080307"</f>
        <v>01080307</v>
      </c>
    </row>
    <row r="26728" spans="1:2" x14ac:dyDescent="0.25">
      <c r="A26728" s="2">
        <v>26723</v>
      </c>
      <c r="B26728" s="3" t="str">
        <f>"01080321"</f>
        <v>01080321</v>
      </c>
    </row>
    <row r="26729" spans="1:2" x14ac:dyDescent="0.25">
      <c r="A26729" s="2">
        <v>26724</v>
      </c>
      <c r="B26729" s="3" t="str">
        <f>"01080327"</f>
        <v>01080327</v>
      </c>
    </row>
    <row r="26730" spans="1:2" x14ac:dyDescent="0.25">
      <c r="A26730" s="2">
        <v>26725</v>
      </c>
      <c r="B26730" s="3" t="str">
        <f>"01080329"</f>
        <v>01080329</v>
      </c>
    </row>
    <row r="26731" spans="1:2" x14ac:dyDescent="0.25">
      <c r="A26731" s="2">
        <v>26726</v>
      </c>
      <c r="B26731" s="3" t="str">
        <f>"01080337"</f>
        <v>01080337</v>
      </c>
    </row>
    <row r="26732" spans="1:2" x14ac:dyDescent="0.25">
      <c r="A26732" s="2">
        <v>26727</v>
      </c>
      <c r="B26732" s="3" t="str">
        <f>"01080340"</f>
        <v>01080340</v>
      </c>
    </row>
    <row r="26733" spans="1:2" x14ac:dyDescent="0.25">
      <c r="A26733" s="2">
        <v>26728</v>
      </c>
      <c r="B26733" s="3" t="str">
        <f>"01080342"</f>
        <v>01080342</v>
      </c>
    </row>
    <row r="26734" spans="1:2" x14ac:dyDescent="0.25">
      <c r="A26734" s="2">
        <v>26729</v>
      </c>
      <c r="B26734" s="3" t="str">
        <f>"01080344"</f>
        <v>01080344</v>
      </c>
    </row>
    <row r="26735" spans="1:2" x14ac:dyDescent="0.25">
      <c r="A26735" s="2">
        <v>26730</v>
      </c>
      <c r="B26735" s="3" t="str">
        <f>"01080349"</f>
        <v>01080349</v>
      </c>
    </row>
    <row r="26736" spans="1:2" x14ac:dyDescent="0.25">
      <c r="A26736" s="2">
        <v>26731</v>
      </c>
      <c r="B26736" s="3" t="str">
        <f>"01080352"</f>
        <v>01080352</v>
      </c>
    </row>
    <row r="26737" spans="1:2" x14ac:dyDescent="0.25">
      <c r="A26737" s="2">
        <v>26732</v>
      </c>
      <c r="B26737" s="3" t="str">
        <f>"01080353"</f>
        <v>01080353</v>
      </c>
    </row>
    <row r="26738" spans="1:2" x14ac:dyDescent="0.25">
      <c r="A26738" s="2">
        <v>26733</v>
      </c>
      <c r="B26738" s="3" t="str">
        <f>"01080355"</f>
        <v>01080355</v>
      </c>
    </row>
    <row r="26739" spans="1:2" x14ac:dyDescent="0.25">
      <c r="A26739" s="2">
        <v>26734</v>
      </c>
      <c r="B26739" s="3" t="str">
        <f>"01080358"</f>
        <v>01080358</v>
      </c>
    </row>
    <row r="26740" spans="1:2" x14ac:dyDescent="0.25">
      <c r="A26740" s="2">
        <v>26735</v>
      </c>
      <c r="B26740" s="3" t="str">
        <f>"01080364"</f>
        <v>01080364</v>
      </c>
    </row>
    <row r="26741" spans="1:2" x14ac:dyDescent="0.25">
      <c r="A26741" s="2">
        <v>26736</v>
      </c>
      <c r="B26741" s="3" t="str">
        <f>"01080366"</f>
        <v>01080366</v>
      </c>
    </row>
    <row r="26742" spans="1:2" x14ac:dyDescent="0.25">
      <c r="A26742" s="2">
        <v>26737</v>
      </c>
      <c r="B26742" s="3" t="str">
        <f>"01080369"</f>
        <v>01080369</v>
      </c>
    </row>
    <row r="26743" spans="1:2" x14ac:dyDescent="0.25">
      <c r="A26743" s="2">
        <v>26738</v>
      </c>
      <c r="B26743" s="3" t="str">
        <f>"01080371"</f>
        <v>01080371</v>
      </c>
    </row>
    <row r="26744" spans="1:2" x14ac:dyDescent="0.25">
      <c r="A26744" s="2">
        <v>26739</v>
      </c>
      <c r="B26744" s="3" t="str">
        <f>"01080374"</f>
        <v>01080374</v>
      </c>
    </row>
    <row r="26745" spans="1:2" x14ac:dyDescent="0.25">
      <c r="A26745" s="2">
        <v>26740</v>
      </c>
      <c r="B26745" s="3" t="str">
        <f>"01080379"</f>
        <v>01080379</v>
      </c>
    </row>
    <row r="26746" spans="1:2" x14ac:dyDescent="0.25">
      <c r="A26746" s="2">
        <v>26741</v>
      </c>
      <c r="B26746" s="3" t="str">
        <f>"01080389"</f>
        <v>01080389</v>
      </c>
    </row>
    <row r="26747" spans="1:2" x14ac:dyDescent="0.25">
      <c r="A26747" s="2">
        <v>26742</v>
      </c>
      <c r="B26747" s="3" t="str">
        <f>"01080392"</f>
        <v>01080392</v>
      </c>
    </row>
    <row r="26748" spans="1:2" x14ac:dyDescent="0.25">
      <c r="A26748" s="2">
        <v>26743</v>
      </c>
      <c r="B26748" s="3" t="str">
        <f>"01080393"</f>
        <v>01080393</v>
      </c>
    </row>
    <row r="26749" spans="1:2" x14ac:dyDescent="0.25">
      <c r="A26749" s="2">
        <v>26744</v>
      </c>
      <c r="B26749" s="3" t="str">
        <f>"01080398"</f>
        <v>01080398</v>
      </c>
    </row>
    <row r="26750" spans="1:2" x14ac:dyDescent="0.25">
      <c r="A26750" s="2">
        <v>26745</v>
      </c>
      <c r="B26750" s="3" t="str">
        <f>"01080411"</f>
        <v>01080411</v>
      </c>
    </row>
    <row r="26751" spans="1:2" x14ac:dyDescent="0.25">
      <c r="A26751" s="2">
        <v>26746</v>
      </c>
      <c r="B26751" s="3" t="str">
        <f>"01080412"</f>
        <v>01080412</v>
      </c>
    </row>
    <row r="26752" spans="1:2" x14ac:dyDescent="0.25">
      <c r="A26752" s="2">
        <v>26747</v>
      </c>
      <c r="B26752" s="3" t="str">
        <f>"01080414"</f>
        <v>01080414</v>
      </c>
    </row>
    <row r="26753" spans="1:2" x14ac:dyDescent="0.25">
      <c r="A26753" s="2">
        <v>26748</v>
      </c>
      <c r="B26753" s="3" t="str">
        <f>"01080418"</f>
        <v>01080418</v>
      </c>
    </row>
    <row r="26754" spans="1:2" x14ac:dyDescent="0.25">
      <c r="A26754" s="2">
        <v>26749</v>
      </c>
      <c r="B26754" s="3" t="str">
        <f>"01080423"</f>
        <v>01080423</v>
      </c>
    </row>
    <row r="26755" spans="1:2" x14ac:dyDescent="0.25">
      <c r="A26755" s="2">
        <v>26750</v>
      </c>
      <c r="B26755" s="3" t="str">
        <f>"01080426"</f>
        <v>01080426</v>
      </c>
    </row>
    <row r="26756" spans="1:2" x14ac:dyDescent="0.25">
      <c r="A26756" s="2">
        <v>26751</v>
      </c>
      <c r="B26756" s="3" t="str">
        <f>"01080428"</f>
        <v>01080428</v>
      </c>
    </row>
    <row r="26757" spans="1:2" x14ac:dyDescent="0.25">
      <c r="A26757" s="2">
        <v>26752</v>
      </c>
      <c r="B26757" s="3" t="str">
        <f>"01080429"</f>
        <v>01080429</v>
      </c>
    </row>
    <row r="26758" spans="1:2" x14ac:dyDescent="0.25">
      <c r="A26758" s="2">
        <v>26753</v>
      </c>
      <c r="B26758" s="3" t="str">
        <f>"01080436"</f>
        <v>01080436</v>
      </c>
    </row>
    <row r="26759" spans="1:2" x14ac:dyDescent="0.25">
      <c r="A26759" s="2">
        <v>26754</v>
      </c>
      <c r="B26759" s="3" t="str">
        <f>"01080440"</f>
        <v>01080440</v>
      </c>
    </row>
    <row r="26760" spans="1:2" x14ac:dyDescent="0.25">
      <c r="A26760" s="2">
        <v>26755</v>
      </c>
      <c r="B26760" s="3" t="str">
        <f>"01080444"</f>
        <v>01080444</v>
      </c>
    </row>
    <row r="26761" spans="1:2" x14ac:dyDescent="0.25">
      <c r="A26761" s="2">
        <v>26756</v>
      </c>
      <c r="B26761" s="3" t="str">
        <f>"01080445"</f>
        <v>01080445</v>
      </c>
    </row>
    <row r="26762" spans="1:2" x14ac:dyDescent="0.25">
      <c r="A26762" s="2">
        <v>26757</v>
      </c>
      <c r="B26762" s="3" t="str">
        <f>"01080453"</f>
        <v>01080453</v>
      </c>
    </row>
    <row r="26763" spans="1:2" x14ac:dyDescent="0.25">
      <c r="A26763" s="2">
        <v>26758</v>
      </c>
      <c r="B26763" s="3" t="str">
        <f>"01080454"</f>
        <v>01080454</v>
      </c>
    </row>
    <row r="26764" spans="1:2" x14ac:dyDescent="0.25">
      <c r="A26764" s="2">
        <v>26759</v>
      </c>
      <c r="B26764" s="3" t="str">
        <f>"01080456"</f>
        <v>01080456</v>
      </c>
    </row>
    <row r="26765" spans="1:2" x14ac:dyDescent="0.25">
      <c r="A26765" s="2">
        <v>26760</v>
      </c>
      <c r="B26765" s="3" t="str">
        <f>"01080466"</f>
        <v>01080466</v>
      </c>
    </row>
    <row r="26766" spans="1:2" x14ac:dyDescent="0.25">
      <c r="A26766" s="2">
        <v>26761</v>
      </c>
      <c r="B26766" s="3" t="str">
        <f>"01080467"</f>
        <v>01080467</v>
      </c>
    </row>
    <row r="26767" spans="1:2" x14ac:dyDescent="0.25">
      <c r="A26767" s="2">
        <v>26762</v>
      </c>
      <c r="B26767" s="3" t="str">
        <f>"01080469"</f>
        <v>01080469</v>
      </c>
    </row>
    <row r="26768" spans="1:2" x14ac:dyDescent="0.25">
      <c r="A26768" s="2">
        <v>26763</v>
      </c>
      <c r="B26768" s="3" t="str">
        <f>"01080478"</f>
        <v>01080478</v>
      </c>
    </row>
    <row r="26769" spans="1:2" x14ac:dyDescent="0.25">
      <c r="A26769" s="2">
        <v>26764</v>
      </c>
      <c r="B26769" s="3" t="str">
        <f>"01080482"</f>
        <v>01080482</v>
      </c>
    </row>
    <row r="26770" spans="1:2" x14ac:dyDescent="0.25">
      <c r="A26770" s="2">
        <v>26765</v>
      </c>
      <c r="B26770" s="3" t="str">
        <f>"01080483"</f>
        <v>01080483</v>
      </c>
    </row>
    <row r="26771" spans="1:2" x14ac:dyDescent="0.25">
      <c r="A26771" s="2">
        <v>26766</v>
      </c>
      <c r="B26771" s="3" t="str">
        <f>"01080487"</f>
        <v>01080487</v>
      </c>
    </row>
    <row r="26772" spans="1:2" x14ac:dyDescent="0.25">
      <c r="A26772" s="2">
        <v>26767</v>
      </c>
      <c r="B26772" s="3" t="str">
        <f>"01080493"</f>
        <v>01080493</v>
      </c>
    </row>
    <row r="26773" spans="1:2" x14ac:dyDescent="0.25">
      <c r="A26773" s="2">
        <v>26768</v>
      </c>
      <c r="B26773" s="3" t="str">
        <f>"01080496"</f>
        <v>01080496</v>
      </c>
    </row>
    <row r="26774" spans="1:2" x14ac:dyDescent="0.25">
      <c r="A26774" s="2">
        <v>26769</v>
      </c>
      <c r="B26774" s="3" t="str">
        <f>"01080500"</f>
        <v>01080500</v>
      </c>
    </row>
    <row r="26775" spans="1:2" x14ac:dyDescent="0.25">
      <c r="A26775" s="2">
        <v>26770</v>
      </c>
      <c r="B26775" s="3" t="str">
        <f>"01080505"</f>
        <v>01080505</v>
      </c>
    </row>
    <row r="26776" spans="1:2" x14ac:dyDescent="0.25">
      <c r="A26776" s="2">
        <v>26771</v>
      </c>
      <c r="B26776" s="3" t="str">
        <f>"01080507"</f>
        <v>01080507</v>
      </c>
    </row>
    <row r="26777" spans="1:2" x14ac:dyDescent="0.25">
      <c r="A26777" s="2">
        <v>26772</v>
      </c>
      <c r="B26777" s="3" t="str">
        <f>"01080509"</f>
        <v>01080509</v>
      </c>
    </row>
    <row r="26778" spans="1:2" x14ac:dyDescent="0.25">
      <c r="A26778" s="2">
        <v>26773</v>
      </c>
      <c r="B26778" s="3" t="str">
        <f>"01080510"</f>
        <v>01080510</v>
      </c>
    </row>
    <row r="26779" spans="1:2" x14ac:dyDescent="0.25">
      <c r="A26779" s="2">
        <v>26774</v>
      </c>
      <c r="B26779" s="3" t="str">
        <f>"01080523"</f>
        <v>01080523</v>
      </c>
    </row>
    <row r="26780" spans="1:2" x14ac:dyDescent="0.25">
      <c r="A26780" s="2">
        <v>26775</v>
      </c>
      <c r="B26780" s="3" t="str">
        <f>"01080529"</f>
        <v>01080529</v>
      </c>
    </row>
    <row r="26781" spans="1:2" x14ac:dyDescent="0.25">
      <c r="A26781" s="2">
        <v>26776</v>
      </c>
      <c r="B26781" s="3" t="str">
        <f>"01080539"</f>
        <v>01080539</v>
      </c>
    </row>
    <row r="26782" spans="1:2" x14ac:dyDescent="0.25">
      <c r="A26782" s="2">
        <v>26777</v>
      </c>
      <c r="B26782" s="3" t="str">
        <f>"01080540"</f>
        <v>01080540</v>
      </c>
    </row>
    <row r="26783" spans="1:2" x14ac:dyDescent="0.25">
      <c r="A26783" s="2">
        <v>26778</v>
      </c>
      <c r="B26783" s="3" t="str">
        <f>"01080542"</f>
        <v>01080542</v>
      </c>
    </row>
    <row r="26784" spans="1:2" x14ac:dyDescent="0.25">
      <c r="A26784" s="2">
        <v>26779</v>
      </c>
      <c r="B26784" s="3" t="str">
        <f>"01080548"</f>
        <v>01080548</v>
      </c>
    </row>
    <row r="26785" spans="1:2" x14ac:dyDescent="0.25">
      <c r="A26785" s="2">
        <v>26780</v>
      </c>
      <c r="B26785" s="3" t="str">
        <f>"01080555"</f>
        <v>01080555</v>
      </c>
    </row>
    <row r="26786" spans="1:2" x14ac:dyDescent="0.25">
      <c r="A26786" s="2">
        <v>26781</v>
      </c>
      <c r="B26786" s="3" t="str">
        <f>"01080562"</f>
        <v>01080562</v>
      </c>
    </row>
    <row r="26787" spans="1:2" x14ac:dyDescent="0.25">
      <c r="A26787" s="2">
        <v>26782</v>
      </c>
      <c r="B26787" s="3" t="str">
        <f>"01080564"</f>
        <v>01080564</v>
      </c>
    </row>
    <row r="26788" spans="1:2" x14ac:dyDescent="0.25">
      <c r="A26788" s="2">
        <v>26783</v>
      </c>
      <c r="B26788" s="3" t="str">
        <f>"01080575"</f>
        <v>01080575</v>
      </c>
    </row>
    <row r="26789" spans="1:2" x14ac:dyDescent="0.25">
      <c r="A26789" s="2">
        <v>26784</v>
      </c>
      <c r="B26789" s="3" t="str">
        <f>"01080577"</f>
        <v>01080577</v>
      </c>
    </row>
    <row r="26790" spans="1:2" x14ac:dyDescent="0.25">
      <c r="A26790" s="2">
        <v>26785</v>
      </c>
      <c r="B26790" s="3" t="str">
        <f>"01080587"</f>
        <v>01080587</v>
      </c>
    </row>
    <row r="26791" spans="1:2" x14ac:dyDescent="0.25">
      <c r="A26791" s="2">
        <v>26786</v>
      </c>
      <c r="B26791" s="3" t="str">
        <f>"01080595"</f>
        <v>01080595</v>
      </c>
    </row>
    <row r="26792" spans="1:2" x14ac:dyDescent="0.25">
      <c r="A26792" s="2">
        <v>26787</v>
      </c>
      <c r="B26792" s="3" t="str">
        <f>"01080597"</f>
        <v>01080597</v>
      </c>
    </row>
    <row r="26793" spans="1:2" x14ac:dyDescent="0.25">
      <c r="A26793" s="2">
        <v>26788</v>
      </c>
      <c r="B26793" s="3" t="str">
        <f>"01080598"</f>
        <v>01080598</v>
      </c>
    </row>
    <row r="26794" spans="1:2" x14ac:dyDescent="0.25">
      <c r="A26794" s="2">
        <v>26789</v>
      </c>
      <c r="B26794" s="3" t="str">
        <f>"01080600"</f>
        <v>01080600</v>
      </c>
    </row>
    <row r="26795" spans="1:2" x14ac:dyDescent="0.25">
      <c r="A26795" s="2">
        <v>26790</v>
      </c>
      <c r="B26795" s="3" t="str">
        <f>"01080601"</f>
        <v>01080601</v>
      </c>
    </row>
    <row r="26796" spans="1:2" x14ac:dyDescent="0.25">
      <c r="A26796" s="2">
        <v>26791</v>
      </c>
      <c r="B26796" s="3" t="str">
        <f>"01080602"</f>
        <v>01080602</v>
      </c>
    </row>
    <row r="26797" spans="1:2" x14ac:dyDescent="0.25">
      <c r="A26797" s="2">
        <v>26792</v>
      </c>
      <c r="B26797" s="3" t="str">
        <f>"01080608"</f>
        <v>01080608</v>
      </c>
    </row>
    <row r="26798" spans="1:2" x14ac:dyDescent="0.25">
      <c r="A26798" s="2">
        <v>26793</v>
      </c>
      <c r="B26798" s="3" t="str">
        <f>"01080609"</f>
        <v>01080609</v>
      </c>
    </row>
    <row r="26799" spans="1:2" x14ac:dyDescent="0.25">
      <c r="A26799" s="2">
        <v>26794</v>
      </c>
      <c r="B26799" s="3" t="str">
        <f>"01080613"</f>
        <v>01080613</v>
      </c>
    </row>
    <row r="26800" spans="1:2" x14ac:dyDescent="0.25">
      <c r="A26800" s="2">
        <v>26795</v>
      </c>
      <c r="B26800" s="3" t="str">
        <f>"01080618"</f>
        <v>01080618</v>
      </c>
    </row>
    <row r="26801" spans="1:2" x14ac:dyDescent="0.25">
      <c r="A26801" s="2">
        <v>26796</v>
      </c>
      <c r="B26801" s="3" t="str">
        <f>"01080619"</f>
        <v>01080619</v>
      </c>
    </row>
    <row r="26802" spans="1:2" x14ac:dyDescent="0.25">
      <c r="A26802" s="2">
        <v>26797</v>
      </c>
      <c r="B26802" s="3" t="str">
        <f>"01080622"</f>
        <v>01080622</v>
      </c>
    </row>
    <row r="26803" spans="1:2" x14ac:dyDescent="0.25">
      <c r="A26803" s="2">
        <v>26798</v>
      </c>
      <c r="B26803" s="3" t="str">
        <f>"01080628"</f>
        <v>01080628</v>
      </c>
    </row>
    <row r="26804" spans="1:2" x14ac:dyDescent="0.25">
      <c r="A26804" s="2">
        <v>26799</v>
      </c>
      <c r="B26804" s="3" t="str">
        <f>"01080632"</f>
        <v>01080632</v>
      </c>
    </row>
    <row r="26805" spans="1:2" x14ac:dyDescent="0.25">
      <c r="A26805" s="2">
        <v>26800</v>
      </c>
      <c r="B26805" s="3" t="str">
        <f>"01080634"</f>
        <v>01080634</v>
      </c>
    </row>
    <row r="26806" spans="1:2" x14ac:dyDescent="0.25">
      <c r="A26806" s="2">
        <v>26801</v>
      </c>
      <c r="B26806" s="3" t="str">
        <f>"01080645"</f>
        <v>01080645</v>
      </c>
    </row>
    <row r="26807" spans="1:2" x14ac:dyDescent="0.25">
      <c r="A26807" s="2">
        <v>26802</v>
      </c>
      <c r="B26807" s="3" t="str">
        <f>"01080656"</f>
        <v>01080656</v>
      </c>
    </row>
    <row r="26808" spans="1:2" x14ac:dyDescent="0.25">
      <c r="A26808" s="2">
        <v>26803</v>
      </c>
      <c r="B26808" s="3" t="str">
        <f>"01080669"</f>
        <v>01080669</v>
      </c>
    </row>
    <row r="26809" spans="1:2" x14ac:dyDescent="0.25">
      <c r="A26809" s="2">
        <v>26804</v>
      </c>
      <c r="B26809" s="3" t="str">
        <f>"01080670"</f>
        <v>01080670</v>
      </c>
    </row>
    <row r="26810" spans="1:2" x14ac:dyDescent="0.25">
      <c r="A26810" s="2">
        <v>26805</v>
      </c>
      <c r="B26810" s="3" t="str">
        <f>"01080672"</f>
        <v>01080672</v>
      </c>
    </row>
    <row r="26811" spans="1:2" x14ac:dyDescent="0.25">
      <c r="A26811" s="2">
        <v>26806</v>
      </c>
      <c r="B26811" s="3" t="str">
        <f>"01080673"</f>
        <v>01080673</v>
      </c>
    </row>
    <row r="26812" spans="1:2" x14ac:dyDescent="0.25">
      <c r="A26812" s="2">
        <v>26807</v>
      </c>
      <c r="B26812" s="3" t="str">
        <f>"01080677"</f>
        <v>01080677</v>
      </c>
    </row>
    <row r="26813" spans="1:2" x14ac:dyDescent="0.25">
      <c r="A26813" s="2">
        <v>26808</v>
      </c>
      <c r="B26813" s="3" t="str">
        <f>"01080683"</f>
        <v>01080683</v>
      </c>
    </row>
    <row r="26814" spans="1:2" x14ac:dyDescent="0.25">
      <c r="A26814" s="2">
        <v>26809</v>
      </c>
      <c r="B26814" s="3" t="str">
        <f>"01080691"</f>
        <v>01080691</v>
      </c>
    </row>
    <row r="26815" spans="1:2" x14ac:dyDescent="0.25">
      <c r="A26815" s="2">
        <v>26810</v>
      </c>
      <c r="B26815" s="3" t="str">
        <f>"01080706"</f>
        <v>01080706</v>
      </c>
    </row>
    <row r="26816" spans="1:2" x14ac:dyDescent="0.25">
      <c r="A26816" s="2">
        <v>26811</v>
      </c>
      <c r="B26816" s="3" t="str">
        <f>"01080708"</f>
        <v>01080708</v>
      </c>
    </row>
    <row r="26817" spans="1:2" x14ac:dyDescent="0.25">
      <c r="A26817" s="2">
        <v>26812</v>
      </c>
      <c r="B26817" s="3" t="str">
        <f>"01080718"</f>
        <v>01080718</v>
      </c>
    </row>
    <row r="26818" spans="1:2" x14ac:dyDescent="0.25">
      <c r="A26818" s="2">
        <v>26813</v>
      </c>
      <c r="B26818" s="3" t="str">
        <f>"01080719"</f>
        <v>01080719</v>
      </c>
    </row>
    <row r="26819" spans="1:2" x14ac:dyDescent="0.25">
      <c r="A26819" s="2">
        <v>26814</v>
      </c>
      <c r="B26819" s="3" t="str">
        <f>"01080723"</f>
        <v>01080723</v>
      </c>
    </row>
    <row r="26820" spans="1:2" x14ac:dyDescent="0.25">
      <c r="A26820" s="2">
        <v>26815</v>
      </c>
      <c r="B26820" s="3" t="str">
        <f>"01080728"</f>
        <v>01080728</v>
      </c>
    </row>
    <row r="26821" spans="1:2" x14ac:dyDescent="0.25">
      <c r="A26821" s="2">
        <v>26816</v>
      </c>
      <c r="B26821" s="3" t="str">
        <f>"01080730"</f>
        <v>01080730</v>
      </c>
    </row>
    <row r="26822" spans="1:2" x14ac:dyDescent="0.25">
      <c r="A26822" s="2">
        <v>26817</v>
      </c>
      <c r="B26822" s="3" t="str">
        <f>"01080732"</f>
        <v>01080732</v>
      </c>
    </row>
    <row r="26823" spans="1:2" x14ac:dyDescent="0.25">
      <c r="A26823" s="2">
        <v>26818</v>
      </c>
      <c r="B26823" s="3" t="str">
        <f>"01080740"</f>
        <v>01080740</v>
      </c>
    </row>
    <row r="26824" spans="1:2" x14ac:dyDescent="0.25">
      <c r="A26824" s="2">
        <v>26819</v>
      </c>
      <c r="B26824" s="3" t="str">
        <f>"01080746"</f>
        <v>01080746</v>
      </c>
    </row>
    <row r="26825" spans="1:2" x14ac:dyDescent="0.25">
      <c r="A26825" s="2">
        <v>26820</v>
      </c>
      <c r="B26825" s="3" t="str">
        <f>"01080748"</f>
        <v>01080748</v>
      </c>
    </row>
    <row r="26826" spans="1:2" x14ac:dyDescent="0.25">
      <c r="A26826" s="2">
        <v>26821</v>
      </c>
      <c r="B26826" s="3" t="str">
        <f>"01080753"</f>
        <v>01080753</v>
      </c>
    </row>
    <row r="26827" spans="1:2" x14ac:dyDescent="0.25">
      <c r="A26827" s="2">
        <v>26822</v>
      </c>
      <c r="B26827" s="3" t="str">
        <f>"01080754"</f>
        <v>01080754</v>
      </c>
    </row>
    <row r="26828" spans="1:2" x14ac:dyDescent="0.25">
      <c r="A26828" s="2">
        <v>26823</v>
      </c>
      <c r="B26828" s="3" t="str">
        <f>"01080756"</f>
        <v>01080756</v>
      </c>
    </row>
    <row r="26829" spans="1:2" x14ac:dyDescent="0.25">
      <c r="A26829" s="2">
        <v>26824</v>
      </c>
      <c r="B26829" s="3" t="str">
        <f>"01080758"</f>
        <v>01080758</v>
      </c>
    </row>
    <row r="26830" spans="1:2" x14ac:dyDescent="0.25">
      <c r="A26830" s="2">
        <v>26825</v>
      </c>
      <c r="B26830" s="3" t="str">
        <f>"01080760"</f>
        <v>01080760</v>
      </c>
    </row>
    <row r="26831" spans="1:2" x14ac:dyDescent="0.25">
      <c r="A26831" s="2">
        <v>26826</v>
      </c>
      <c r="B26831" s="3" t="str">
        <f>"01080761"</f>
        <v>01080761</v>
      </c>
    </row>
    <row r="26832" spans="1:2" x14ac:dyDescent="0.25">
      <c r="A26832" s="2">
        <v>26827</v>
      </c>
      <c r="B26832" s="3" t="str">
        <f>"01080764"</f>
        <v>01080764</v>
      </c>
    </row>
    <row r="26833" spans="1:2" x14ac:dyDescent="0.25">
      <c r="A26833" s="2">
        <v>26828</v>
      </c>
      <c r="B26833" s="3" t="str">
        <f>"01080766"</f>
        <v>01080766</v>
      </c>
    </row>
    <row r="26834" spans="1:2" x14ac:dyDescent="0.25">
      <c r="A26834" s="2">
        <v>26829</v>
      </c>
      <c r="B26834" s="3" t="str">
        <f>"01080771"</f>
        <v>01080771</v>
      </c>
    </row>
    <row r="26835" spans="1:2" x14ac:dyDescent="0.25">
      <c r="A26835" s="2">
        <v>26830</v>
      </c>
      <c r="B26835" s="3" t="str">
        <f>"01080778"</f>
        <v>01080778</v>
      </c>
    </row>
    <row r="26836" spans="1:2" x14ac:dyDescent="0.25">
      <c r="A26836" s="2">
        <v>26831</v>
      </c>
      <c r="B26836" s="3" t="str">
        <f>"01080779"</f>
        <v>01080779</v>
      </c>
    </row>
    <row r="26837" spans="1:2" x14ac:dyDescent="0.25">
      <c r="A26837" s="2">
        <v>26832</v>
      </c>
      <c r="B26837" s="3" t="str">
        <f>"01080781"</f>
        <v>01080781</v>
      </c>
    </row>
    <row r="26838" spans="1:2" x14ac:dyDescent="0.25">
      <c r="A26838" s="2">
        <v>26833</v>
      </c>
      <c r="B26838" s="3" t="str">
        <f>"01080787"</f>
        <v>01080787</v>
      </c>
    </row>
    <row r="26839" spans="1:2" x14ac:dyDescent="0.25">
      <c r="A26839" s="2">
        <v>26834</v>
      </c>
      <c r="B26839" s="3" t="str">
        <f>"01080795"</f>
        <v>01080795</v>
      </c>
    </row>
    <row r="26840" spans="1:2" x14ac:dyDescent="0.25">
      <c r="A26840" s="2">
        <v>26835</v>
      </c>
      <c r="B26840" s="3" t="str">
        <f>"01080797"</f>
        <v>01080797</v>
      </c>
    </row>
    <row r="26841" spans="1:2" x14ac:dyDescent="0.25">
      <c r="A26841" s="2">
        <v>26836</v>
      </c>
      <c r="B26841" s="3" t="str">
        <f>"01080799"</f>
        <v>01080799</v>
      </c>
    </row>
    <row r="26842" spans="1:2" x14ac:dyDescent="0.25">
      <c r="A26842" s="2">
        <v>26837</v>
      </c>
      <c r="B26842" s="3" t="str">
        <f>"01080804"</f>
        <v>01080804</v>
      </c>
    </row>
    <row r="26843" spans="1:2" x14ac:dyDescent="0.25">
      <c r="A26843" s="2">
        <v>26838</v>
      </c>
      <c r="B26843" s="3" t="str">
        <f>"01080810"</f>
        <v>01080810</v>
      </c>
    </row>
    <row r="26844" spans="1:2" x14ac:dyDescent="0.25">
      <c r="A26844" s="2">
        <v>26839</v>
      </c>
      <c r="B26844" s="3" t="str">
        <f>"01080811"</f>
        <v>01080811</v>
      </c>
    </row>
    <row r="26845" spans="1:2" x14ac:dyDescent="0.25">
      <c r="A26845" s="2">
        <v>26840</v>
      </c>
      <c r="B26845" s="3" t="str">
        <f>"01080815"</f>
        <v>01080815</v>
      </c>
    </row>
    <row r="26846" spans="1:2" x14ac:dyDescent="0.25">
      <c r="A26846" s="2">
        <v>26841</v>
      </c>
      <c r="B26846" s="3" t="str">
        <f>"01080816"</f>
        <v>01080816</v>
      </c>
    </row>
    <row r="26847" spans="1:2" x14ac:dyDescent="0.25">
      <c r="A26847" s="2">
        <v>26842</v>
      </c>
      <c r="B26847" s="3" t="str">
        <f>"01080817"</f>
        <v>01080817</v>
      </c>
    </row>
    <row r="26848" spans="1:2" x14ac:dyDescent="0.25">
      <c r="A26848" s="2">
        <v>26843</v>
      </c>
      <c r="B26848" s="3" t="str">
        <f>"01080819"</f>
        <v>01080819</v>
      </c>
    </row>
    <row r="26849" spans="1:2" x14ac:dyDescent="0.25">
      <c r="A26849" s="2">
        <v>26844</v>
      </c>
      <c r="B26849" s="3" t="str">
        <f>"01080820"</f>
        <v>01080820</v>
      </c>
    </row>
    <row r="26850" spans="1:2" x14ac:dyDescent="0.25">
      <c r="A26850" s="2">
        <v>26845</v>
      </c>
      <c r="B26850" s="3" t="str">
        <f>"01080821"</f>
        <v>01080821</v>
      </c>
    </row>
    <row r="26851" spans="1:2" x14ac:dyDescent="0.25">
      <c r="A26851" s="2">
        <v>26846</v>
      </c>
      <c r="B26851" s="3" t="str">
        <f>"01080827"</f>
        <v>01080827</v>
      </c>
    </row>
    <row r="26852" spans="1:2" x14ac:dyDescent="0.25">
      <c r="A26852" s="2">
        <v>26847</v>
      </c>
      <c r="B26852" s="3" t="str">
        <f>"01080830"</f>
        <v>01080830</v>
      </c>
    </row>
    <row r="26853" spans="1:2" x14ac:dyDescent="0.25">
      <c r="A26853" s="2">
        <v>26848</v>
      </c>
      <c r="B26853" s="3" t="str">
        <f>"01080831"</f>
        <v>01080831</v>
      </c>
    </row>
    <row r="26854" spans="1:2" x14ac:dyDescent="0.25">
      <c r="A26854" s="2">
        <v>26849</v>
      </c>
      <c r="B26854" s="3" t="str">
        <f>"01080844"</f>
        <v>01080844</v>
      </c>
    </row>
    <row r="26855" spans="1:2" x14ac:dyDescent="0.25">
      <c r="A26855" s="2">
        <v>26850</v>
      </c>
      <c r="B26855" s="3" t="str">
        <f>"01080846"</f>
        <v>01080846</v>
      </c>
    </row>
    <row r="26856" spans="1:2" x14ac:dyDescent="0.25">
      <c r="A26856" s="2">
        <v>26851</v>
      </c>
      <c r="B26856" s="3" t="str">
        <f>"01080847"</f>
        <v>01080847</v>
      </c>
    </row>
    <row r="26857" spans="1:2" x14ac:dyDescent="0.25">
      <c r="A26857" s="2">
        <v>26852</v>
      </c>
      <c r="B26857" s="3" t="str">
        <f>"01080848"</f>
        <v>01080848</v>
      </c>
    </row>
    <row r="26858" spans="1:2" x14ac:dyDescent="0.25">
      <c r="A26858" s="2">
        <v>26853</v>
      </c>
      <c r="B26858" s="3" t="str">
        <f>"01080853"</f>
        <v>01080853</v>
      </c>
    </row>
    <row r="26859" spans="1:2" x14ac:dyDescent="0.25">
      <c r="A26859" s="2">
        <v>26854</v>
      </c>
      <c r="B26859" s="3" t="str">
        <f>"01080855"</f>
        <v>01080855</v>
      </c>
    </row>
    <row r="26860" spans="1:2" x14ac:dyDescent="0.25">
      <c r="A26860" s="2">
        <v>26855</v>
      </c>
      <c r="B26860" s="3" t="str">
        <f>"01080856"</f>
        <v>01080856</v>
      </c>
    </row>
    <row r="26861" spans="1:2" x14ac:dyDescent="0.25">
      <c r="A26861" s="2">
        <v>26856</v>
      </c>
      <c r="B26861" s="3" t="str">
        <f>"01080857"</f>
        <v>01080857</v>
      </c>
    </row>
    <row r="26862" spans="1:2" x14ac:dyDescent="0.25">
      <c r="A26862" s="2">
        <v>26857</v>
      </c>
      <c r="B26862" s="3" t="str">
        <f>"01080862"</f>
        <v>01080862</v>
      </c>
    </row>
    <row r="26863" spans="1:2" x14ac:dyDescent="0.25">
      <c r="A26863" s="2">
        <v>26858</v>
      </c>
      <c r="B26863" s="3" t="str">
        <f>"01080863"</f>
        <v>01080863</v>
      </c>
    </row>
    <row r="26864" spans="1:2" x14ac:dyDescent="0.25">
      <c r="A26864" s="2">
        <v>26859</v>
      </c>
      <c r="B26864" s="3" t="str">
        <f>"01080867"</f>
        <v>01080867</v>
      </c>
    </row>
    <row r="26865" spans="1:2" x14ac:dyDescent="0.25">
      <c r="A26865" s="2">
        <v>26860</v>
      </c>
      <c r="B26865" s="3" t="str">
        <f>"01080869"</f>
        <v>01080869</v>
      </c>
    </row>
    <row r="26866" spans="1:2" x14ac:dyDescent="0.25">
      <c r="A26866" s="2">
        <v>26861</v>
      </c>
      <c r="B26866" s="3" t="str">
        <f>"01080875"</f>
        <v>01080875</v>
      </c>
    </row>
    <row r="26867" spans="1:2" x14ac:dyDescent="0.25">
      <c r="A26867" s="2">
        <v>26862</v>
      </c>
      <c r="B26867" s="3" t="str">
        <f>"01080889"</f>
        <v>01080889</v>
      </c>
    </row>
    <row r="26868" spans="1:2" x14ac:dyDescent="0.25">
      <c r="A26868" s="2">
        <v>26863</v>
      </c>
      <c r="B26868" s="3" t="str">
        <f>"01080895"</f>
        <v>01080895</v>
      </c>
    </row>
    <row r="26869" spans="1:2" x14ac:dyDescent="0.25">
      <c r="A26869" s="2">
        <v>26864</v>
      </c>
      <c r="B26869" s="3" t="str">
        <f>"01080901"</f>
        <v>01080901</v>
      </c>
    </row>
    <row r="26870" spans="1:2" x14ac:dyDescent="0.25">
      <c r="A26870" s="2">
        <v>26865</v>
      </c>
      <c r="B26870" s="3" t="str">
        <f>"01080904"</f>
        <v>01080904</v>
      </c>
    </row>
    <row r="26871" spans="1:2" x14ac:dyDescent="0.25">
      <c r="A26871" s="2">
        <v>26866</v>
      </c>
      <c r="B26871" s="3" t="str">
        <f>"01080906"</f>
        <v>01080906</v>
      </c>
    </row>
    <row r="26872" spans="1:2" x14ac:dyDescent="0.25">
      <c r="A26872" s="2">
        <v>26867</v>
      </c>
      <c r="B26872" s="3" t="str">
        <f>"01080914"</f>
        <v>01080914</v>
      </c>
    </row>
    <row r="26873" spans="1:2" x14ac:dyDescent="0.25">
      <c r="A26873" s="2">
        <v>26868</v>
      </c>
      <c r="B26873" s="3" t="str">
        <f>"01080920"</f>
        <v>01080920</v>
      </c>
    </row>
    <row r="26874" spans="1:2" x14ac:dyDescent="0.25">
      <c r="A26874" s="2">
        <v>26869</v>
      </c>
      <c r="B26874" s="3" t="str">
        <f>"01080929"</f>
        <v>01080929</v>
      </c>
    </row>
    <row r="26875" spans="1:2" x14ac:dyDescent="0.25">
      <c r="A26875" s="2">
        <v>26870</v>
      </c>
      <c r="B26875" s="3" t="str">
        <f>"01080930"</f>
        <v>01080930</v>
      </c>
    </row>
    <row r="26876" spans="1:2" x14ac:dyDescent="0.25">
      <c r="A26876" s="2">
        <v>26871</v>
      </c>
      <c r="B26876" s="3" t="str">
        <f>"01080931"</f>
        <v>01080931</v>
      </c>
    </row>
    <row r="26877" spans="1:2" x14ac:dyDescent="0.25">
      <c r="A26877" s="2">
        <v>26872</v>
      </c>
      <c r="B26877" s="3" t="str">
        <f>"01080932"</f>
        <v>01080932</v>
      </c>
    </row>
    <row r="26878" spans="1:2" x14ac:dyDescent="0.25">
      <c r="A26878" s="2">
        <v>26873</v>
      </c>
      <c r="B26878" s="3" t="str">
        <f>"01080936"</f>
        <v>01080936</v>
      </c>
    </row>
    <row r="26879" spans="1:2" x14ac:dyDescent="0.25">
      <c r="A26879" s="2">
        <v>26874</v>
      </c>
      <c r="B26879" s="3" t="str">
        <f>"01080941"</f>
        <v>01080941</v>
      </c>
    </row>
    <row r="26880" spans="1:2" x14ac:dyDescent="0.25">
      <c r="A26880" s="2">
        <v>26875</v>
      </c>
      <c r="B26880" s="3" t="str">
        <f>"01080943"</f>
        <v>01080943</v>
      </c>
    </row>
    <row r="26881" spans="1:2" x14ac:dyDescent="0.25">
      <c r="A26881" s="2">
        <v>26876</v>
      </c>
      <c r="B26881" s="3" t="str">
        <f>"01080947"</f>
        <v>01080947</v>
      </c>
    </row>
    <row r="26882" spans="1:2" x14ac:dyDescent="0.25">
      <c r="A26882" s="2">
        <v>26877</v>
      </c>
      <c r="B26882" s="3" t="str">
        <f>"01080949"</f>
        <v>01080949</v>
      </c>
    </row>
    <row r="26883" spans="1:2" x14ac:dyDescent="0.25">
      <c r="A26883" s="2">
        <v>26878</v>
      </c>
      <c r="B26883" s="3" t="str">
        <f>"01080958"</f>
        <v>01080958</v>
      </c>
    </row>
    <row r="26884" spans="1:2" x14ac:dyDescent="0.25">
      <c r="A26884" s="2">
        <v>26879</v>
      </c>
      <c r="B26884" s="3" t="str">
        <f>"01080959"</f>
        <v>01080959</v>
      </c>
    </row>
    <row r="26885" spans="1:2" x14ac:dyDescent="0.25">
      <c r="A26885" s="2">
        <v>26880</v>
      </c>
      <c r="B26885" s="3" t="str">
        <f>"01080962"</f>
        <v>01080962</v>
      </c>
    </row>
    <row r="26886" spans="1:2" x14ac:dyDescent="0.25">
      <c r="A26886" s="2">
        <v>26881</v>
      </c>
      <c r="B26886" s="3" t="str">
        <f>"01080968"</f>
        <v>01080968</v>
      </c>
    </row>
    <row r="26887" spans="1:2" x14ac:dyDescent="0.25">
      <c r="A26887" s="2">
        <v>26882</v>
      </c>
      <c r="B26887" s="3" t="str">
        <f>"01080978"</f>
        <v>01080978</v>
      </c>
    </row>
    <row r="26888" spans="1:2" x14ac:dyDescent="0.25">
      <c r="A26888" s="2">
        <v>26883</v>
      </c>
      <c r="B26888" s="3" t="str">
        <f>"01080979"</f>
        <v>01080979</v>
      </c>
    </row>
    <row r="26889" spans="1:2" x14ac:dyDescent="0.25">
      <c r="A26889" s="2">
        <v>26884</v>
      </c>
      <c r="B26889" s="3" t="str">
        <f>"01080980"</f>
        <v>01080980</v>
      </c>
    </row>
    <row r="26890" spans="1:2" x14ac:dyDescent="0.25">
      <c r="A26890" s="2">
        <v>26885</v>
      </c>
      <c r="B26890" s="3" t="str">
        <f>"01080986"</f>
        <v>01080986</v>
      </c>
    </row>
    <row r="26891" spans="1:2" x14ac:dyDescent="0.25">
      <c r="A26891" s="2">
        <v>26886</v>
      </c>
      <c r="B26891" s="3" t="str">
        <f>"01080989"</f>
        <v>01080989</v>
      </c>
    </row>
    <row r="26892" spans="1:2" x14ac:dyDescent="0.25">
      <c r="A26892" s="2">
        <v>26887</v>
      </c>
      <c r="B26892" s="3" t="str">
        <f>"01080998"</f>
        <v>01080998</v>
      </c>
    </row>
    <row r="26893" spans="1:2" x14ac:dyDescent="0.25">
      <c r="A26893" s="2">
        <v>26888</v>
      </c>
      <c r="B26893" s="3" t="str">
        <f>"01081001"</f>
        <v>01081001</v>
      </c>
    </row>
    <row r="26894" spans="1:2" x14ac:dyDescent="0.25">
      <c r="A26894" s="2">
        <v>26889</v>
      </c>
      <c r="B26894" s="3" t="str">
        <f>"01081004"</f>
        <v>01081004</v>
      </c>
    </row>
    <row r="26895" spans="1:2" x14ac:dyDescent="0.25">
      <c r="A26895" s="2">
        <v>26890</v>
      </c>
      <c r="B26895" s="3" t="str">
        <f>"01081005"</f>
        <v>01081005</v>
      </c>
    </row>
    <row r="26896" spans="1:2" x14ac:dyDescent="0.25">
      <c r="A26896" s="2">
        <v>26891</v>
      </c>
      <c r="B26896" s="3" t="str">
        <f>"01081006"</f>
        <v>01081006</v>
      </c>
    </row>
    <row r="26897" spans="1:2" x14ac:dyDescent="0.25">
      <c r="A26897" s="2">
        <v>26892</v>
      </c>
      <c r="B26897" s="3" t="str">
        <f>"01081010"</f>
        <v>01081010</v>
      </c>
    </row>
    <row r="26898" spans="1:2" x14ac:dyDescent="0.25">
      <c r="A26898" s="2">
        <v>26893</v>
      </c>
      <c r="B26898" s="3" t="str">
        <f>"01081018"</f>
        <v>01081018</v>
      </c>
    </row>
    <row r="26899" spans="1:2" x14ac:dyDescent="0.25">
      <c r="A26899" s="2">
        <v>26894</v>
      </c>
      <c r="B26899" s="3" t="str">
        <f>"01081024"</f>
        <v>01081024</v>
      </c>
    </row>
    <row r="26900" spans="1:2" x14ac:dyDescent="0.25">
      <c r="A26900" s="2">
        <v>26895</v>
      </c>
      <c r="B26900" s="3" t="str">
        <f>"01081029"</f>
        <v>01081029</v>
      </c>
    </row>
    <row r="26901" spans="1:2" x14ac:dyDescent="0.25">
      <c r="A26901" s="2">
        <v>26896</v>
      </c>
      <c r="B26901" s="3" t="str">
        <f>"01081032"</f>
        <v>01081032</v>
      </c>
    </row>
    <row r="26902" spans="1:2" x14ac:dyDescent="0.25">
      <c r="A26902" s="2">
        <v>26897</v>
      </c>
      <c r="B26902" s="3" t="str">
        <f>"01081040"</f>
        <v>01081040</v>
      </c>
    </row>
    <row r="26903" spans="1:2" x14ac:dyDescent="0.25">
      <c r="A26903" s="2">
        <v>26898</v>
      </c>
      <c r="B26903" s="3" t="str">
        <f>"01081052"</f>
        <v>01081052</v>
      </c>
    </row>
    <row r="26904" spans="1:2" x14ac:dyDescent="0.25">
      <c r="A26904" s="2">
        <v>26899</v>
      </c>
      <c r="B26904" s="3" t="str">
        <f>"01081055"</f>
        <v>01081055</v>
      </c>
    </row>
    <row r="26905" spans="1:2" x14ac:dyDescent="0.25">
      <c r="A26905" s="2">
        <v>26900</v>
      </c>
      <c r="B26905" s="3" t="str">
        <f>"01081063"</f>
        <v>01081063</v>
      </c>
    </row>
    <row r="26906" spans="1:2" x14ac:dyDescent="0.25">
      <c r="A26906" s="2">
        <v>26901</v>
      </c>
      <c r="B26906" s="3" t="str">
        <f>"01081070"</f>
        <v>01081070</v>
      </c>
    </row>
    <row r="26907" spans="1:2" x14ac:dyDescent="0.25">
      <c r="A26907" s="2">
        <v>26902</v>
      </c>
      <c r="B26907" s="3" t="str">
        <f>"01081071"</f>
        <v>01081071</v>
      </c>
    </row>
    <row r="26908" spans="1:2" x14ac:dyDescent="0.25">
      <c r="A26908" s="2">
        <v>26903</v>
      </c>
      <c r="B26908" s="3" t="str">
        <f>"01081073"</f>
        <v>01081073</v>
      </c>
    </row>
    <row r="26909" spans="1:2" x14ac:dyDescent="0.25">
      <c r="A26909" s="2">
        <v>26904</v>
      </c>
      <c r="B26909" s="3" t="str">
        <f>"01081076"</f>
        <v>01081076</v>
      </c>
    </row>
    <row r="26910" spans="1:2" x14ac:dyDescent="0.25">
      <c r="A26910" s="2">
        <v>26905</v>
      </c>
      <c r="B26910" s="3" t="str">
        <f>"01081086"</f>
        <v>01081086</v>
      </c>
    </row>
    <row r="26911" spans="1:2" x14ac:dyDescent="0.25">
      <c r="A26911" s="2">
        <v>26906</v>
      </c>
      <c r="B26911" s="3" t="str">
        <f>"01081087"</f>
        <v>01081087</v>
      </c>
    </row>
    <row r="26912" spans="1:2" x14ac:dyDescent="0.25">
      <c r="A26912" s="2">
        <v>26907</v>
      </c>
      <c r="B26912" s="3" t="str">
        <f>"01081092"</f>
        <v>01081092</v>
      </c>
    </row>
    <row r="26913" spans="1:2" x14ac:dyDescent="0.25">
      <c r="A26913" s="2">
        <v>26908</v>
      </c>
      <c r="B26913" s="3" t="str">
        <f>"01081093"</f>
        <v>01081093</v>
      </c>
    </row>
    <row r="26914" spans="1:2" x14ac:dyDescent="0.25">
      <c r="A26914" s="2">
        <v>26909</v>
      </c>
      <c r="B26914" s="3" t="str">
        <f>"01081094"</f>
        <v>01081094</v>
      </c>
    </row>
    <row r="26915" spans="1:2" x14ac:dyDescent="0.25">
      <c r="A26915" s="2">
        <v>26910</v>
      </c>
      <c r="B26915" s="3" t="str">
        <f>"01081096"</f>
        <v>01081096</v>
      </c>
    </row>
    <row r="26916" spans="1:2" x14ac:dyDescent="0.25">
      <c r="A26916" s="2">
        <v>26911</v>
      </c>
      <c r="B26916" s="3" t="str">
        <f>"01081099"</f>
        <v>01081099</v>
      </c>
    </row>
    <row r="26917" spans="1:2" x14ac:dyDescent="0.25">
      <c r="A26917" s="2">
        <v>26912</v>
      </c>
      <c r="B26917" s="3" t="str">
        <f>"01081100"</f>
        <v>01081100</v>
      </c>
    </row>
    <row r="26918" spans="1:2" x14ac:dyDescent="0.25">
      <c r="A26918" s="2">
        <v>26913</v>
      </c>
      <c r="B26918" s="3" t="str">
        <f>"01081101"</f>
        <v>01081101</v>
      </c>
    </row>
    <row r="26919" spans="1:2" x14ac:dyDescent="0.25">
      <c r="A26919" s="2">
        <v>26914</v>
      </c>
      <c r="B26919" s="3" t="str">
        <f>"01081107"</f>
        <v>01081107</v>
      </c>
    </row>
    <row r="26920" spans="1:2" x14ac:dyDescent="0.25">
      <c r="A26920" s="2">
        <v>26915</v>
      </c>
      <c r="B26920" s="3" t="str">
        <f>"01081109"</f>
        <v>01081109</v>
      </c>
    </row>
    <row r="26921" spans="1:2" x14ac:dyDescent="0.25">
      <c r="A26921" s="2">
        <v>26916</v>
      </c>
      <c r="B26921" s="3" t="str">
        <f>"01081111"</f>
        <v>01081111</v>
      </c>
    </row>
    <row r="26922" spans="1:2" x14ac:dyDescent="0.25">
      <c r="A26922" s="2">
        <v>26917</v>
      </c>
      <c r="B26922" s="3" t="str">
        <f>"01081113"</f>
        <v>01081113</v>
      </c>
    </row>
    <row r="26923" spans="1:2" x14ac:dyDescent="0.25">
      <c r="A26923" s="2">
        <v>26918</v>
      </c>
      <c r="B26923" s="3" t="str">
        <f>"01081115"</f>
        <v>01081115</v>
      </c>
    </row>
    <row r="26924" spans="1:2" x14ac:dyDescent="0.25">
      <c r="A26924" s="2">
        <v>26919</v>
      </c>
      <c r="B26924" s="3" t="str">
        <f>"01081116"</f>
        <v>01081116</v>
      </c>
    </row>
    <row r="26925" spans="1:2" x14ac:dyDescent="0.25">
      <c r="A26925" s="2">
        <v>26920</v>
      </c>
      <c r="B26925" s="3" t="str">
        <f>"01081122"</f>
        <v>01081122</v>
      </c>
    </row>
    <row r="26926" spans="1:2" x14ac:dyDescent="0.25">
      <c r="A26926" s="2">
        <v>26921</v>
      </c>
      <c r="B26926" s="3" t="str">
        <f>"01081129"</f>
        <v>01081129</v>
      </c>
    </row>
    <row r="26927" spans="1:2" x14ac:dyDescent="0.25">
      <c r="A26927" s="2">
        <v>26922</v>
      </c>
      <c r="B26927" s="3" t="str">
        <f>"01081134"</f>
        <v>01081134</v>
      </c>
    </row>
    <row r="26928" spans="1:2" x14ac:dyDescent="0.25">
      <c r="A26928" s="2">
        <v>26923</v>
      </c>
      <c r="B26928" s="3" t="str">
        <f>"01081138"</f>
        <v>01081138</v>
      </c>
    </row>
    <row r="26929" spans="1:2" x14ac:dyDescent="0.25">
      <c r="A26929" s="2">
        <v>26924</v>
      </c>
      <c r="B26929" s="3" t="str">
        <f>"01081157"</f>
        <v>01081157</v>
      </c>
    </row>
    <row r="26930" spans="1:2" x14ac:dyDescent="0.25">
      <c r="A26930" s="2">
        <v>26925</v>
      </c>
      <c r="B26930" s="3" t="str">
        <f>"01081169"</f>
        <v>01081169</v>
      </c>
    </row>
    <row r="26931" spans="1:2" x14ac:dyDescent="0.25">
      <c r="A26931" s="2">
        <v>26926</v>
      </c>
      <c r="B26931" s="3" t="str">
        <f>"01081171"</f>
        <v>01081171</v>
      </c>
    </row>
    <row r="26932" spans="1:2" x14ac:dyDescent="0.25">
      <c r="A26932" s="2">
        <v>26927</v>
      </c>
      <c r="B26932" s="3" t="str">
        <f>"01081172"</f>
        <v>01081172</v>
      </c>
    </row>
    <row r="26933" spans="1:2" x14ac:dyDescent="0.25">
      <c r="A26933" s="2">
        <v>26928</v>
      </c>
      <c r="B26933" s="3" t="str">
        <f>"01081178"</f>
        <v>01081178</v>
      </c>
    </row>
    <row r="26934" spans="1:2" x14ac:dyDescent="0.25">
      <c r="A26934" s="2">
        <v>26929</v>
      </c>
      <c r="B26934" s="3" t="str">
        <f>"01081180"</f>
        <v>01081180</v>
      </c>
    </row>
    <row r="26935" spans="1:2" x14ac:dyDescent="0.25">
      <c r="A26935" s="2">
        <v>26930</v>
      </c>
      <c r="B26935" s="3" t="str">
        <f>"01081187"</f>
        <v>01081187</v>
      </c>
    </row>
    <row r="26936" spans="1:2" x14ac:dyDescent="0.25">
      <c r="A26936" s="2">
        <v>26931</v>
      </c>
      <c r="B26936" s="3" t="str">
        <f>"01081189"</f>
        <v>01081189</v>
      </c>
    </row>
    <row r="26937" spans="1:2" x14ac:dyDescent="0.25">
      <c r="A26937" s="2">
        <v>26932</v>
      </c>
      <c r="B26937" s="3" t="str">
        <f>"01081191"</f>
        <v>01081191</v>
      </c>
    </row>
    <row r="26938" spans="1:2" x14ac:dyDescent="0.25">
      <c r="A26938" s="2">
        <v>26933</v>
      </c>
      <c r="B26938" s="3" t="str">
        <f>"01081196"</f>
        <v>01081196</v>
      </c>
    </row>
    <row r="26939" spans="1:2" x14ac:dyDescent="0.25">
      <c r="A26939" s="2">
        <v>26934</v>
      </c>
      <c r="B26939" s="3" t="str">
        <f>"01081202"</f>
        <v>01081202</v>
      </c>
    </row>
    <row r="26940" spans="1:2" x14ac:dyDescent="0.25">
      <c r="A26940" s="2">
        <v>26935</v>
      </c>
      <c r="B26940" s="3" t="str">
        <f>"01081210"</f>
        <v>01081210</v>
      </c>
    </row>
    <row r="26941" spans="1:2" x14ac:dyDescent="0.25">
      <c r="A26941" s="2">
        <v>26936</v>
      </c>
      <c r="B26941" s="3" t="str">
        <f>"01081211"</f>
        <v>01081211</v>
      </c>
    </row>
    <row r="26942" spans="1:2" x14ac:dyDescent="0.25">
      <c r="A26942" s="2">
        <v>26937</v>
      </c>
      <c r="B26942" s="3" t="str">
        <f>"01081218"</f>
        <v>01081218</v>
      </c>
    </row>
    <row r="26943" spans="1:2" x14ac:dyDescent="0.25">
      <c r="A26943" s="2">
        <v>26938</v>
      </c>
      <c r="B26943" s="3" t="str">
        <f>"01081223"</f>
        <v>01081223</v>
      </c>
    </row>
    <row r="26944" spans="1:2" x14ac:dyDescent="0.25">
      <c r="A26944" s="2">
        <v>26939</v>
      </c>
      <c r="B26944" s="3" t="str">
        <f>"01081231"</f>
        <v>01081231</v>
      </c>
    </row>
    <row r="26945" spans="1:2" x14ac:dyDescent="0.25">
      <c r="A26945" s="2">
        <v>26940</v>
      </c>
      <c r="B26945" s="3" t="str">
        <f>"01081232"</f>
        <v>01081232</v>
      </c>
    </row>
    <row r="26946" spans="1:2" x14ac:dyDescent="0.25">
      <c r="A26946" s="2">
        <v>26941</v>
      </c>
      <c r="B26946" s="3" t="str">
        <f>"01081235"</f>
        <v>01081235</v>
      </c>
    </row>
    <row r="26947" spans="1:2" x14ac:dyDescent="0.25">
      <c r="A26947" s="2">
        <v>26942</v>
      </c>
      <c r="B26947" s="3" t="str">
        <f>"01081238"</f>
        <v>01081238</v>
      </c>
    </row>
    <row r="26948" spans="1:2" x14ac:dyDescent="0.25">
      <c r="A26948" s="2">
        <v>26943</v>
      </c>
      <c r="B26948" s="3" t="str">
        <f>"01081239"</f>
        <v>01081239</v>
      </c>
    </row>
    <row r="26949" spans="1:2" x14ac:dyDescent="0.25">
      <c r="A26949" s="2">
        <v>26944</v>
      </c>
      <c r="B26949" s="3" t="str">
        <f>"01081241"</f>
        <v>01081241</v>
      </c>
    </row>
    <row r="26950" spans="1:2" x14ac:dyDescent="0.25">
      <c r="A26950" s="2">
        <v>26945</v>
      </c>
      <c r="B26950" s="3" t="str">
        <f>"01081246"</f>
        <v>01081246</v>
      </c>
    </row>
    <row r="26951" spans="1:2" x14ac:dyDescent="0.25">
      <c r="A26951" s="2">
        <v>26946</v>
      </c>
      <c r="B26951" s="3" t="str">
        <f>"01081249"</f>
        <v>01081249</v>
      </c>
    </row>
    <row r="26952" spans="1:2" x14ac:dyDescent="0.25">
      <c r="A26952" s="2">
        <v>26947</v>
      </c>
      <c r="B26952" s="3" t="str">
        <f>"01081250"</f>
        <v>01081250</v>
      </c>
    </row>
    <row r="26953" spans="1:2" x14ac:dyDescent="0.25">
      <c r="A26953" s="2">
        <v>26948</v>
      </c>
      <c r="B26953" s="3" t="str">
        <f>"01081252"</f>
        <v>01081252</v>
      </c>
    </row>
    <row r="26954" spans="1:2" x14ac:dyDescent="0.25">
      <c r="A26954" s="2">
        <v>26949</v>
      </c>
      <c r="B26954" s="3" t="str">
        <f>"01081254"</f>
        <v>01081254</v>
      </c>
    </row>
    <row r="26955" spans="1:2" x14ac:dyDescent="0.25">
      <c r="A26955" s="2">
        <v>26950</v>
      </c>
      <c r="B26955" s="3" t="str">
        <f>"01081259"</f>
        <v>01081259</v>
      </c>
    </row>
    <row r="26956" spans="1:2" x14ac:dyDescent="0.25">
      <c r="A26956" s="2">
        <v>26951</v>
      </c>
      <c r="B26956" s="3" t="str">
        <f>"01081260"</f>
        <v>01081260</v>
      </c>
    </row>
    <row r="26957" spans="1:2" x14ac:dyDescent="0.25">
      <c r="A26957" s="2">
        <v>26952</v>
      </c>
      <c r="B26957" s="3" t="str">
        <f>"01081261"</f>
        <v>01081261</v>
      </c>
    </row>
    <row r="26958" spans="1:2" x14ac:dyDescent="0.25">
      <c r="A26958" s="2">
        <v>26953</v>
      </c>
      <c r="B26958" s="3" t="str">
        <f>"01081262"</f>
        <v>01081262</v>
      </c>
    </row>
    <row r="26959" spans="1:2" x14ac:dyDescent="0.25">
      <c r="A26959" s="2">
        <v>26954</v>
      </c>
      <c r="B26959" s="3" t="str">
        <f>"01081267"</f>
        <v>01081267</v>
      </c>
    </row>
    <row r="26960" spans="1:2" x14ac:dyDescent="0.25">
      <c r="A26960" s="2">
        <v>26955</v>
      </c>
      <c r="B26960" s="3" t="str">
        <f>"01081284"</f>
        <v>01081284</v>
      </c>
    </row>
    <row r="26961" spans="1:2" x14ac:dyDescent="0.25">
      <c r="A26961" s="2">
        <v>26956</v>
      </c>
      <c r="B26961" s="3" t="str">
        <f>"01081287"</f>
        <v>01081287</v>
      </c>
    </row>
    <row r="26962" spans="1:2" x14ac:dyDescent="0.25">
      <c r="A26962" s="2">
        <v>26957</v>
      </c>
      <c r="B26962" s="3" t="str">
        <f>"01081289"</f>
        <v>01081289</v>
      </c>
    </row>
    <row r="26963" spans="1:2" x14ac:dyDescent="0.25">
      <c r="A26963" s="2">
        <v>26958</v>
      </c>
      <c r="B26963" s="3" t="str">
        <f>"01081300"</f>
        <v>01081300</v>
      </c>
    </row>
    <row r="26964" spans="1:2" x14ac:dyDescent="0.25">
      <c r="A26964" s="2">
        <v>26959</v>
      </c>
      <c r="B26964" s="3" t="str">
        <f>"01081303"</f>
        <v>01081303</v>
      </c>
    </row>
    <row r="26965" spans="1:2" x14ac:dyDescent="0.25">
      <c r="A26965" s="2">
        <v>26960</v>
      </c>
      <c r="B26965" s="3" t="str">
        <f>"01081305"</f>
        <v>01081305</v>
      </c>
    </row>
    <row r="26966" spans="1:2" x14ac:dyDescent="0.25">
      <c r="A26966" s="2">
        <v>26961</v>
      </c>
      <c r="B26966" s="3" t="str">
        <f>"01081310"</f>
        <v>01081310</v>
      </c>
    </row>
    <row r="26967" spans="1:2" x14ac:dyDescent="0.25">
      <c r="A26967" s="2">
        <v>26962</v>
      </c>
      <c r="B26967" s="3" t="str">
        <f>"01081320"</f>
        <v>01081320</v>
      </c>
    </row>
    <row r="26968" spans="1:2" x14ac:dyDescent="0.25">
      <c r="A26968" s="2">
        <v>26963</v>
      </c>
      <c r="B26968" s="3" t="str">
        <f>"01081339"</f>
        <v>01081339</v>
      </c>
    </row>
    <row r="26969" spans="1:2" x14ac:dyDescent="0.25">
      <c r="A26969" s="2">
        <v>26964</v>
      </c>
      <c r="B26969" s="3" t="str">
        <f>"01081340"</f>
        <v>01081340</v>
      </c>
    </row>
    <row r="26970" spans="1:2" x14ac:dyDescent="0.25">
      <c r="A26970" s="2">
        <v>26965</v>
      </c>
      <c r="B26970" s="3" t="str">
        <f>"01081343"</f>
        <v>01081343</v>
      </c>
    </row>
    <row r="26971" spans="1:2" x14ac:dyDescent="0.25">
      <c r="A26971" s="2">
        <v>26966</v>
      </c>
      <c r="B26971" s="3" t="str">
        <f>"01081353"</f>
        <v>01081353</v>
      </c>
    </row>
    <row r="26972" spans="1:2" x14ac:dyDescent="0.25">
      <c r="A26972" s="2">
        <v>26967</v>
      </c>
      <c r="B26972" s="3" t="str">
        <f>"01081361"</f>
        <v>01081361</v>
      </c>
    </row>
    <row r="26973" spans="1:2" x14ac:dyDescent="0.25">
      <c r="A26973" s="2">
        <v>26968</v>
      </c>
      <c r="B26973" s="3" t="str">
        <f>"01081364"</f>
        <v>01081364</v>
      </c>
    </row>
    <row r="26974" spans="1:2" x14ac:dyDescent="0.25">
      <c r="A26974" s="2">
        <v>26969</v>
      </c>
      <c r="B26974" s="3" t="str">
        <f>"01081366"</f>
        <v>01081366</v>
      </c>
    </row>
    <row r="26975" spans="1:2" x14ac:dyDescent="0.25">
      <c r="A26975" s="2">
        <v>26970</v>
      </c>
      <c r="B26975" s="3" t="str">
        <f>"01081367"</f>
        <v>01081367</v>
      </c>
    </row>
    <row r="26976" spans="1:2" x14ac:dyDescent="0.25">
      <c r="A26976" s="2">
        <v>26971</v>
      </c>
      <c r="B26976" s="3" t="str">
        <f>"01081376"</f>
        <v>01081376</v>
      </c>
    </row>
    <row r="26977" spans="1:2" x14ac:dyDescent="0.25">
      <c r="A26977" s="2">
        <v>26972</v>
      </c>
      <c r="B26977" s="3" t="str">
        <f>"01081380"</f>
        <v>01081380</v>
      </c>
    </row>
    <row r="26978" spans="1:2" x14ac:dyDescent="0.25">
      <c r="A26978" s="2">
        <v>26973</v>
      </c>
      <c r="B26978" s="3" t="str">
        <f>"01081385"</f>
        <v>01081385</v>
      </c>
    </row>
    <row r="26979" spans="1:2" x14ac:dyDescent="0.25">
      <c r="A26979" s="2">
        <v>26974</v>
      </c>
      <c r="B26979" s="3" t="str">
        <f>"01081390"</f>
        <v>01081390</v>
      </c>
    </row>
    <row r="26980" spans="1:2" x14ac:dyDescent="0.25">
      <c r="A26980" s="2">
        <v>26975</v>
      </c>
      <c r="B26980" s="3" t="str">
        <f>"01081393"</f>
        <v>01081393</v>
      </c>
    </row>
    <row r="26981" spans="1:2" x14ac:dyDescent="0.25">
      <c r="A26981" s="2">
        <v>26976</v>
      </c>
      <c r="B26981" s="3" t="str">
        <f>"01081400"</f>
        <v>01081400</v>
      </c>
    </row>
    <row r="26982" spans="1:2" x14ac:dyDescent="0.25">
      <c r="A26982" s="2">
        <v>26977</v>
      </c>
      <c r="B26982" s="3" t="str">
        <f>"01081410"</f>
        <v>01081410</v>
      </c>
    </row>
    <row r="26983" spans="1:2" x14ac:dyDescent="0.25">
      <c r="A26983" s="2">
        <v>26978</v>
      </c>
      <c r="B26983" s="3" t="str">
        <f>"01081414"</f>
        <v>01081414</v>
      </c>
    </row>
    <row r="26984" spans="1:2" x14ac:dyDescent="0.25">
      <c r="A26984" s="2">
        <v>26979</v>
      </c>
      <c r="B26984" s="3" t="str">
        <f>"01081425"</f>
        <v>01081425</v>
      </c>
    </row>
    <row r="26985" spans="1:2" x14ac:dyDescent="0.25">
      <c r="A26985" s="2">
        <v>26980</v>
      </c>
      <c r="B26985" s="3" t="str">
        <f>"01081426"</f>
        <v>01081426</v>
      </c>
    </row>
    <row r="26986" spans="1:2" x14ac:dyDescent="0.25">
      <c r="A26986" s="2">
        <v>26981</v>
      </c>
      <c r="B26986" s="3" t="str">
        <f>"01081450"</f>
        <v>01081450</v>
      </c>
    </row>
    <row r="26987" spans="1:2" x14ac:dyDescent="0.25">
      <c r="A26987" s="2">
        <v>26982</v>
      </c>
      <c r="B26987" s="3" t="str">
        <f>"01081454"</f>
        <v>01081454</v>
      </c>
    </row>
    <row r="26988" spans="1:2" x14ac:dyDescent="0.25">
      <c r="A26988" s="2">
        <v>26983</v>
      </c>
      <c r="B26988" s="3" t="str">
        <f>"01081458"</f>
        <v>01081458</v>
      </c>
    </row>
    <row r="26989" spans="1:2" x14ac:dyDescent="0.25">
      <c r="A26989" s="2">
        <v>26984</v>
      </c>
      <c r="B26989" s="3" t="str">
        <f>"01081461"</f>
        <v>01081461</v>
      </c>
    </row>
    <row r="26990" spans="1:2" x14ac:dyDescent="0.25">
      <c r="A26990" s="2">
        <v>26985</v>
      </c>
      <c r="B26990" s="3" t="str">
        <f>"01081467"</f>
        <v>01081467</v>
      </c>
    </row>
    <row r="26991" spans="1:2" x14ac:dyDescent="0.25">
      <c r="A26991" s="2">
        <v>26986</v>
      </c>
      <c r="B26991" s="3" t="str">
        <f>"01081469"</f>
        <v>01081469</v>
      </c>
    </row>
    <row r="26992" spans="1:2" x14ac:dyDescent="0.25">
      <c r="A26992" s="2">
        <v>26987</v>
      </c>
      <c r="B26992" s="3" t="str">
        <f>"01081474"</f>
        <v>01081474</v>
      </c>
    </row>
    <row r="26993" spans="1:2" x14ac:dyDescent="0.25">
      <c r="A26993" s="2">
        <v>26988</v>
      </c>
      <c r="B26993" s="3" t="str">
        <f>"01081477"</f>
        <v>01081477</v>
      </c>
    </row>
    <row r="26994" spans="1:2" x14ac:dyDescent="0.25">
      <c r="A26994" s="2">
        <v>26989</v>
      </c>
      <c r="B26994" s="3" t="str">
        <f>"01081484"</f>
        <v>01081484</v>
      </c>
    </row>
    <row r="26995" spans="1:2" x14ac:dyDescent="0.25">
      <c r="A26995" s="2">
        <v>26990</v>
      </c>
      <c r="B26995" s="3" t="str">
        <f>"01081489"</f>
        <v>01081489</v>
      </c>
    </row>
    <row r="26996" spans="1:2" x14ac:dyDescent="0.25">
      <c r="A26996" s="2">
        <v>26991</v>
      </c>
      <c r="B26996" s="3" t="str">
        <f>"01081494"</f>
        <v>01081494</v>
      </c>
    </row>
    <row r="26997" spans="1:2" x14ac:dyDescent="0.25">
      <c r="A26997" s="2">
        <v>26992</v>
      </c>
      <c r="B26997" s="3" t="str">
        <f>"01081501"</f>
        <v>01081501</v>
      </c>
    </row>
    <row r="26998" spans="1:2" x14ac:dyDescent="0.25">
      <c r="A26998" s="2">
        <v>26993</v>
      </c>
      <c r="B26998" s="3" t="str">
        <f>"01081502"</f>
        <v>01081502</v>
      </c>
    </row>
    <row r="26999" spans="1:2" x14ac:dyDescent="0.25">
      <c r="A26999" s="2">
        <v>26994</v>
      </c>
      <c r="B26999" s="3" t="str">
        <f>"01081505"</f>
        <v>01081505</v>
      </c>
    </row>
    <row r="27000" spans="1:2" x14ac:dyDescent="0.25">
      <c r="A27000" s="2">
        <v>26995</v>
      </c>
      <c r="B27000" s="3" t="str">
        <f>"01081506"</f>
        <v>01081506</v>
      </c>
    </row>
    <row r="27001" spans="1:2" x14ac:dyDescent="0.25">
      <c r="A27001" s="2">
        <v>26996</v>
      </c>
      <c r="B27001" s="3" t="str">
        <f>"01081510"</f>
        <v>01081510</v>
      </c>
    </row>
    <row r="27002" spans="1:2" x14ac:dyDescent="0.25">
      <c r="A27002" s="2">
        <v>26997</v>
      </c>
      <c r="B27002" s="3" t="str">
        <f>"01081516"</f>
        <v>01081516</v>
      </c>
    </row>
    <row r="27003" spans="1:2" x14ac:dyDescent="0.25">
      <c r="A27003" s="2">
        <v>26998</v>
      </c>
      <c r="B27003" s="3" t="str">
        <f>"01081518"</f>
        <v>01081518</v>
      </c>
    </row>
    <row r="27004" spans="1:2" x14ac:dyDescent="0.25">
      <c r="A27004" s="2">
        <v>26999</v>
      </c>
      <c r="B27004" s="3" t="str">
        <f>"01081521"</f>
        <v>01081521</v>
      </c>
    </row>
    <row r="27005" spans="1:2" x14ac:dyDescent="0.25">
      <c r="A27005" s="2">
        <v>27000</v>
      </c>
      <c r="B27005" s="3" t="str">
        <f>"01081523"</f>
        <v>01081523</v>
      </c>
    </row>
    <row r="27006" spans="1:2" x14ac:dyDescent="0.25">
      <c r="A27006" s="2">
        <v>27001</v>
      </c>
      <c r="B27006" s="3" t="str">
        <f>"01081525"</f>
        <v>01081525</v>
      </c>
    </row>
    <row r="27007" spans="1:2" x14ac:dyDescent="0.25">
      <c r="A27007" s="2">
        <v>27002</v>
      </c>
      <c r="B27007" s="3" t="str">
        <f>"01081527"</f>
        <v>01081527</v>
      </c>
    </row>
    <row r="27008" spans="1:2" x14ac:dyDescent="0.25">
      <c r="A27008" s="2">
        <v>27003</v>
      </c>
      <c r="B27008" s="3" t="str">
        <f>"01081531"</f>
        <v>01081531</v>
      </c>
    </row>
    <row r="27009" spans="1:2" x14ac:dyDescent="0.25">
      <c r="A27009" s="2">
        <v>27004</v>
      </c>
      <c r="B27009" s="3" t="str">
        <f>"01081532"</f>
        <v>01081532</v>
      </c>
    </row>
    <row r="27010" spans="1:2" x14ac:dyDescent="0.25">
      <c r="A27010" s="2">
        <v>27005</v>
      </c>
      <c r="B27010" s="3" t="str">
        <f>"01081534"</f>
        <v>01081534</v>
      </c>
    </row>
    <row r="27011" spans="1:2" x14ac:dyDescent="0.25">
      <c r="A27011" s="2">
        <v>27006</v>
      </c>
      <c r="B27011" s="3" t="str">
        <f>"01081539"</f>
        <v>01081539</v>
      </c>
    </row>
    <row r="27012" spans="1:2" x14ac:dyDescent="0.25">
      <c r="A27012" s="2">
        <v>27007</v>
      </c>
      <c r="B27012" s="3" t="str">
        <f>"01081541"</f>
        <v>01081541</v>
      </c>
    </row>
    <row r="27013" spans="1:2" x14ac:dyDescent="0.25">
      <c r="A27013" s="2">
        <v>27008</v>
      </c>
      <c r="B27013" s="3" t="str">
        <f>"01081548"</f>
        <v>01081548</v>
      </c>
    </row>
    <row r="27014" spans="1:2" x14ac:dyDescent="0.25">
      <c r="A27014" s="2">
        <v>27009</v>
      </c>
      <c r="B27014" s="3" t="str">
        <f>"01081557"</f>
        <v>01081557</v>
      </c>
    </row>
    <row r="27015" spans="1:2" x14ac:dyDescent="0.25">
      <c r="A27015" s="2">
        <v>27010</v>
      </c>
      <c r="B27015" s="3" t="str">
        <f>"01081561"</f>
        <v>01081561</v>
      </c>
    </row>
    <row r="27016" spans="1:2" x14ac:dyDescent="0.25">
      <c r="A27016" s="2">
        <v>27011</v>
      </c>
      <c r="B27016" s="3" t="str">
        <f>"01081568"</f>
        <v>01081568</v>
      </c>
    </row>
    <row r="27017" spans="1:2" x14ac:dyDescent="0.25">
      <c r="A27017" s="2">
        <v>27012</v>
      </c>
      <c r="B27017" s="3" t="str">
        <f>"01081572"</f>
        <v>01081572</v>
      </c>
    </row>
    <row r="27018" spans="1:2" x14ac:dyDescent="0.25">
      <c r="A27018" s="2">
        <v>27013</v>
      </c>
      <c r="B27018" s="3" t="str">
        <f>"01081576"</f>
        <v>01081576</v>
      </c>
    </row>
    <row r="27019" spans="1:2" x14ac:dyDescent="0.25">
      <c r="A27019" s="2">
        <v>27014</v>
      </c>
      <c r="B27019" s="3" t="str">
        <f>"01081577"</f>
        <v>01081577</v>
      </c>
    </row>
    <row r="27020" spans="1:2" x14ac:dyDescent="0.25">
      <c r="A27020" s="2">
        <v>27015</v>
      </c>
      <c r="B27020" s="3" t="str">
        <f>"01081589"</f>
        <v>01081589</v>
      </c>
    </row>
    <row r="27021" spans="1:2" x14ac:dyDescent="0.25">
      <c r="A27021" s="2">
        <v>27016</v>
      </c>
      <c r="B27021" s="3" t="str">
        <f>"01081591"</f>
        <v>01081591</v>
      </c>
    </row>
    <row r="27022" spans="1:2" x14ac:dyDescent="0.25">
      <c r="A27022" s="2">
        <v>27017</v>
      </c>
      <c r="B27022" s="3" t="str">
        <f>"01081601"</f>
        <v>01081601</v>
      </c>
    </row>
    <row r="27023" spans="1:2" x14ac:dyDescent="0.25">
      <c r="A27023" s="2">
        <v>27018</v>
      </c>
      <c r="B27023" s="3" t="str">
        <f>"01081611"</f>
        <v>01081611</v>
      </c>
    </row>
    <row r="27024" spans="1:2" x14ac:dyDescent="0.25">
      <c r="A27024" s="2">
        <v>27019</v>
      </c>
      <c r="B27024" s="3" t="str">
        <f>"01081617"</f>
        <v>01081617</v>
      </c>
    </row>
    <row r="27025" spans="1:2" x14ac:dyDescent="0.25">
      <c r="A27025" s="2">
        <v>27020</v>
      </c>
      <c r="B27025" s="3" t="str">
        <f>"01081627"</f>
        <v>01081627</v>
      </c>
    </row>
    <row r="27026" spans="1:2" x14ac:dyDescent="0.25">
      <c r="A27026" s="2">
        <v>27021</v>
      </c>
      <c r="B27026" s="3" t="str">
        <f>"01081648"</f>
        <v>01081648</v>
      </c>
    </row>
    <row r="27027" spans="1:2" x14ac:dyDescent="0.25">
      <c r="A27027" s="2">
        <v>27022</v>
      </c>
      <c r="B27027" s="3" t="str">
        <f>"01081650"</f>
        <v>01081650</v>
      </c>
    </row>
    <row r="27028" spans="1:2" x14ac:dyDescent="0.25">
      <c r="A27028" s="2">
        <v>27023</v>
      </c>
      <c r="B27028" s="3" t="str">
        <f>"01081651"</f>
        <v>01081651</v>
      </c>
    </row>
    <row r="27029" spans="1:2" x14ac:dyDescent="0.25">
      <c r="A27029" s="2">
        <v>27024</v>
      </c>
      <c r="B27029" s="3" t="str">
        <f>"01081660"</f>
        <v>01081660</v>
      </c>
    </row>
    <row r="27030" spans="1:2" x14ac:dyDescent="0.25">
      <c r="A27030" s="2">
        <v>27025</v>
      </c>
      <c r="B27030" s="3" t="str">
        <f>"01081661"</f>
        <v>01081661</v>
      </c>
    </row>
    <row r="27031" spans="1:2" x14ac:dyDescent="0.25">
      <c r="A27031" s="2">
        <v>27026</v>
      </c>
      <c r="B27031" s="3" t="str">
        <f>"01081666"</f>
        <v>01081666</v>
      </c>
    </row>
    <row r="27032" spans="1:2" x14ac:dyDescent="0.25">
      <c r="A27032" s="2">
        <v>27027</v>
      </c>
      <c r="B27032" s="3" t="str">
        <f>"01081667"</f>
        <v>01081667</v>
      </c>
    </row>
    <row r="27033" spans="1:2" x14ac:dyDescent="0.25">
      <c r="A27033" s="2">
        <v>27028</v>
      </c>
      <c r="B27033" s="3" t="str">
        <f>"01081675"</f>
        <v>01081675</v>
      </c>
    </row>
    <row r="27034" spans="1:2" x14ac:dyDescent="0.25">
      <c r="A27034" s="2">
        <v>27029</v>
      </c>
      <c r="B27034" s="3" t="str">
        <f>"01081677"</f>
        <v>01081677</v>
      </c>
    </row>
    <row r="27035" spans="1:2" x14ac:dyDescent="0.25">
      <c r="A27035" s="2">
        <v>27030</v>
      </c>
      <c r="B27035" s="3" t="str">
        <f>"01081679"</f>
        <v>01081679</v>
      </c>
    </row>
    <row r="27036" spans="1:2" x14ac:dyDescent="0.25">
      <c r="A27036" s="2">
        <v>27031</v>
      </c>
      <c r="B27036" s="3" t="str">
        <f>"01081684"</f>
        <v>01081684</v>
      </c>
    </row>
    <row r="27037" spans="1:2" x14ac:dyDescent="0.25">
      <c r="A27037" s="2">
        <v>27032</v>
      </c>
      <c r="B27037" s="3" t="str">
        <f>"01081686"</f>
        <v>01081686</v>
      </c>
    </row>
    <row r="27038" spans="1:2" x14ac:dyDescent="0.25">
      <c r="A27038" s="2">
        <v>27033</v>
      </c>
      <c r="B27038" s="3" t="str">
        <f>"01081699"</f>
        <v>01081699</v>
      </c>
    </row>
    <row r="27039" spans="1:2" x14ac:dyDescent="0.25">
      <c r="A27039" s="2">
        <v>27034</v>
      </c>
      <c r="B27039" s="3" t="str">
        <f>"01081702"</f>
        <v>01081702</v>
      </c>
    </row>
    <row r="27040" spans="1:2" x14ac:dyDescent="0.25">
      <c r="A27040" s="2">
        <v>27035</v>
      </c>
      <c r="B27040" s="3" t="str">
        <f>"01081725"</f>
        <v>01081725</v>
      </c>
    </row>
    <row r="27041" spans="1:2" x14ac:dyDescent="0.25">
      <c r="A27041" s="2">
        <v>27036</v>
      </c>
      <c r="B27041" s="3" t="str">
        <f>"01081729"</f>
        <v>01081729</v>
      </c>
    </row>
    <row r="27042" spans="1:2" x14ac:dyDescent="0.25">
      <c r="A27042" s="2">
        <v>27037</v>
      </c>
      <c r="B27042" s="3" t="str">
        <f>"01081730"</f>
        <v>01081730</v>
      </c>
    </row>
    <row r="27043" spans="1:2" x14ac:dyDescent="0.25">
      <c r="A27043" s="2">
        <v>27038</v>
      </c>
      <c r="B27043" s="3" t="str">
        <f>"01081743"</f>
        <v>01081743</v>
      </c>
    </row>
    <row r="27044" spans="1:2" x14ac:dyDescent="0.25">
      <c r="A27044" s="2">
        <v>27039</v>
      </c>
      <c r="B27044" s="3" t="str">
        <f>"01081751"</f>
        <v>01081751</v>
      </c>
    </row>
    <row r="27045" spans="1:2" x14ac:dyDescent="0.25">
      <c r="A27045" s="2">
        <v>27040</v>
      </c>
      <c r="B27045" s="3" t="str">
        <f>"01081753"</f>
        <v>01081753</v>
      </c>
    </row>
    <row r="27046" spans="1:2" x14ac:dyDescent="0.25">
      <c r="A27046" s="2">
        <v>27041</v>
      </c>
      <c r="B27046" s="3" t="str">
        <f>"01081756"</f>
        <v>01081756</v>
      </c>
    </row>
    <row r="27047" spans="1:2" x14ac:dyDescent="0.25">
      <c r="A27047" s="2">
        <v>27042</v>
      </c>
      <c r="B27047" s="3" t="str">
        <f>"01081759"</f>
        <v>01081759</v>
      </c>
    </row>
    <row r="27048" spans="1:2" x14ac:dyDescent="0.25">
      <c r="A27048" s="2">
        <v>27043</v>
      </c>
      <c r="B27048" s="3" t="str">
        <f>"01081761"</f>
        <v>01081761</v>
      </c>
    </row>
    <row r="27049" spans="1:2" x14ac:dyDescent="0.25">
      <c r="A27049" s="2">
        <v>27044</v>
      </c>
      <c r="B27049" s="3" t="str">
        <f>"01081762"</f>
        <v>01081762</v>
      </c>
    </row>
    <row r="27050" spans="1:2" x14ac:dyDescent="0.25">
      <c r="A27050" s="2">
        <v>27045</v>
      </c>
      <c r="B27050" s="3" t="str">
        <f>"01081767"</f>
        <v>01081767</v>
      </c>
    </row>
    <row r="27051" spans="1:2" x14ac:dyDescent="0.25">
      <c r="A27051" s="2">
        <v>27046</v>
      </c>
      <c r="B27051" s="3" t="str">
        <f>"01081768"</f>
        <v>01081768</v>
      </c>
    </row>
    <row r="27052" spans="1:2" x14ac:dyDescent="0.25">
      <c r="A27052" s="2">
        <v>27047</v>
      </c>
      <c r="B27052" s="3" t="str">
        <f>"01081774"</f>
        <v>01081774</v>
      </c>
    </row>
    <row r="27053" spans="1:2" x14ac:dyDescent="0.25">
      <c r="A27053" s="2">
        <v>27048</v>
      </c>
      <c r="B27053" s="3" t="str">
        <f>"01081775"</f>
        <v>01081775</v>
      </c>
    </row>
    <row r="27054" spans="1:2" x14ac:dyDescent="0.25">
      <c r="A27054" s="2">
        <v>27049</v>
      </c>
      <c r="B27054" s="3" t="str">
        <f>"01081790"</f>
        <v>01081790</v>
      </c>
    </row>
    <row r="27055" spans="1:2" x14ac:dyDescent="0.25">
      <c r="A27055" s="2">
        <v>27050</v>
      </c>
      <c r="B27055" s="3" t="str">
        <f>"01081794"</f>
        <v>01081794</v>
      </c>
    </row>
    <row r="27056" spans="1:2" x14ac:dyDescent="0.25">
      <c r="A27056" s="2">
        <v>27051</v>
      </c>
      <c r="B27056" s="3" t="str">
        <f>"01081796"</f>
        <v>01081796</v>
      </c>
    </row>
    <row r="27057" spans="1:2" x14ac:dyDescent="0.25">
      <c r="A27057" s="2">
        <v>27052</v>
      </c>
      <c r="B27057" s="3" t="str">
        <f>"01081798"</f>
        <v>01081798</v>
      </c>
    </row>
    <row r="27058" spans="1:2" x14ac:dyDescent="0.25">
      <c r="A27058" s="2">
        <v>27053</v>
      </c>
      <c r="B27058" s="3" t="str">
        <f>"01081814"</f>
        <v>01081814</v>
      </c>
    </row>
    <row r="27059" spans="1:2" x14ac:dyDescent="0.25">
      <c r="A27059" s="2">
        <v>27054</v>
      </c>
      <c r="B27059" s="3" t="str">
        <f>"01081816"</f>
        <v>01081816</v>
      </c>
    </row>
    <row r="27060" spans="1:2" x14ac:dyDescent="0.25">
      <c r="A27060" s="2">
        <v>27055</v>
      </c>
      <c r="B27060" s="3" t="str">
        <f>"01081824"</f>
        <v>01081824</v>
      </c>
    </row>
    <row r="27061" spans="1:2" x14ac:dyDescent="0.25">
      <c r="A27061" s="2">
        <v>27056</v>
      </c>
      <c r="B27061" s="3" t="str">
        <f>"01081825"</f>
        <v>01081825</v>
      </c>
    </row>
    <row r="27062" spans="1:2" x14ac:dyDescent="0.25">
      <c r="A27062" s="2">
        <v>27057</v>
      </c>
      <c r="B27062" s="3" t="str">
        <f>"01081828"</f>
        <v>01081828</v>
      </c>
    </row>
    <row r="27063" spans="1:2" x14ac:dyDescent="0.25">
      <c r="A27063" s="2">
        <v>27058</v>
      </c>
      <c r="B27063" s="3" t="str">
        <f>"01081829"</f>
        <v>01081829</v>
      </c>
    </row>
    <row r="27064" spans="1:2" x14ac:dyDescent="0.25">
      <c r="A27064" s="2">
        <v>27059</v>
      </c>
      <c r="B27064" s="3" t="str">
        <f>"01081833"</f>
        <v>01081833</v>
      </c>
    </row>
    <row r="27065" spans="1:2" x14ac:dyDescent="0.25">
      <c r="A27065" s="2">
        <v>27060</v>
      </c>
      <c r="B27065" s="3" t="str">
        <f>"01081836"</f>
        <v>01081836</v>
      </c>
    </row>
    <row r="27066" spans="1:2" x14ac:dyDescent="0.25">
      <c r="A27066" s="2">
        <v>27061</v>
      </c>
      <c r="B27066" s="3" t="str">
        <f>"01081837"</f>
        <v>01081837</v>
      </c>
    </row>
    <row r="27067" spans="1:2" x14ac:dyDescent="0.25">
      <c r="A27067" s="2">
        <v>27062</v>
      </c>
      <c r="B27067" s="3" t="str">
        <f>"01081838"</f>
        <v>01081838</v>
      </c>
    </row>
    <row r="27068" spans="1:2" x14ac:dyDescent="0.25">
      <c r="A27068" s="2">
        <v>27063</v>
      </c>
      <c r="B27068" s="3" t="str">
        <f>"01081839"</f>
        <v>01081839</v>
      </c>
    </row>
    <row r="27069" spans="1:2" x14ac:dyDescent="0.25">
      <c r="A27069" s="2">
        <v>27064</v>
      </c>
      <c r="B27069" s="3" t="str">
        <f>"01081841"</f>
        <v>01081841</v>
      </c>
    </row>
    <row r="27070" spans="1:2" x14ac:dyDescent="0.25">
      <c r="A27070" s="2">
        <v>27065</v>
      </c>
      <c r="B27070" s="3" t="str">
        <f>"01081843"</f>
        <v>01081843</v>
      </c>
    </row>
    <row r="27071" spans="1:2" x14ac:dyDescent="0.25">
      <c r="A27071" s="2">
        <v>27066</v>
      </c>
      <c r="B27071" s="3" t="str">
        <f>"01081846"</f>
        <v>01081846</v>
      </c>
    </row>
    <row r="27072" spans="1:2" x14ac:dyDescent="0.25">
      <c r="A27072" s="2">
        <v>27067</v>
      </c>
      <c r="B27072" s="3" t="str">
        <f>"01081848"</f>
        <v>01081848</v>
      </c>
    </row>
    <row r="27073" spans="1:2" x14ac:dyDescent="0.25">
      <c r="A27073" s="2">
        <v>27068</v>
      </c>
      <c r="B27073" s="3" t="str">
        <f>"01081850"</f>
        <v>01081850</v>
      </c>
    </row>
    <row r="27074" spans="1:2" x14ac:dyDescent="0.25">
      <c r="A27074" s="2">
        <v>27069</v>
      </c>
      <c r="B27074" s="3" t="str">
        <f>"01081863"</f>
        <v>01081863</v>
      </c>
    </row>
    <row r="27075" spans="1:2" x14ac:dyDescent="0.25">
      <c r="A27075" s="2">
        <v>27070</v>
      </c>
      <c r="B27075" s="3" t="str">
        <f>"01081882"</f>
        <v>01081882</v>
      </c>
    </row>
    <row r="27076" spans="1:2" x14ac:dyDescent="0.25">
      <c r="A27076" s="2">
        <v>27071</v>
      </c>
      <c r="B27076" s="3" t="str">
        <f>"01081884"</f>
        <v>01081884</v>
      </c>
    </row>
    <row r="27077" spans="1:2" x14ac:dyDescent="0.25">
      <c r="A27077" s="2">
        <v>27072</v>
      </c>
      <c r="B27077" s="3" t="str">
        <f>"01081895"</f>
        <v>01081895</v>
      </c>
    </row>
    <row r="27078" spans="1:2" x14ac:dyDescent="0.25">
      <c r="A27078" s="2">
        <v>27073</v>
      </c>
      <c r="B27078" s="3" t="str">
        <f>"01081901"</f>
        <v>01081901</v>
      </c>
    </row>
    <row r="27079" spans="1:2" x14ac:dyDescent="0.25">
      <c r="A27079" s="2">
        <v>27074</v>
      </c>
      <c r="B27079" s="3" t="str">
        <f>"01081905"</f>
        <v>01081905</v>
      </c>
    </row>
    <row r="27080" spans="1:2" x14ac:dyDescent="0.25">
      <c r="A27080" s="2">
        <v>27075</v>
      </c>
      <c r="B27080" s="3" t="str">
        <f>"01081909"</f>
        <v>01081909</v>
      </c>
    </row>
    <row r="27081" spans="1:2" x14ac:dyDescent="0.25">
      <c r="A27081" s="2">
        <v>27076</v>
      </c>
      <c r="B27081" s="3" t="str">
        <f>"01081913"</f>
        <v>01081913</v>
      </c>
    </row>
    <row r="27082" spans="1:2" x14ac:dyDescent="0.25">
      <c r="A27082" s="2">
        <v>27077</v>
      </c>
      <c r="B27082" s="3" t="str">
        <f>"01081919"</f>
        <v>01081919</v>
      </c>
    </row>
    <row r="27083" spans="1:2" x14ac:dyDescent="0.25">
      <c r="A27083" s="2">
        <v>27078</v>
      </c>
      <c r="B27083" s="3" t="str">
        <f>"01081920"</f>
        <v>01081920</v>
      </c>
    </row>
    <row r="27084" spans="1:2" x14ac:dyDescent="0.25">
      <c r="A27084" s="2">
        <v>27079</v>
      </c>
      <c r="B27084" s="3" t="str">
        <f>"01081924"</f>
        <v>01081924</v>
      </c>
    </row>
    <row r="27085" spans="1:2" x14ac:dyDescent="0.25">
      <c r="A27085" s="2">
        <v>27080</v>
      </c>
      <c r="B27085" s="3" t="str">
        <f>"01081928"</f>
        <v>01081928</v>
      </c>
    </row>
    <row r="27086" spans="1:2" x14ac:dyDescent="0.25">
      <c r="A27086" s="2">
        <v>27081</v>
      </c>
      <c r="B27086" s="3" t="str">
        <f>"01081929"</f>
        <v>01081929</v>
      </c>
    </row>
    <row r="27087" spans="1:2" x14ac:dyDescent="0.25">
      <c r="A27087" s="2">
        <v>27082</v>
      </c>
      <c r="B27087" s="3" t="str">
        <f>"01081931"</f>
        <v>01081931</v>
      </c>
    </row>
    <row r="27088" spans="1:2" x14ac:dyDescent="0.25">
      <c r="A27088" s="2">
        <v>27083</v>
      </c>
      <c r="B27088" s="3" t="str">
        <f>"01081935"</f>
        <v>01081935</v>
      </c>
    </row>
    <row r="27089" spans="1:2" x14ac:dyDescent="0.25">
      <c r="A27089" s="2">
        <v>27084</v>
      </c>
      <c r="B27089" s="3" t="str">
        <f>"01081939"</f>
        <v>01081939</v>
      </c>
    </row>
    <row r="27090" spans="1:2" x14ac:dyDescent="0.25">
      <c r="A27090" s="2">
        <v>27085</v>
      </c>
      <c r="B27090" s="3" t="str">
        <f>"01081940"</f>
        <v>01081940</v>
      </c>
    </row>
    <row r="27091" spans="1:2" x14ac:dyDescent="0.25">
      <c r="A27091" s="2">
        <v>27086</v>
      </c>
      <c r="B27091" s="3" t="str">
        <f>"01081949"</f>
        <v>01081949</v>
      </c>
    </row>
    <row r="27092" spans="1:2" x14ac:dyDescent="0.25">
      <c r="A27092" s="2">
        <v>27087</v>
      </c>
      <c r="B27092" s="3" t="str">
        <f>"01081951"</f>
        <v>01081951</v>
      </c>
    </row>
    <row r="27093" spans="1:2" x14ac:dyDescent="0.25">
      <c r="A27093" s="2">
        <v>27088</v>
      </c>
      <c r="B27093" s="3" t="str">
        <f>"01081957"</f>
        <v>01081957</v>
      </c>
    </row>
    <row r="27094" spans="1:2" x14ac:dyDescent="0.25">
      <c r="A27094" s="2">
        <v>27089</v>
      </c>
      <c r="B27094" s="3" t="str">
        <f>"01081962"</f>
        <v>01081962</v>
      </c>
    </row>
    <row r="27095" spans="1:2" x14ac:dyDescent="0.25">
      <c r="A27095" s="2">
        <v>27090</v>
      </c>
      <c r="B27095" s="3" t="str">
        <f>"01081966"</f>
        <v>01081966</v>
      </c>
    </row>
    <row r="27096" spans="1:2" x14ac:dyDescent="0.25">
      <c r="A27096" s="2">
        <v>27091</v>
      </c>
      <c r="B27096" s="3" t="str">
        <f>"01081967"</f>
        <v>01081967</v>
      </c>
    </row>
    <row r="27097" spans="1:2" x14ac:dyDescent="0.25">
      <c r="A27097" s="2">
        <v>27092</v>
      </c>
      <c r="B27097" s="3" t="str">
        <f>"01081972"</f>
        <v>01081972</v>
      </c>
    </row>
    <row r="27098" spans="1:2" x14ac:dyDescent="0.25">
      <c r="A27098" s="2">
        <v>27093</v>
      </c>
      <c r="B27098" s="3" t="str">
        <f>"01081975"</f>
        <v>01081975</v>
      </c>
    </row>
    <row r="27099" spans="1:2" x14ac:dyDescent="0.25">
      <c r="A27099" s="2">
        <v>27094</v>
      </c>
      <c r="B27099" s="3" t="str">
        <f>"01081979"</f>
        <v>01081979</v>
      </c>
    </row>
    <row r="27100" spans="1:2" x14ac:dyDescent="0.25">
      <c r="A27100" s="2">
        <v>27095</v>
      </c>
      <c r="B27100" s="3" t="str">
        <f>"01081985"</f>
        <v>01081985</v>
      </c>
    </row>
    <row r="27101" spans="1:2" x14ac:dyDescent="0.25">
      <c r="A27101" s="2">
        <v>27096</v>
      </c>
      <c r="B27101" s="3" t="str">
        <f>"01081991"</f>
        <v>01081991</v>
      </c>
    </row>
    <row r="27102" spans="1:2" x14ac:dyDescent="0.25">
      <c r="A27102" s="2">
        <v>27097</v>
      </c>
      <c r="B27102" s="3" t="str">
        <f>"01081994"</f>
        <v>01081994</v>
      </c>
    </row>
    <row r="27103" spans="1:2" x14ac:dyDescent="0.25">
      <c r="A27103" s="2">
        <v>27098</v>
      </c>
      <c r="B27103" s="3" t="str">
        <f>"01081995"</f>
        <v>01081995</v>
      </c>
    </row>
    <row r="27104" spans="1:2" x14ac:dyDescent="0.25">
      <c r="A27104" s="2">
        <v>27099</v>
      </c>
      <c r="B27104" s="3" t="str">
        <f>"01082010"</f>
        <v>01082010</v>
      </c>
    </row>
    <row r="27105" spans="1:2" x14ac:dyDescent="0.25">
      <c r="A27105" s="2">
        <v>27100</v>
      </c>
      <c r="B27105" s="3" t="str">
        <f>"01082022"</f>
        <v>01082022</v>
      </c>
    </row>
    <row r="27106" spans="1:2" x14ac:dyDescent="0.25">
      <c r="A27106" s="2">
        <v>27101</v>
      </c>
      <c r="B27106" s="3" t="str">
        <f>"01082033"</f>
        <v>01082033</v>
      </c>
    </row>
    <row r="27107" spans="1:2" x14ac:dyDescent="0.25">
      <c r="A27107" s="2">
        <v>27102</v>
      </c>
      <c r="B27107" s="3" t="str">
        <f>"01082034"</f>
        <v>01082034</v>
      </c>
    </row>
    <row r="27108" spans="1:2" x14ac:dyDescent="0.25">
      <c r="A27108" s="2">
        <v>27103</v>
      </c>
      <c r="B27108" s="3" t="str">
        <f>"01082035"</f>
        <v>01082035</v>
      </c>
    </row>
    <row r="27109" spans="1:2" x14ac:dyDescent="0.25">
      <c r="A27109" s="2">
        <v>27104</v>
      </c>
      <c r="B27109" s="3" t="str">
        <f>"01082036"</f>
        <v>01082036</v>
      </c>
    </row>
    <row r="27110" spans="1:2" x14ac:dyDescent="0.25">
      <c r="A27110" s="2">
        <v>27105</v>
      </c>
      <c r="B27110" s="3" t="str">
        <f>"01082038"</f>
        <v>01082038</v>
      </c>
    </row>
    <row r="27111" spans="1:2" x14ac:dyDescent="0.25">
      <c r="A27111" s="2">
        <v>27106</v>
      </c>
      <c r="B27111" s="3" t="str">
        <f>"01082042"</f>
        <v>01082042</v>
      </c>
    </row>
    <row r="27112" spans="1:2" x14ac:dyDescent="0.25">
      <c r="A27112" s="2">
        <v>27107</v>
      </c>
      <c r="B27112" s="3" t="str">
        <f>"01082043"</f>
        <v>01082043</v>
      </c>
    </row>
    <row r="27113" spans="1:2" x14ac:dyDescent="0.25">
      <c r="A27113" s="2">
        <v>27108</v>
      </c>
      <c r="B27113" s="3" t="str">
        <f>"01082047"</f>
        <v>01082047</v>
      </c>
    </row>
    <row r="27114" spans="1:2" x14ac:dyDescent="0.25">
      <c r="A27114" s="2">
        <v>27109</v>
      </c>
      <c r="B27114" s="3" t="str">
        <f>"01082048"</f>
        <v>01082048</v>
      </c>
    </row>
    <row r="27115" spans="1:2" x14ac:dyDescent="0.25">
      <c r="A27115" s="2">
        <v>27110</v>
      </c>
      <c r="B27115" s="3" t="str">
        <f>"01082054"</f>
        <v>01082054</v>
      </c>
    </row>
    <row r="27116" spans="1:2" x14ac:dyDescent="0.25">
      <c r="A27116" s="2">
        <v>27111</v>
      </c>
      <c r="B27116" s="3" t="str">
        <f>"01082055"</f>
        <v>01082055</v>
      </c>
    </row>
    <row r="27117" spans="1:2" x14ac:dyDescent="0.25">
      <c r="A27117" s="2">
        <v>27112</v>
      </c>
      <c r="B27117" s="3" t="str">
        <f>"01082057"</f>
        <v>01082057</v>
      </c>
    </row>
    <row r="27118" spans="1:2" x14ac:dyDescent="0.25">
      <c r="A27118" s="2">
        <v>27113</v>
      </c>
      <c r="B27118" s="3" t="str">
        <f>"01082063"</f>
        <v>01082063</v>
      </c>
    </row>
    <row r="27119" spans="1:2" x14ac:dyDescent="0.25">
      <c r="A27119" s="2">
        <v>27114</v>
      </c>
      <c r="B27119" s="3" t="str">
        <f>"01082065"</f>
        <v>01082065</v>
      </c>
    </row>
    <row r="27120" spans="1:2" x14ac:dyDescent="0.25">
      <c r="A27120" s="2">
        <v>27115</v>
      </c>
      <c r="B27120" s="3" t="str">
        <f>"01082066"</f>
        <v>01082066</v>
      </c>
    </row>
    <row r="27121" spans="1:2" x14ac:dyDescent="0.25">
      <c r="A27121" s="2">
        <v>27116</v>
      </c>
      <c r="B27121" s="3" t="str">
        <f>"01082070"</f>
        <v>01082070</v>
      </c>
    </row>
    <row r="27122" spans="1:2" x14ac:dyDescent="0.25">
      <c r="A27122" s="2">
        <v>27117</v>
      </c>
      <c r="B27122" s="3" t="str">
        <f>"01082074"</f>
        <v>01082074</v>
      </c>
    </row>
    <row r="27123" spans="1:2" x14ac:dyDescent="0.25">
      <c r="A27123" s="2">
        <v>27118</v>
      </c>
      <c r="B27123" s="3" t="str">
        <f>"01082079"</f>
        <v>01082079</v>
      </c>
    </row>
    <row r="27124" spans="1:2" x14ac:dyDescent="0.25">
      <c r="A27124" s="2">
        <v>27119</v>
      </c>
      <c r="B27124" s="3" t="str">
        <f>"01082080"</f>
        <v>01082080</v>
      </c>
    </row>
    <row r="27125" spans="1:2" x14ac:dyDescent="0.25">
      <c r="A27125" s="2">
        <v>27120</v>
      </c>
      <c r="B27125" s="3" t="str">
        <f>"01082083"</f>
        <v>01082083</v>
      </c>
    </row>
    <row r="27126" spans="1:2" x14ac:dyDescent="0.25">
      <c r="A27126" s="2">
        <v>27121</v>
      </c>
      <c r="B27126" s="3" t="str">
        <f>"01082087"</f>
        <v>01082087</v>
      </c>
    </row>
    <row r="27127" spans="1:2" x14ac:dyDescent="0.25">
      <c r="A27127" s="2">
        <v>27122</v>
      </c>
      <c r="B27127" s="3" t="str">
        <f>"01082089"</f>
        <v>01082089</v>
      </c>
    </row>
    <row r="27128" spans="1:2" x14ac:dyDescent="0.25">
      <c r="A27128" s="2">
        <v>27123</v>
      </c>
      <c r="B27128" s="3" t="str">
        <f>"01082092"</f>
        <v>01082092</v>
      </c>
    </row>
    <row r="27129" spans="1:2" x14ac:dyDescent="0.25">
      <c r="A27129" s="2">
        <v>27124</v>
      </c>
      <c r="B27129" s="3" t="str">
        <f>"01082096"</f>
        <v>01082096</v>
      </c>
    </row>
    <row r="27130" spans="1:2" x14ac:dyDescent="0.25">
      <c r="A27130" s="2">
        <v>27125</v>
      </c>
      <c r="B27130" s="3" t="str">
        <f>"01082111"</f>
        <v>01082111</v>
      </c>
    </row>
    <row r="27131" spans="1:2" x14ac:dyDescent="0.25">
      <c r="A27131" s="2">
        <v>27126</v>
      </c>
      <c r="B27131" s="3" t="str">
        <f>"01082118"</f>
        <v>01082118</v>
      </c>
    </row>
    <row r="27132" spans="1:2" x14ac:dyDescent="0.25">
      <c r="A27132" s="2">
        <v>27127</v>
      </c>
      <c r="B27132" s="3" t="str">
        <f>"01082127"</f>
        <v>01082127</v>
      </c>
    </row>
    <row r="27133" spans="1:2" x14ac:dyDescent="0.25">
      <c r="A27133" s="2">
        <v>27128</v>
      </c>
      <c r="B27133" s="3" t="str">
        <f>"01082129"</f>
        <v>01082129</v>
      </c>
    </row>
    <row r="27134" spans="1:2" x14ac:dyDescent="0.25">
      <c r="A27134" s="2">
        <v>27129</v>
      </c>
      <c r="B27134" s="3" t="str">
        <f>"01082137"</f>
        <v>01082137</v>
      </c>
    </row>
    <row r="27135" spans="1:2" x14ac:dyDescent="0.25">
      <c r="A27135" s="2">
        <v>27130</v>
      </c>
      <c r="B27135" s="3" t="str">
        <f>"01082138"</f>
        <v>01082138</v>
      </c>
    </row>
    <row r="27136" spans="1:2" x14ac:dyDescent="0.25">
      <c r="A27136" s="2">
        <v>27131</v>
      </c>
      <c r="B27136" s="3" t="str">
        <f>"01082140"</f>
        <v>01082140</v>
      </c>
    </row>
    <row r="27137" spans="1:2" x14ac:dyDescent="0.25">
      <c r="A27137" s="2">
        <v>27132</v>
      </c>
      <c r="B27137" s="3" t="str">
        <f>"01082143"</f>
        <v>01082143</v>
      </c>
    </row>
    <row r="27138" spans="1:2" x14ac:dyDescent="0.25">
      <c r="A27138" s="2">
        <v>27133</v>
      </c>
      <c r="B27138" s="3" t="str">
        <f>"01082149"</f>
        <v>01082149</v>
      </c>
    </row>
    <row r="27139" spans="1:2" x14ac:dyDescent="0.25">
      <c r="A27139" s="2">
        <v>27134</v>
      </c>
      <c r="B27139" s="3" t="str">
        <f>"01082154"</f>
        <v>01082154</v>
      </c>
    </row>
    <row r="27140" spans="1:2" x14ac:dyDescent="0.25">
      <c r="A27140" s="2">
        <v>27135</v>
      </c>
      <c r="B27140" s="3" t="str">
        <f>"01082159"</f>
        <v>01082159</v>
      </c>
    </row>
    <row r="27141" spans="1:2" x14ac:dyDescent="0.25">
      <c r="A27141" s="2">
        <v>27136</v>
      </c>
      <c r="B27141" s="3" t="str">
        <f>"01082167"</f>
        <v>01082167</v>
      </c>
    </row>
    <row r="27142" spans="1:2" x14ac:dyDescent="0.25">
      <c r="A27142" s="2">
        <v>27137</v>
      </c>
      <c r="B27142" s="3" t="str">
        <f>"01082171"</f>
        <v>01082171</v>
      </c>
    </row>
    <row r="27143" spans="1:2" x14ac:dyDescent="0.25">
      <c r="A27143" s="2">
        <v>27138</v>
      </c>
      <c r="B27143" s="3" t="str">
        <f>"01082173"</f>
        <v>01082173</v>
      </c>
    </row>
    <row r="27144" spans="1:2" x14ac:dyDescent="0.25">
      <c r="A27144" s="2">
        <v>27139</v>
      </c>
      <c r="B27144" s="3" t="str">
        <f>"01082178"</f>
        <v>01082178</v>
      </c>
    </row>
    <row r="27145" spans="1:2" x14ac:dyDescent="0.25">
      <c r="A27145" s="2">
        <v>27140</v>
      </c>
      <c r="B27145" s="3" t="str">
        <f>"01082179"</f>
        <v>01082179</v>
      </c>
    </row>
    <row r="27146" spans="1:2" x14ac:dyDescent="0.25">
      <c r="A27146" s="2">
        <v>27141</v>
      </c>
      <c r="B27146" s="3" t="str">
        <f>"01082181"</f>
        <v>01082181</v>
      </c>
    </row>
    <row r="27147" spans="1:2" x14ac:dyDescent="0.25">
      <c r="A27147" s="2">
        <v>27142</v>
      </c>
      <c r="B27147" s="3" t="str">
        <f>"01082188"</f>
        <v>01082188</v>
      </c>
    </row>
    <row r="27148" spans="1:2" x14ac:dyDescent="0.25">
      <c r="A27148" s="2">
        <v>27143</v>
      </c>
      <c r="B27148" s="3" t="str">
        <f>"01082192"</f>
        <v>01082192</v>
      </c>
    </row>
    <row r="27149" spans="1:2" x14ac:dyDescent="0.25">
      <c r="A27149" s="2">
        <v>27144</v>
      </c>
      <c r="B27149" s="3" t="str">
        <f>"01082195"</f>
        <v>01082195</v>
      </c>
    </row>
    <row r="27150" spans="1:2" x14ac:dyDescent="0.25">
      <c r="A27150" s="2">
        <v>27145</v>
      </c>
      <c r="B27150" s="3" t="str">
        <f>"01082197"</f>
        <v>01082197</v>
      </c>
    </row>
    <row r="27151" spans="1:2" x14ac:dyDescent="0.25">
      <c r="A27151" s="2">
        <v>27146</v>
      </c>
      <c r="B27151" s="3" t="str">
        <f>"01082202"</f>
        <v>01082202</v>
      </c>
    </row>
    <row r="27152" spans="1:2" x14ac:dyDescent="0.25">
      <c r="A27152" s="2">
        <v>27147</v>
      </c>
      <c r="B27152" s="3" t="str">
        <f>"01082207"</f>
        <v>01082207</v>
      </c>
    </row>
    <row r="27153" spans="1:2" x14ac:dyDescent="0.25">
      <c r="A27153" s="2">
        <v>27148</v>
      </c>
      <c r="B27153" s="3" t="str">
        <f>"01082208"</f>
        <v>01082208</v>
      </c>
    </row>
    <row r="27154" spans="1:2" x14ac:dyDescent="0.25">
      <c r="A27154" s="2">
        <v>27149</v>
      </c>
      <c r="B27154" s="3" t="str">
        <f>"01082210"</f>
        <v>01082210</v>
      </c>
    </row>
    <row r="27155" spans="1:2" x14ac:dyDescent="0.25">
      <c r="A27155" s="2">
        <v>27150</v>
      </c>
      <c r="B27155" s="3" t="str">
        <f>"01082212"</f>
        <v>01082212</v>
      </c>
    </row>
    <row r="27156" spans="1:2" x14ac:dyDescent="0.25">
      <c r="A27156" s="2">
        <v>27151</v>
      </c>
      <c r="B27156" s="3" t="str">
        <f>"01082223"</f>
        <v>01082223</v>
      </c>
    </row>
    <row r="27157" spans="1:2" x14ac:dyDescent="0.25">
      <c r="A27157" s="2">
        <v>27152</v>
      </c>
      <c r="B27157" s="3" t="str">
        <f>"01082224"</f>
        <v>01082224</v>
      </c>
    </row>
    <row r="27158" spans="1:2" x14ac:dyDescent="0.25">
      <c r="A27158" s="2">
        <v>27153</v>
      </c>
      <c r="B27158" s="3" t="str">
        <f>"01082225"</f>
        <v>01082225</v>
      </c>
    </row>
    <row r="27159" spans="1:2" x14ac:dyDescent="0.25">
      <c r="A27159" s="2">
        <v>27154</v>
      </c>
      <c r="B27159" s="3" t="str">
        <f>"01082228"</f>
        <v>01082228</v>
      </c>
    </row>
    <row r="27160" spans="1:2" x14ac:dyDescent="0.25">
      <c r="A27160" s="2">
        <v>27155</v>
      </c>
      <c r="B27160" s="3" t="str">
        <f>"01082230"</f>
        <v>01082230</v>
      </c>
    </row>
    <row r="27161" spans="1:2" x14ac:dyDescent="0.25">
      <c r="A27161" s="2">
        <v>27156</v>
      </c>
      <c r="B27161" s="3" t="str">
        <f>"01082231"</f>
        <v>01082231</v>
      </c>
    </row>
    <row r="27162" spans="1:2" x14ac:dyDescent="0.25">
      <c r="A27162" s="2">
        <v>27157</v>
      </c>
      <c r="B27162" s="3" t="str">
        <f>"01082236"</f>
        <v>01082236</v>
      </c>
    </row>
    <row r="27163" spans="1:2" x14ac:dyDescent="0.25">
      <c r="A27163" s="2">
        <v>27158</v>
      </c>
      <c r="B27163" s="3" t="str">
        <f>"01082247"</f>
        <v>01082247</v>
      </c>
    </row>
    <row r="27164" spans="1:2" x14ac:dyDescent="0.25">
      <c r="A27164" s="2">
        <v>27159</v>
      </c>
      <c r="B27164" s="3" t="str">
        <f>"01082249"</f>
        <v>01082249</v>
      </c>
    </row>
    <row r="27165" spans="1:2" x14ac:dyDescent="0.25">
      <c r="A27165" s="2">
        <v>27160</v>
      </c>
      <c r="B27165" s="3" t="str">
        <f>"01082251"</f>
        <v>01082251</v>
      </c>
    </row>
    <row r="27166" spans="1:2" x14ac:dyDescent="0.25">
      <c r="A27166" s="2">
        <v>27161</v>
      </c>
      <c r="B27166" s="3" t="str">
        <f>"01082261"</f>
        <v>01082261</v>
      </c>
    </row>
    <row r="27167" spans="1:2" x14ac:dyDescent="0.25">
      <c r="A27167" s="2">
        <v>27162</v>
      </c>
      <c r="B27167" s="3" t="str">
        <f>"01082262"</f>
        <v>01082262</v>
      </c>
    </row>
    <row r="27168" spans="1:2" x14ac:dyDescent="0.25">
      <c r="A27168" s="2">
        <v>27163</v>
      </c>
      <c r="B27168" s="3" t="str">
        <f>"01082272"</f>
        <v>01082272</v>
      </c>
    </row>
    <row r="27169" spans="1:2" x14ac:dyDescent="0.25">
      <c r="A27169" s="2">
        <v>27164</v>
      </c>
      <c r="B27169" s="3" t="str">
        <f>"01082281"</f>
        <v>01082281</v>
      </c>
    </row>
    <row r="27170" spans="1:2" x14ac:dyDescent="0.25">
      <c r="A27170" s="2">
        <v>27165</v>
      </c>
      <c r="B27170" s="3" t="str">
        <f>"01082292"</f>
        <v>01082292</v>
      </c>
    </row>
    <row r="27171" spans="1:2" x14ac:dyDescent="0.25">
      <c r="A27171" s="2">
        <v>27166</v>
      </c>
      <c r="B27171" s="3" t="str">
        <f>"01082294"</f>
        <v>01082294</v>
      </c>
    </row>
    <row r="27172" spans="1:2" x14ac:dyDescent="0.25">
      <c r="A27172" s="2">
        <v>27167</v>
      </c>
      <c r="B27172" s="3" t="str">
        <f>"01082295"</f>
        <v>01082295</v>
      </c>
    </row>
    <row r="27173" spans="1:2" x14ac:dyDescent="0.25">
      <c r="A27173" s="2">
        <v>27168</v>
      </c>
      <c r="B27173" s="3" t="str">
        <f>"01082296"</f>
        <v>01082296</v>
      </c>
    </row>
    <row r="27174" spans="1:2" x14ac:dyDescent="0.25">
      <c r="A27174" s="2">
        <v>27169</v>
      </c>
      <c r="B27174" s="3" t="str">
        <f>"01082301"</f>
        <v>01082301</v>
      </c>
    </row>
    <row r="27175" spans="1:2" x14ac:dyDescent="0.25">
      <c r="A27175" s="2">
        <v>27170</v>
      </c>
      <c r="B27175" s="3" t="str">
        <f>"01082312"</f>
        <v>01082312</v>
      </c>
    </row>
    <row r="27176" spans="1:2" x14ac:dyDescent="0.25">
      <c r="A27176" s="2">
        <v>27171</v>
      </c>
      <c r="B27176" s="3" t="str">
        <f>"01082314"</f>
        <v>01082314</v>
      </c>
    </row>
    <row r="27177" spans="1:2" x14ac:dyDescent="0.25">
      <c r="A27177" s="2">
        <v>27172</v>
      </c>
      <c r="B27177" s="3" t="str">
        <f>"01082321"</f>
        <v>01082321</v>
      </c>
    </row>
    <row r="27178" spans="1:2" x14ac:dyDescent="0.25">
      <c r="A27178" s="2">
        <v>27173</v>
      </c>
      <c r="B27178" s="3" t="str">
        <f>"01082322"</f>
        <v>01082322</v>
      </c>
    </row>
    <row r="27179" spans="1:2" x14ac:dyDescent="0.25">
      <c r="A27179" s="2">
        <v>27174</v>
      </c>
      <c r="B27179" s="3" t="str">
        <f>"01082327"</f>
        <v>01082327</v>
      </c>
    </row>
    <row r="27180" spans="1:2" x14ac:dyDescent="0.25">
      <c r="A27180" s="2">
        <v>27175</v>
      </c>
      <c r="B27180" s="3" t="str">
        <f>"01082331"</f>
        <v>01082331</v>
      </c>
    </row>
    <row r="27181" spans="1:2" x14ac:dyDescent="0.25">
      <c r="A27181" s="2">
        <v>27176</v>
      </c>
      <c r="B27181" s="3" t="str">
        <f>"01082340"</f>
        <v>01082340</v>
      </c>
    </row>
    <row r="27182" spans="1:2" x14ac:dyDescent="0.25">
      <c r="A27182" s="2">
        <v>27177</v>
      </c>
      <c r="B27182" s="3" t="str">
        <f>"01082343"</f>
        <v>01082343</v>
      </c>
    </row>
    <row r="27183" spans="1:2" x14ac:dyDescent="0.25">
      <c r="A27183" s="2">
        <v>27178</v>
      </c>
      <c r="B27183" s="3" t="str">
        <f>"01082346"</f>
        <v>01082346</v>
      </c>
    </row>
    <row r="27184" spans="1:2" x14ac:dyDescent="0.25">
      <c r="A27184" s="2">
        <v>27179</v>
      </c>
      <c r="B27184" s="3" t="str">
        <f>"01082349"</f>
        <v>01082349</v>
      </c>
    </row>
    <row r="27185" spans="1:2" x14ac:dyDescent="0.25">
      <c r="A27185" s="2">
        <v>27180</v>
      </c>
      <c r="B27185" s="3" t="str">
        <f>"01082351"</f>
        <v>01082351</v>
      </c>
    </row>
    <row r="27186" spans="1:2" x14ac:dyDescent="0.25">
      <c r="A27186" s="2">
        <v>27181</v>
      </c>
      <c r="B27186" s="3" t="str">
        <f>"01082354"</f>
        <v>01082354</v>
      </c>
    </row>
    <row r="27187" spans="1:2" x14ac:dyDescent="0.25">
      <c r="A27187" s="2">
        <v>27182</v>
      </c>
      <c r="B27187" s="3" t="str">
        <f>"01082355"</f>
        <v>01082355</v>
      </c>
    </row>
    <row r="27188" spans="1:2" x14ac:dyDescent="0.25">
      <c r="A27188" s="2">
        <v>27183</v>
      </c>
      <c r="B27188" s="3" t="str">
        <f>"01082371"</f>
        <v>01082371</v>
      </c>
    </row>
    <row r="27189" spans="1:2" x14ac:dyDescent="0.25">
      <c r="A27189" s="2">
        <v>27184</v>
      </c>
      <c r="B27189" s="3" t="str">
        <f>"01082380"</f>
        <v>01082380</v>
      </c>
    </row>
    <row r="27190" spans="1:2" x14ac:dyDescent="0.25">
      <c r="A27190" s="2">
        <v>27185</v>
      </c>
      <c r="B27190" s="3" t="str">
        <f>"01082386"</f>
        <v>01082386</v>
      </c>
    </row>
    <row r="27191" spans="1:2" x14ac:dyDescent="0.25">
      <c r="A27191" s="2">
        <v>27186</v>
      </c>
      <c r="B27191" s="3" t="str">
        <f>"01082394"</f>
        <v>01082394</v>
      </c>
    </row>
    <row r="27192" spans="1:2" x14ac:dyDescent="0.25">
      <c r="A27192" s="2">
        <v>27187</v>
      </c>
      <c r="B27192" s="3" t="str">
        <f>"01082403"</f>
        <v>01082403</v>
      </c>
    </row>
    <row r="27193" spans="1:2" x14ac:dyDescent="0.25">
      <c r="A27193" s="2">
        <v>27188</v>
      </c>
      <c r="B27193" s="3" t="str">
        <f>"01082409"</f>
        <v>01082409</v>
      </c>
    </row>
    <row r="27194" spans="1:2" x14ac:dyDescent="0.25">
      <c r="A27194" s="2">
        <v>27189</v>
      </c>
      <c r="B27194" s="3" t="str">
        <f>"01082427"</f>
        <v>01082427</v>
      </c>
    </row>
    <row r="27195" spans="1:2" x14ac:dyDescent="0.25">
      <c r="A27195" s="2">
        <v>27190</v>
      </c>
      <c r="B27195" s="3" t="str">
        <f>"01082430"</f>
        <v>01082430</v>
      </c>
    </row>
    <row r="27196" spans="1:2" x14ac:dyDescent="0.25">
      <c r="A27196" s="2">
        <v>27191</v>
      </c>
      <c r="B27196" s="3" t="str">
        <f>"01082437"</f>
        <v>01082437</v>
      </c>
    </row>
    <row r="27197" spans="1:2" x14ac:dyDescent="0.25">
      <c r="A27197" s="2">
        <v>27192</v>
      </c>
      <c r="B27197" s="3" t="str">
        <f>"01082439"</f>
        <v>01082439</v>
      </c>
    </row>
    <row r="27198" spans="1:2" x14ac:dyDescent="0.25">
      <c r="A27198" s="2">
        <v>27193</v>
      </c>
      <c r="B27198" s="3" t="str">
        <f>"01082444"</f>
        <v>01082444</v>
      </c>
    </row>
    <row r="27199" spans="1:2" x14ac:dyDescent="0.25">
      <c r="A27199" s="2">
        <v>27194</v>
      </c>
      <c r="B27199" s="3" t="str">
        <f>"01082446"</f>
        <v>01082446</v>
      </c>
    </row>
    <row r="27200" spans="1:2" x14ac:dyDescent="0.25">
      <c r="A27200" s="2">
        <v>27195</v>
      </c>
      <c r="B27200" s="3" t="str">
        <f>"01082458"</f>
        <v>01082458</v>
      </c>
    </row>
    <row r="27201" spans="1:2" x14ac:dyDescent="0.25">
      <c r="A27201" s="2">
        <v>27196</v>
      </c>
      <c r="B27201" s="3" t="str">
        <f>"01082459"</f>
        <v>01082459</v>
      </c>
    </row>
    <row r="27202" spans="1:2" x14ac:dyDescent="0.25">
      <c r="A27202" s="2">
        <v>27197</v>
      </c>
      <c r="B27202" s="3" t="str">
        <f>"01082460"</f>
        <v>01082460</v>
      </c>
    </row>
    <row r="27203" spans="1:2" x14ac:dyDescent="0.25">
      <c r="A27203" s="2">
        <v>27198</v>
      </c>
      <c r="B27203" s="3" t="str">
        <f>"01082462"</f>
        <v>01082462</v>
      </c>
    </row>
    <row r="27204" spans="1:2" x14ac:dyDescent="0.25">
      <c r="A27204" s="2">
        <v>27199</v>
      </c>
      <c r="B27204" s="3" t="str">
        <f>"01082470"</f>
        <v>01082470</v>
      </c>
    </row>
    <row r="27205" spans="1:2" x14ac:dyDescent="0.25">
      <c r="A27205" s="2">
        <v>27200</v>
      </c>
      <c r="B27205" s="3" t="str">
        <f>"01082472"</f>
        <v>01082472</v>
      </c>
    </row>
    <row r="27206" spans="1:2" x14ac:dyDescent="0.25">
      <c r="A27206" s="2">
        <v>27201</v>
      </c>
      <c r="B27206" s="3" t="str">
        <f>"01082479"</f>
        <v>01082479</v>
      </c>
    </row>
    <row r="27207" spans="1:2" x14ac:dyDescent="0.25">
      <c r="A27207" s="2">
        <v>27202</v>
      </c>
      <c r="B27207" s="3" t="str">
        <f>"01082486"</f>
        <v>01082486</v>
      </c>
    </row>
    <row r="27208" spans="1:2" x14ac:dyDescent="0.25">
      <c r="A27208" s="2">
        <v>27203</v>
      </c>
      <c r="B27208" s="3" t="str">
        <f>"01082488"</f>
        <v>01082488</v>
      </c>
    </row>
    <row r="27209" spans="1:2" x14ac:dyDescent="0.25">
      <c r="A27209" s="2">
        <v>27204</v>
      </c>
      <c r="B27209" s="3" t="str">
        <f>"01082489"</f>
        <v>01082489</v>
      </c>
    </row>
    <row r="27210" spans="1:2" x14ac:dyDescent="0.25">
      <c r="A27210" s="2">
        <v>27205</v>
      </c>
      <c r="B27210" s="3" t="str">
        <f>"01082493"</f>
        <v>01082493</v>
      </c>
    </row>
    <row r="27211" spans="1:2" x14ac:dyDescent="0.25">
      <c r="A27211" s="2">
        <v>27206</v>
      </c>
      <c r="B27211" s="3" t="str">
        <f>"01082494"</f>
        <v>01082494</v>
      </c>
    </row>
    <row r="27212" spans="1:2" x14ac:dyDescent="0.25">
      <c r="A27212" s="2">
        <v>27207</v>
      </c>
      <c r="B27212" s="3" t="str">
        <f>"01082497"</f>
        <v>01082497</v>
      </c>
    </row>
    <row r="27213" spans="1:2" x14ac:dyDescent="0.25">
      <c r="A27213" s="2">
        <v>27208</v>
      </c>
      <c r="B27213" s="3" t="str">
        <f>"01082504"</f>
        <v>01082504</v>
      </c>
    </row>
    <row r="27214" spans="1:2" x14ac:dyDescent="0.25">
      <c r="A27214" s="2">
        <v>27209</v>
      </c>
      <c r="B27214" s="3" t="str">
        <f>"01082519"</f>
        <v>01082519</v>
      </c>
    </row>
    <row r="27215" spans="1:2" x14ac:dyDescent="0.25">
      <c r="A27215" s="2">
        <v>27210</v>
      </c>
      <c r="B27215" s="3" t="str">
        <f>"01082521"</f>
        <v>01082521</v>
      </c>
    </row>
    <row r="27216" spans="1:2" x14ac:dyDescent="0.25">
      <c r="A27216" s="2">
        <v>27211</v>
      </c>
      <c r="B27216" s="3" t="str">
        <f>"01082522"</f>
        <v>01082522</v>
      </c>
    </row>
    <row r="27217" spans="1:2" x14ac:dyDescent="0.25">
      <c r="A27217" s="2">
        <v>27212</v>
      </c>
      <c r="B27217" s="3" t="str">
        <f>"01082524"</f>
        <v>01082524</v>
      </c>
    </row>
    <row r="27218" spans="1:2" x14ac:dyDescent="0.25">
      <c r="A27218" s="2">
        <v>27213</v>
      </c>
      <c r="B27218" s="3" t="str">
        <f>"01082525"</f>
        <v>01082525</v>
      </c>
    </row>
    <row r="27219" spans="1:2" x14ac:dyDescent="0.25">
      <c r="A27219" s="2">
        <v>27214</v>
      </c>
      <c r="B27219" s="3" t="str">
        <f>"01082526"</f>
        <v>01082526</v>
      </c>
    </row>
    <row r="27220" spans="1:2" x14ac:dyDescent="0.25">
      <c r="A27220" s="2">
        <v>27215</v>
      </c>
      <c r="B27220" s="3" t="str">
        <f>"01082528"</f>
        <v>01082528</v>
      </c>
    </row>
    <row r="27221" spans="1:2" x14ac:dyDescent="0.25">
      <c r="A27221" s="2">
        <v>27216</v>
      </c>
      <c r="B27221" s="3" t="str">
        <f>"01082531"</f>
        <v>01082531</v>
      </c>
    </row>
    <row r="27222" spans="1:2" x14ac:dyDescent="0.25">
      <c r="A27222" s="2">
        <v>27217</v>
      </c>
      <c r="B27222" s="3" t="str">
        <f>"01082533"</f>
        <v>01082533</v>
      </c>
    </row>
    <row r="27223" spans="1:2" x14ac:dyDescent="0.25">
      <c r="A27223" s="2">
        <v>27218</v>
      </c>
      <c r="B27223" s="3" t="str">
        <f>"01082535"</f>
        <v>01082535</v>
      </c>
    </row>
    <row r="27224" spans="1:2" x14ac:dyDescent="0.25">
      <c r="A27224" s="2">
        <v>27219</v>
      </c>
      <c r="B27224" s="3" t="str">
        <f>"01082536"</f>
        <v>01082536</v>
      </c>
    </row>
    <row r="27225" spans="1:2" x14ac:dyDescent="0.25">
      <c r="A27225" s="2">
        <v>27220</v>
      </c>
      <c r="B27225" s="3" t="str">
        <f>"01082540"</f>
        <v>01082540</v>
      </c>
    </row>
    <row r="27226" spans="1:2" x14ac:dyDescent="0.25">
      <c r="A27226" s="2">
        <v>27221</v>
      </c>
      <c r="B27226" s="3" t="str">
        <f>"01082541"</f>
        <v>01082541</v>
      </c>
    </row>
    <row r="27227" spans="1:2" x14ac:dyDescent="0.25">
      <c r="A27227" s="2">
        <v>27222</v>
      </c>
      <c r="B27227" s="3" t="str">
        <f>"01082542"</f>
        <v>01082542</v>
      </c>
    </row>
    <row r="27228" spans="1:2" x14ac:dyDescent="0.25">
      <c r="A27228" s="2">
        <v>27223</v>
      </c>
      <c r="B27228" s="3" t="str">
        <f>"01082543"</f>
        <v>01082543</v>
      </c>
    </row>
    <row r="27229" spans="1:2" x14ac:dyDescent="0.25">
      <c r="A27229" s="2">
        <v>27224</v>
      </c>
      <c r="B27229" s="3" t="str">
        <f>"01082544"</f>
        <v>01082544</v>
      </c>
    </row>
    <row r="27230" spans="1:2" x14ac:dyDescent="0.25">
      <c r="A27230" s="2">
        <v>27225</v>
      </c>
      <c r="B27230" s="3" t="str">
        <f>"01082554"</f>
        <v>01082554</v>
      </c>
    </row>
    <row r="27231" spans="1:2" x14ac:dyDescent="0.25">
      <c r="A27231" s="2">
        <v>27226</v>
      </c>
      <c r="B27231" s="3" t="str">
        <f>"01082564"</f>
        <v>01082564</v>
      </c>
    </row>
    <row r="27232" spans="1:2" x14ac:dyDescent="0.25">
      <c r="A27232" s="2">
        <v>27227</v>
      </c>
      <c r="B27232" s="3" t="str">
        <f>"01082572"</f>
        <v>01082572</v>
      </c>
    </row>
    <row r="27233" spans="1:2" x14ac:dyDescent="0.25">
      <c r="A27233" s="2">
        <v>27228</v>
      </c>
      <c r="B27233" s="3" t="str">
        <f>"01082573"</f>
        <v>01082573</v>
      </c>
    </row>
    <row r="27234" spans="1:2" x14ac:dyDescent="0.25">
      <c r="A27234" s="2">
        <v>27229</v>
      </c>
      <c r="B27234" s="3" t="str">
        <f>"01082577"</f>
        <v>01082577</v>
      </c>
    </row>
    <row r="27235" spans="1:2" x14ac:dyDescent="0.25">
      <c r="A27235" s="2">
        <v>27230</v>
      </c>
      <c r="B27235" s="3" t="str">
        <f>"01082578"</f>
        <v>01082578</v>
      </c>
    </row>
    <row r="27236" spans="1:2" x14ac:dyDescent="0.25">
      <c r="A27236" s="2">
        <v>27231</v>
      </c>
      <c r="B27236" s="3" t="str">
        <f>"01082585"</f>
        <v>01082585</v>
      </c>
    </row>
    <row r="27237" spans="1:2" x14ac:dyDescent="0.25">
      <c r="A27237" s="2">
        <v>27232</v>
      </c>
      <c r="B27237" s="3" t="str">
        <f>"01082602"</f>
        <v>01082602</v>
      </c>
    </row>
    <row r="27238" spans="1:2" x14ac:dyDescent="0.25">
      <c r="A27238" s="2">
        <v>27233</v>
      </c>
      <c r="B27238" s="3" t="str">
        <f>"01082605"</f>
        <v>01082605</v>
      </c>
    </row>
    <row r="27239" spans="1:2" x14ac:dyDescent="0.25">
      <c r="A27239" s="2">
        <v>27234</v>
      </c>
      <c r="B27239" s="3" t="str">
        <f>"01082621"</f>
        <v>01082621</v>
      </c>
    </row>
    <row r="27240" spans="1:2" x14ac:dyDescent="0.25">
      <c r="A27240" s="2">
        <v>27235</v>
      </c>
      <c r="B27240" s="3" t="str">
        <f>"01082622"</f>
        <v>01082622</v>
      </c>
    </row>
    <row r="27241" spans="1:2" x14ac:dyDescent="0.25">
      <c r="A27241" s="2">
        <v>27236</v>
      </c>
      <c r="B27241" s="3" t="str">
        <f>"01082624"</f>
        <v>01082624</v>
      </c>
    </row>
    <row r="27242" spans="1:2" x14ac:dyDescent="0.25">
      <c r="A27242" s="2">
        <v>27237</v>
      </c>
      <c r="B27242" s="3" t="str">
        <f>"01082625"</f>
        <v>01082625</v>
      </c>
    </row>
    <row r="27243" spans="1:2" x14ac:dyDescent="0.25">
      <c r="A27243" s="2">
        <v>27238</v>
      </c>
      <c r="B27243" s="3" t="str">
        <f>"01082637"</f>
        <v>01082637</v>
      </c>
    </row>
    <row r="27244" spans="1:2" x14ac:dyDescent="0.25">
      <c r="A27244" s="2">
        <v>27239</v>
      </c>
      <c r="B27244" s="3" t="str">
        <f>"01082642"</f>
        <v>01082642</v>
      </c>
    </row>
    <row r="27245" spans="1:2" x14ac:dyDescent="0.25">
      <c r="A27245" s="2">
        <v>27240</v>
      </c>
      <c r="B27245" s="3" t="str">
        <f>"01082648"</f>
        <v>01082648</v>
      </c>
    </row>
    <row r="27246" spans="1:2" x14ac:dyDescent="0.25">
      <c r="A27246" s="2">
        <v>27241</v>
      </c>
      <c r="B27246" s="3" t="str">
        <f>"01082650"</f>
        <v>01082650</v>
      </c>
    </row>
    <row r="27247" spans="1:2" x14ac:dyDescent="0.25">
      <c r="A27247" s="2">
        <v>27242</v>
      </c>
      <c r="B27247" s="3" t="str">
        <f>"01082652"</f>
        <v>01082652</v>
      </c>
    </row>
    <row r="27248" spans="1:2" x14ac:dyDescent="0.25">
      <c r="A27248" s="2">
        <v>27243</v>
      </c>
      <c r="B27248" s="3" t="str">
        <f>"01082653"</f>
        <v>01082653</v>
      </c>
    </row>
    <row r="27249" spans="1:2" x14ac:dyDescent="0.25">
      <c r="A27249" s="2">
        <v>27244</v>
      </c>
      <c r="B27249" s="3" t="str">
        <f>"01082654"</f>
        <v>01082654</v>
      </c>
    </row>
    <row r="27250" spans="1:2" x14ac:dyDescent="0.25">
      <c r="A27250" s="2">
        <v>27245</v>
      </c>
      <c r="B27250" s="3" t="str">
        <f>"01082656"</f>
        <v>01082656</v>
      </c>
    </row>
    <row r="27251" spans="1:2" x14ac:dyDescent="0.25">
      <c r="A27251" s="2">
        <v>27246</v>
      </c>
      <c r="B27251" s="3" t="str">
        <f>"01082658"</f>
        <v>01082658</v>
      </c>
    </row>
    <row r="27252" spans="1:2" x14ac:dyDescent="0.25">
      <c r="A27252" s="2">
        <v>27247</v>
      </c>
      <c r="B27252" s="3" t="str">
        <f>"01082665"</f>
        <v>01082665</v>
      </c>
    </row>
    <row r="27253" spans="1:2" x14ac:dyDescent="0.25">
      <c r="A27253" s="2">
        <v>27248</v>
      </c>
      <c r="B27253" s="3" t="str">
        <f>"01082672"</f>
        <v>01082672</v>
      </c>
    </row>
    <row r="27254" spans="1:2" x14ac:dyDescent="0.25">
      <c r="A27254" s="2">
        <v>27249</v>
      </c>
      <c r="B27254" s="3" t="str">
        <f>"01082673"</f>
        <v>01082673</v>
      </c>
    </row>
    <row r="27255" spans="1:2" x14ac:dyDescent="0.25">
      <c r="A27255" s="2">
        <v>27250</v>
      </c>
      <c r="B27255" s="3" t="str">
        <f>"01082674"</f>
        <v>01082674</v>
      </c>
    </row>
    <row r="27256" spans="1:2" x14ac:dyDescent="0.25">
      <c r="A27256" s="2">
        <v>27251</v>
      </c>
      <c r="B27256" s="3" t="str">
        <f>"01082682"</f>
        <v>01082682</v>
      </c>
    </row>
    <row r="27257" spans="1:2" x14ac:dyDescent="0.25">
      <c r="A27257" s="2">
        <v>27252</v>
      </c>
      <c r="B27257" s="3" t="str">
        <f>"01082683"</f>
        <v>01082683</v>
      </c>
    </row>
    <row r="27258" spans="1:2" x14ac:dyDescent="0.25">
      <c r="A27258" s="2">
        <v>27253</v>
      </c>
      <c r="B27258" s="3" t="str">
        <f>"01082687"</f>
        <v>01082687</v>
      </c>
    </row>
    <row r="27259" spans="1:2" x14ac:dyDescent="0.25">
      <c r="A27259" s="2">
        <v>27254</v>
      </c>
      <c r="B27259" s="3" t="str">
        <f>"01082690"</f>
        <v>01082690</v>
      </c>
    </row>
    <row r="27260" spans="1:2" x14ac:dyDescent="0.25">
      <c r="A27260" s="2">
        <v>27255</v>
      </c>
      <c r="B27260" s="3" t="str">
        <f>"01082700"</f>
        <v>01082700</v>
      </c>
    </row>
    <row r="27261" spans="1:2" x14ac:dyDescent="0.25">
      <c r="A27261" s="2">
        <v>27256</v>
      </c>
      <c r="B27261" s="3" t="str">
        <f>"01082709"</f>
        <v>01082709</v>
      </c>
    </row>
    <row r="27262" spans="1:2" x14ac:dyDescent="0.25">
      <c r="A27262" s="2">
        <v>27257</v>
      </c>
      <c r="B27262" s="3" t="str">
        <f>"01082712"</f>
        <v>01082712</v>
      </c>
    </row>
    <row r="27263" spans="1:2" x14ac:dyDescent="0.25">
      <c r="A27263" s="2">
        <v>27258</v>
      </c>
      <c r="B27263" s="3" t="str">
        <f>"01082719"</f>
        <v>01082719</v>
      </c>
    </row>
    <row r="27264" spans="1:2" x14ac:dyDescent="0.25">
      <c r="A27264" s="2">
        <v>27259</v>
      </c>
      <c r="B27264" s="3" t="str">
        <f>"01082720"</f>
        <v>01082720</v>
      </c>
    </row>
    <row r="27265" spans="1:2" x14ac:dyDescent="0.25">
      <c r="A27265" s="2">
        <v>27260</v>
      </c>
      <c r="B27265" s="3" t="str">
        <f>"01082725"</f>
        <v>01082725</v>
      </c>
    </row>
    <row r="27266" spans="1:2" x14ac:dyDescent="0.25">
      <c r="A27266" s="2">
        <v>27261</v>
      </c>
      <c r="B27266" s="3" t="str">
        <f>"01082742"</f>
        <v>01082742</v>
      </c>
    </row>
    <row r="27267" spans="1:2" x14ac:dyDescent="0.25">
      <c r="A27267" s="2">
        <v>27262</v>
      </c>
      <c r="B27267" s="3" t="str">
        <f>"01082745"</f>
        <v>01082745</v>
      </c>
    </row>
    <row r="27268" spans="1:2" x14ac:dyDescent="0.25">
      <c r="A27268" s="2">
        <v>27263</v>
      </c>
      <c r="B27268" s="3" t="str">
        <f>"01082761"</f>
        <v>01082761</v>
      </c>
    </row>
    <row r="27269" spans="1:2" x14ac:dyDescent="0.25">
      <c r="A27269" s="2">
        <v>27264</v>
      </c>
      <c r="B27269" s="3" t="str">
        <f>"01082766"</f>
        <v>01082766</v>
      </c>
    </row>
    <row r="27270" spans="1:2" x14ac:dyDescent="0.25">
      <c r="A27270" s="2">
        <v>27265</v>
      </c>
      <c r="B27270" s="3" t="str">
        <f>"01082773"</f>
        <v>01082773</v>
      </c>
    </row>
    <row r="27271" spans="1:2" x14ac:dyDescent="0.25">
      <c r="A27271" s="2">
        <v>27266</v>
      </c>
      <c r="B27271" s="3" t="str">
        <f>"01082774"</f>
        <v>01082774</v>
      </c>
    </row>
    <row r="27272" spans="1:2" x14ac:dyDescent="0.25">
      <c r="A27272" s="2">
        <v>27267</v>
      </c>
      <c r="B27272" s="3" t="str">
        <f>"01082788"</f>
        <v>01082788</v>
      </c>
    </row>
    <row r="27273" spans="1:2" x14ac:dyDescent="0.25">
      <c r="A27273" s="2">
        <v>27268</v>
      </c>
      <c r="B27273" s="3" t="str">
        <f>"01082792"</f>
        <v>01082792</v>
      </c>
    </row>
    <row r="27274" spans="1:2" x14ac:dyDescent="0.25">
      <c r="A27274" s="2">
        <v>27269</v>
      </c>
      <c r="B27274" s="3" t="str">
        <f>"01082808"</f>
        <v>01082808</v>
      </c>
    </row>
    <row r="27275" spans="1:2" x14ac:dyDescent="0.25">
      <c r="A27275" s="2">
        <v>27270</v>
      </c>
      <c r="B27275" s="3" t="str">
        <f>"01082815"</f>
        <v>01082815</v>
      </c>
    </row>
    <row r="27276" spans="1:2" x14ac:dyDescent="0.25">
      <c r="A27276" s="2">
        <v>27271</v>
      </c>
      <c r="B27276" s="3" t="str">
        <f>"01082819"</f>
        <v>01082819</v>
      </c>
    </row>
    <row r="27277" spans="1:2" x14ac:dyDescent="0.25">
      <c r="A27277" s="2">
        <v>27272</v>
      </c>
      <c r="B27277" s="3" t="str">
        <f>"01082823"</f>
        <v>01082823</v>
      </c>
    </row>
    <row r="27278" spans="1:2" x14ac:dyDescent="0.25">
      <c r="A27278" s="2">
        <v>27273</v>
      </c>
      <c r="B27278" s="3" t="str">
        <f>"01082827"</f>
        <v>01082827</v>
      </c>
    </row>
    <row r="27279" spans="1:2" x14ac:dyDescent="0.25">
      <c r="A27279" s="2">
        <v>27274</v>
      </c>
      <c r="B27279" s="3" t="str">
        <f>"01082828"</f>
        <v>01082828</v>
      </c>
    </row>
    <row r="27280" spans="1:2" x14ac:dyDescent="0.25">
      <c r="A27280" s="2">
        <v>27275</v>
      </c>
      <c r="B27280" s="3" t="str">
        <f>"01082829"</f>
        <v>01082829</v>
      </c>
    </row>
    <row r="27281" spans="1:2" x14ac:dyDescent="0.25">
      <c r="A27281" s="2">
        <v>27276</v>
      </c>
      <c r="B27281" s="3" t="str">
        <f>"01082847"</f>
        <v>01082847</v>
      </c>
    </row>
    <row r="27282" spans="1:2" x14ac:dyDescent="0.25">
      <c r="A27282" s="2">
        <v>27277</v>
      </c>
      <c r="B27282" s="3" t="str">
        <f>"01082848"</f>
        <v>01082848</v>
      </c>
    </row>
    <row r="27283" spans="1:2" x14ac:dyDescent="0.25">
      <c r="A27283" s="2">
        <v>27278</v>
      </c>
      <c r="B27283" s="3" t="str">
        <f>"01082850"</f>
        <v>01082850</v>
      </c>
    </row>
    <row r="27284" spans="1:2" x14ac:dyDescent="0.25">
      <c r="A27284" s="2">
        <v>27279</v>
      </c>
      <c r="B27284" s="3" t="str">
        <f>"01082856"</f>
        <v>01082856</v>
      </c>
    </row>
    <row r="27285" spans="1:2" x14ac:dyDescent="0.25">
      <c r="A27285" s="2">
        <v>27280</v>
      </c>
      <c r="B27285" s="3" t="str">
        <f>"01082857"</f>
        <v>01082857</v>
      </c>
    </row>
    <row r="27286" spans="1:2" x14ac:dyDescent="0.25">
      <c r="A27286" s="2">
        <v>27281</v>
      </c>
      <c r="B27286" s="3" t="str">
        <f>"01082860"</f>
        <v>01082860</v>
      </c>
    </row>
    <row r="27287" spans="1:2" x14ac:dyDescent="0.25">
      <c r="A27287" s="2">
        <v>27282</v>
      </c>
      <c r="B27287" s="3" t="str">
        <f>"01082861"</f>
        <v>01082861</v>
      </c>
    </row>
    <row r="27288" spans="1:2" x14ac:dyDescent="0.25">
      <c r="A27288" s="2">
        <v>27283</v>
      </c>
      <c r="B27288" s="3" t="str">
        <f>"01082863"</f>
        <v>01082863</v>
      </c>
    </row>
    <row r="27289" spans="1:2" x14ac:dyDescent="0.25">
      <c r="A27289" s="2">
        <v>27284</v>
      </c>
      <c r="B27289" s="3" t="str">
        <f>"01082866"</f>
        <v>01082866</v>
      </c>
    </row>
    <row r="27290" spans="1:2" x14ac:dyDescent="0.25">
      <c r="A27290" s="2">
        <v>27285</v>
      </c>
      <c r="B27290" s="3" t="str">
        <f>"01082868"</f>
        <v>01082868</v>
      </c>
    </row>
    <row r="27291" spans="1:2" x14ac:dyDescent="0.25">
      <c r="A27291" s="2">
        <v>27286</v>
      </c>
      <c r="B27291" s="3" t="str">
        <f>"01082899"</f>
        <v>01082899</v>
      </c>
    </row>
    <row r="27292" spans="1:2" x14ac:dyDescent="0.25">
      <c r="A27292" s="2">
        <v>27287</v>
      </c>
      <c r="B27292" s="3" t="str">
        <f>"01082905"</f>
        <v>01082905</v>
      </c>
    </row>
    <row r="27293" spans="1:2" x14ac:dyDescent="0.25">
      <c r="A27293" s="2">
        <v>27288</v>
      </c>
      <c r="B27293" s="3" t="str">
        <f>"01082910"</f>
        <v>01082910</v>
      </c>
    </row>
    <row r="27294" spans="1:2" x14ac:dyDescent="0.25">
      <c r="A27294" s="2">
        <v>27289</v>
      </c>
      <c r="B27294" s="3" t="str">
        <f>"01082913"</f>
        <v>01082913</v>
      </c>
    </row>
    <row r="27295" spans="1:2" x14ac:dyDescent="0.25">
      <c r="A27295" s="2">
        <v>27290</v>
      </c>
      <c r="B27295" s="3" t="str">
        <f>"01082914"</f>
        <v>01082914</v>
      </c>
    </row>
    <row r="27296" spans="1:2" x14ac:dyDescent="0.25">
      <c r="A27296" s="2">
        <v>27291</v>
      </c>
      <c r="B27296" s="3" t="str">
        <f>"01082915"</f>
        <v>01082915</v>
      </c>
    </row>
    <row r="27297" spans="1:2" x14ac:dyDescent="0.25">
      <c r="A27297" s="2">
        <v>27292</v>
      </c>
      <c r="B27297" s="3" t="str">
        <f>"01082916"</f>
        <v>01082916</v>
      </c>
    </row>
    <row r="27298" spans="1:2" x14ac:dyDescent="0.25">
      <c r="A27298" s="2">
        <v>27293</v>
      </c>
      <c r="B27298" s="3" t="str">
        <f>"01082921"</f>
        <v>01082921</v>
      </c>
    </row>
    <row r="27299" spans="1:2" x14ac:dyDescent="0.25">
      <c r="A27299" s="2">
        <v>27294</v>
      </c>
      <c r="B27299" s="3" t="str">
        <f>"01082933"</f>
        <v>01082933</v>
      </c>
    </row>
    <row r="27300" spans="1:2" x14ac:dyDescent="0.25">
      <c r="A27300" s="2">
        <v>27295</v>
      </c>
      <c r="B27300" s="3" t="str">
        <f>"01082936"</f>
        <v>01082936</v>
      </c>
    </row>
    <row r="27301" spans="1:2" x14ac:dyDescent="0.25">
      <c r="A27301" s="2">
        <v>27296</v>
      </c>
      <c r="B27301" s="3" t="str">
        <f>"01082937"</f>
        <v>01082937</v>
      </c>
    </row>
    <row r="27302" spans="1:2" x14ac:dyDescent="0.25">
      <c r="A27302" s="2">
        <v>27297</v>
      </c>
      <c r="B27302" s="3" t="str">
        <f>"01082938"</f>
        <v>01082938</v>
      </c>
    </row>
    <row r="27303" spans="1:2" x14ac:dyDescent="0.25">
      <c r="A27303" s="2">
        <v>27298</v>
      </c>
      <c r="B27303" s="3" t="str">
        <f>"01082943"</f>
        <v>01082943</v>
      </c>
    </row>
    <row r="27304" spans="1:2" x14ac:dyDescent="0.25">
      <c r="A27304" s="2">
        <v>27299</v>
      </c>
      <c r="B27304" s="3" t="str">
        <f>"01082944"</f>
        <v>01082944</v>
      </c>
    </row>
    <row r="27305" spans="1:2" x14ac:dyDescent="0.25">
      <c r="A27305" s="2">
        <v>27300</v>
      </c>
      <c r="B27305" s="3" t="str">
        <f>"01082947"</f>
        <v>01082947</v>
      </c>
    </row>
    <row r="27306" spans="1:2" x14ac:dyDescent="0.25">
      <c r="A27306" s="2">
        <v>27301</v>
      </c>
      <c r="B27306" s="3" t="str">
        <f>"01082950"</f>
        <v>01082950</v>
      </c>
    </row>
    <row r="27307" spans="1:2" x14ac:dyDescent="0.25">
      <c r="A27307" s="2">
        <v>27302</v>
      </c>
      <c r="B27307" s="3" t="str">
        <f>"01082954"</f>
        <v>01082954</v>
      </c>
    </row>
    <row r="27308" spans="1:2" x14ac:dyDescent="0.25">
      <c r="A27308" s="2">
        <v>27303</v>
      </c>
      <c r="B27308" s="3" t="str">
        <f>"01082958"</f>
        <v>01082958</v>
      </c>
    </row>
    <row r="27309" spans="1:2" x14ac:dyDescent="0.25">
      <c r="A27309" s="2">
        <v>27304</v>
      </c>
      <c r="B27309" s="3" t="str">
        <f>"01082961"</f>
        <v>01082961</v>
      </c>
    </row>
    <row r="27310" spans="1:2" x14ac:dyDescent="0.25">
      <c r="A27310" s="2">
        <v>27305</v>
      </c>
      <c r="B27310" s="3" t="str">
        <f>"01082966"</f>
        <v>01082966</v>
      </c>
    </row>
    <row r="27311" spans="1:2" x14ac:dyDescent="0.25">
      <c r="A27311" s="2">
        <v>27306</v>
      </c>
      <c r="B27311" s="3" t="str">
        <f>"01082968"</f>
        <v>01082968</v>
      </c>
    </row>
    <row r="27312" spans="1:2" x14ac:dyDescent="0.25">
      <c r="A27312" s="2">
        <v>27307</v>
      </c>
      <c r="B27312" s="3" t="str">
        <f>"01082969"</f>
        <v>01082969</v>
      </c>
    </row>
    <row r="27313" spans="1:2" x14ac:dyDescent="0.25">
      <c r="A27313" s="2">
        <v>27308</v>
      </c>
      <c r="B27313" s="3" t="str">
        <f>"01082981"</f>
        <v>01082981</v>
      </c>
    </row>
    <row r="27314" spans="1:2" x14ac:dyDescent="0.25">
      <c r="A27314" s="2">
        <v>27309</v>
      </c>
      <c r="B27314" s="3" t="str">
        <f>"01082988"</f>
        <v>01082988</v>
      </c>
    </row>
    <row r="27315" spans="1:2" x14ac:dyDescent="0.25">
      <c r="A27315" s="2">
        <v>27310</v>
      </c>
      <c r="B27315" s="3" t="str">
        <f>"01083000"</f>
        <v>01083000</v>
      </c>
    </row>
    <row r="27316" spans="1:2" x14ac:dyDescent="0.25">
      <c r="A27316" s="2">
        <v>27311</v>
      </c>
      <c r="B27316" s="3" t="str">
        <f>"01083003"</f>
        <v>01083003</v>
      </c>
    </row>
    <row r="27317" spans="1:2" x14ac:dyDescent="0.25">
      <c r="A27317" s="2">
        <v>27312</v>
      </c>
      <c r="B27317" s="3" t="str">
        <f>"01083004"</f>
        <v>01083004</v>
      </c>
    </row>
    <row r="27318" spans="1:2" x14ac:dyDescent="0.25">
      <c r="A27318" s="2">
        <v>27313</v>
      </c>
      <c r="B27318" s="3" t="str">
        <f>"01083008"</f>
        <v>01083008</v>
      </c>
    </row>
    <row r="27319" spans="1:2" x14ac:dyDescent="0.25">
      <c r="A27319" s="2">
        <v>27314</v>
      </c>
      <c r="B27319" s="3" t="str">
        <f>"01083015"</f>
        <v>01083015</v>
      </c>
    </row>
    <row r="27320" spans="1:2" x14ac:dyDescent="0.25">
      <c r="A27320" s="2">
        <v>27315</v>
      </c>
      <c r="B27320" s="3" t="str">
        <f>"01083020"</f>
        <v>01083020</v>
      </c>
    </row>
    <row r="27321" spans="1:2" x14ac:dyDescent="0.25">
      <c r="A27321" s="2">
        <v>27316</v>
      </c>
      <c r="B27321" s="3" t="str">
        <f>"01083030"</f>
        <v>01083030</v>
      </c>
    </row>
    <row r="27322" spans="1:2" x14ac:dyDescent="0.25">
      <c r="A27322" s="2">
        <v>27317</v>
      </c>
      <c r="B27322" s="3" t="str">
        <f>"01083031"</f>
        <v>01083031</v>
      </c>
    </row>
    <row r="27323" spans="1:2" x14ac:dyDescent="0.25">
      <c r="A27323" s="2">
        <v>27318</v>
      </c>
      <c r="B27323" s="3" t="str">
        <f>"01083038"</f>
        <v>01083038</v>
      </c>
    </row>
    <row r="27324" spans="1:2" x14ac:dyDescent="0.25">
      <c r="A27324" s="2">
        <v>27319</v>
      </c>
      <c r="B27324" s="3" t="str">
        <f>"01083039"</f>
        <v>01083039</v>
      </c>
    </row>
    <row r="27325" spans="1:2" x14ac:dyDescent="0.25">
      <c r="A27325" s="2">
        <v>27320</v>
      </c>
      <c r="B27325" s="3" t="str">
        <f>"01083041"</f>
        <v>01083041</v>
      </c>
    </row>
    <row r="27326" spans="1:2" x14ac:dyDescent="0.25">
      <c r="A27326" s="2">
        <v>27321</v>
      </c>
      <c r="B27326" s="3" t="str">
        <f>"01083049"</f>
        <v>01083049</v>
      </c>
    </row>
    <row r="27327" spans="1:2" x14ac:dyDescent="0.25">
      <c r="A27327" s="2">
        <v>27322</v>
      </c>
      <c r="B27327" s="3" t="str">
        <f>"01083052"</f>
        <v>01083052</v>
      </c>
    </row>
    <row r="27328" spans="1:2" x14ac:dyDescent="0.25">
      <c r="A27328" s="2">
        <v>27323</v>
      </c>
      <c r="B27328" s="3" t="str">
        <f>"01083056"</f>
        <v>01083056</v>
      </c>
    </row>
    <row r="27329" spans="1:2" x14ac:dyDescent="0.25">
      <c r="A27329" s="2">
        <v>27324</v>
      </c>
      <c r="B27329" s="3" t="str">
        <f>"01083058"</f>
        <v>01083058</v>
      </c>
    </row>
    <row r="27330" spans="1:2" x14ac:dyDescent="0.25">
      <c r="A27330" s="2">
        <v>27325</v>
      </c>
      <c r="B27330" s="3" t="str">
        <f>"01083059"</f>
        <v>01083059</v>
      </c>
    </row>
    <row r="27331" spans="1:2" x14ac:dyDescent="0.25">
      <c r="A27331" s="2">
        <v>27326</v>
      </c>
      <c r="B27331" s="3" t="str">
        <f>"01083060"</f>
        <v>01083060</v>
      </c>
    </row>
    <row r="27332" spans="1:2" x14ac:dyDescent="0.25">
      <c r="A27332" s="2">
        <v>27327</v>
      </c>
      <c r="B27332" s="3" t="str">
        <f>"01083062"</f>
        <v>01083062</v>
      </c>
    </row>
    <row r="27333" spans="1:2" x14ac:dyDescent="0.25">
      <c r="A27333" s="2">
        <v>27328</v>
      </c>
      <c r="B27333" s="3" t="str">
        <f>"01083063"</f>
        <v>01083063</v>
      </c>
    </row>
    <row r="27334" spans="1:2" x14ac:dyDescent="0.25">
      <c r="A27334" s="2">
        <v>27329</v>
      </c>
      <c r="B27334" s="3" t="str">
        <f>"01083067"</f>
        <v>01083067</v>
      </c>
    </row>
    <row r="27335" spans="1:2" x14ac:dyDescent="0.25">
      <c r="A27335" s="2">
        <v>27330</v>
      </c>
      <c r="B27335" s="3" t="str">
        <f>"01083072"</f>
        <v>01083072</v>
      </c>
    </row>
    <row r="27336" spans="1:2" x14ac:dyDescent="0.25">
      <c r="A27336" s="2">
        <v>27331</v>
      </c>
      <c r="B27336" s="3" t="str">
        <f>"01083073"</f>
        <v>01083073</v>
      </c>
    </row>
    <row r="27337" spans="1:2" x14ac:dyDescent="0.25">
      <c r="A27337" s="2">
        <v>27332</v>
      </c>
      <c r="B27337" s="3" t="str">
        <f>"01083083"</f>
        <v>01083083</v>
      </c>
    </row>
    <row r="27338" spans="1:2" x14ac:dyDescent="0.25">
      <c r="A27338" s="2">
        <v>27333</v>
      </c>
      <c r="B27338" s="3" t="str">
        <f>"01083084"</f>
        <v>01083084</v>
      </c>
    </row>
    <row r="27339" spans="1:2" x14ac:dyDescent="0.25">
      <c r="A27339" s="2">
        <v>27334</v>
      </c>
      <c r="B27339" s="3" t="str">
        <f>"01083086"</f>
        <v>01083086</v>
      </c>
    </row>
    <row r="27340" spans="1:2" x14ac:dyDescent="0.25">
      <c r="A27340" s="2">
        <v>27335</v>
      </c>
      <c r="B27340" s="3" t="str">
        <f>"01083088"</f>
        <v>01083088</v>
      </c>
    </row>
    <row r="27341" spans="1:2" x14ac:dyDescent="0.25">
      <c r="A27341" s="2">
        <v>27336</v>
      </c>
      <c r="B27341" s="3" t="str">
        <f>"01083099"</f>
        <v>01083099</v>
      </c>
    </row>
    <row r="27342" spans="1:2" x14ac:dyDescent="0.25">
      <c r="A27342" s="2">
        <v>27337</v>
      </c>
      <c r="B27342" s="3" t="str">
        <f>"01083101"</f>
        <v>01083101</v>
      </c>
    </row>
    <row r="27343" spans="1:2" x14ac:dyDescent="0.25">
      <c r="A27343" s="2">
        <v>27338</v>
      </c>
      <c r="B27343" s="3" t="str">
        <f>"01083106"</f>
        <v>01083106</v>
      </c>
    </row>
    <row r="27344" spans="1:2" x14ac:dyDescent="0.25">
      <c r="A27344" s="2">
        <v>27339</v>
      </c>
      <c r="B27344" s="3" t="str">
        <f>"01083111"</f>
        <v>01083111</v>
      </c>
    </row>
    <row r="27345" spans="1:2" x14ac:dyDescent="0.25">
      <c r="A27345" s="2">
        <v>27340</v>
      </c>
      <c r="B27345" s="3" t="str">
        <f>"01083117"</f>
        <v>01083117</v>
      </c>
    </row>
    <row r="27346" spans="1:2" x14ac:dyDescent="0.25">
      <c r="A27346" s="2">
        <v>27341</v>
      </c>
      <c r="B27346" s="3" t="str">
        <f>"01083120"</f>
        <v>01083120</v>
      </c>
    </row>
    <row r="27347" spans="1:2" x14ac:dyDescent="0.25">
      <c r="A27347" s="2">
        <v>27342</v>
      </c>
      <c r="B27347" s="3" t="str">
        <f>"01083123"</f>
        <v>01083123</v>
      </c>
    </row>
    <row r="27348" spans="1:2" x14ac:dyDescent="0.25">
      <c r="A27348" s="2">
        <v>27343</v>
      </c>
      <c r="B27348" s="3" t="str">
        <f>"01083133"</f>
        <v>01083133</v>
      </c>
    </row>
    <row r="27349" spans="1:2" x14ac:dyDescent="0.25">
      <c r="A27349" s="2">
        <v>27344</v>
      </c>
      <c r="B27349" s="3" t="str">
        <f>"01083135"</f>
        <v>01083135</v>
      </c>
    </row>
    <row r="27350" spans="1:2" x14ac:dyDescent="0.25">
      <c r="A27350" s="2">
        <v>27345</v>
      </c>
      <c r="B27350" s="3" t="str">
        <f>"01083136"</f>
        <v>01083136</v>
      </c>
    </row>
    <row r="27351" spans="1:2" x14ac:dyDescent="0.25">
      <c r="A27351" s="2">
        <v>27346</v>
      </c>
      <c r="B27351" s="3" t="str">
        <f>"01083141"</f>
        <v>01083141</v>
      </c>
    </row>
    <row r="27352" spans="1:2" x14ac:dyDescent="0.25">
      <c r="A27352" s="2">
        <v>27347</v>
      </c>
      <c r="B27352" s="3" t="str">
        <f>"01083146"</f>
        <v>01083146</v>
      </c>
    </row>
    <row r="27353" spans="1:2" x14ac:dyDescent="0.25">
      <c r="A27353" s="2">
        <v>27348</v>
      </c>
      <c r="B27353" s="3" t="str">
        <f>"01083148"</f>
        <v>01083148</v>
      </c>
    </row>
    <row r="27354" spans="1:2" x14ac:dyDescent="0.25">
      <c r="A27354" s="2">
        <v>27349</v>
      </c>
      <c r="B27354" s="3" t="str">
        <f>"01083159"</f>
        <v>01083159</v>
      </c>
    </row>
    <row r="27355" spans="1:2" x14ac:dyDescent="0.25">
      <c r="A27355" s="2">
        <v>27350</v>
      </c>
      <c r="B27355" s="3" t="str">
        <f>"01083161"</f>
        <v>01083161</v>
      </c>
    </row>
    <row r="27356" spans="1:2" x14ac:dyDescent="0.25">
      <c r="A27356" s="2">
        <v>27351</v>
      </c>
      <c r="B27356" s="3" t="str">
        <f>"01083168"</f>
        <v>01083168</v>
      </c>
    </row>
    <row r="27357" spans="1:2" x14ac:dyDescent="0.25">
      <c r="A27357" s="2">
        <v>27352</v>
      </c>
      <c r="B27357" s="3" t="str">
        <f>"01083173"</f>
        <v>01083173</v>
      </c>
    </row>
    <row r="27358" spans="1:2" x14ac:dyDescent="0.25">
      <c r="A27358" s="2">
        <v>27353</v>
      </c>
      <c r="B27358" s="3" t="str">
        <f>"01083174"</f>
        <v>01083174</v>
      </c>
    </row>
    <row r="27359" spans="1:2" x14ac:dyDescent="0.25">
      <c r="A27359" s="2">
        <v>27354</v>
      </c>
      <c r="B27359" s="3" t="str">
        <f>"01083181"</f>
        <v>01083181</v>
      </c>
    </row>
    <row r="27360" spans="1:2" x14ac:dyDescent="0.25">
      <c r="A27360" s="2">
        <v>27355</v>
      </c>
      <c r="B27360" s="3" t="str">
        <f>"01083184"</f>
        <v>01083184</v>
      </c>
    </row>
    <row r="27361" spans="1:2" x14ac:dyDescent="0.25">
      <c r="A27361" s="2">
        <v>27356</v>
      </c>
      <c r="B27361" s="3" t="str">
        <f>"01083188"</f>
        <v>01083188</v>
      </c>
    </row>
    <row r="27362" spans="1:2" x14ac:dyDescent="0.25">
      <c r="A27362" s="2">
        <v>27357</v>
      </c>
      <c r="B27362" s="3" t="str">
        <f>"01083190"</f>
        <v>01083190</v>
      </c>
    </row>
    <row r="27363" spans="1:2" x14ac:dyDescent="0.25">
      <c r="A27363" s="2">
        <v>27358</v>
      </c>
      <c r="B27363" s="3" t="str">
        <f>"01083193"</f>
        <v>01083193</v>
      </c>
    </row>
    <row r="27364" spans="1:2" x14ac:dyDescent="0.25">
      <c r="A27364" s="2">
        <v>27359</v>
      </c>
      <c r="B27364" s="3" t="str">
        <f>"01083199"</f>
        <v>01083199</v>
      </c>
    </row>
    <row r="27365" spans="1:2" x14ac:dyDescent="0.25">
      <c r="A27365" s="2">
        <v>27360</v>
      </c>
      <c r="B27365" s="3" t="str">
        <f>"01083201"</f>
        <v>01083201</v>
      </c>
    </row>
    <row r="27366" spans="1:2" x14ac:dyDescent="0.25">
      <c r="A27366" s="2">
        <v>27361</v>
      </c>
      <c r="B27366" s="3" t="str">
        <f>"01083202"</f>
        <v>01083202</v>
      </c>
    </row>
    <row r="27367" spans="1:2" x14ac:dyDescent="0.25">
      <c r="A27367" s="2">
        <v>27362</v>
      </c>
      <c r="B27367" s="3" t="str">
        <f>"01083210"</f>
        <v>01083210</v>
      </c>
    </row>
    <row r="27368" spans="1:2" x14ac:dyDescent="0.25">
      <c r="A27368" s="2">
        <v>27363</v>
      </c>
      <c r="B27368" s="3" t="str">
        <f>"01083223"</f>
        <v>01083223</v>
      </c>
    </row>
    <row r="27369" spans="1:2" x14ac:dyDescent="0.25">
      <c r="A27369" s="2">
        <v>27364</v>
      </c>
      <c r="B27369" s="3" t="str">
        <f>"01083231"</f>
        <v>01083231</v>
      </c>
    </row>
    <row r="27370" spans="1:2" x14ac:dyDescent="0.25">
      <c r="A27370" s="2">
        <v>27365</v>
      </c>
      <c r="B27370" s="3" t="str">
        <f>"01083235"</f>
        <v>01083235</v>
      </c>
    </row>
    <row r="27371" spans="1:2" x14ac:dyDescent="0.25">
      <c r="A27371" s="2">
        <v>27366</v>
      </c>
      <c r="B27371" s="3" t="str">
        <f>"01083242"</f>
        <v>01083242</v>
      </c>
    </row>
    <row r="27372" spans="1:2" x14ac:dyDescent="0.25">
      <c r="A27372" s="2">
        <v>27367</v>
      </c>
      <c r="B27372" s="3" t="str">
        <f>"01083244"</f>
        <v>01083244</v>
      </c>
    </row>
    <row r="27373" spans="1:2" x14ac:dyDescent="0.25">
      <c r="A27373" s="2">
        <v>27368</v>
      </c>
      <c r="B27373" s="3" t="str">
        <f>"01083252"</f>
        <v>01083252</v>
      </c>
    </row>
    <row r="27374" spans="1:2" x14ac:dyDescent="0.25">
      <c r="A27374" s="2">
        <v>27369</v>
      </c>
      <c r="B27374" s="3" t="str">
        <f>"01083255"</f>
        <v>01083255</v>
      </c>
    </row>
    <row r="27375" spans="1:2" x14ac:dyDescent="0.25">
      <c r="A27375" s="2">
        <v>27370</v>
      </c>
      <c r="B27375" s="3" t="str">
        <f>"01083260"</f>
        <v>01083260</v>
      </c>
    </row>
    <row r="27376" spans="1:2" x14ac:dyDescent="0.25">
      <c r="A27376" s="2">
        <v>27371</v>
      </c>
      <c r="B27376" s="3" t="str">
        <f>"01083261"</f>
        <v>01083261</v>
      </c>
    </row>
    <row r="27377" spans="1:2" x14ac:dyDescent="0.25">
      <c r="A27377" s="2">
        <v>27372</v>
      </c>
      <c r="B27377" s="3" t="str">
        <f>"01083265"</f>
        <v>01083265</v>
      </c>
    </row>
    <row r="27378" spans="1:2" x14ac:dyDescent="0.25">
      <c r="A27378" s="2">
        <v>27373</v>
      </c>
      <c r="B27378" s="3" t="str">
        <f>"01083279"</f>
        <v>01083279</v>
      </c>
    </row>
    <row r="27379" spans="1:2" x14ac:dyDescent="0.25">
      <c r="A27379" s="2">
        <v>27374</v>
      </c>
      <c r="B27379" s="3" t="str">
        <f>"01083281"</f>
        <v>01083281</v>
      </c>
    </row>
    <row r="27380" spans="1:2" x14ac:dyDescent="0.25">
      <c r="A27380" s="2">
        <v>27375</v>
      </c>
      <c r="B27380" s="3" t="str">
        <f>"01083288"</f>
        <v>01083288</v>
      </c>
    </row>
    <row r="27381" spans="1:2" x14ac:dyDescent="0.25">
      <c r="A27381" s="2">
        <v>27376</v>
      </c>
      <c r="B27381" s="3" t="str">
        <f>"01083303"</f>
        <v>01083303</v>
      </c>
    </row>
    <row r="27382" spans="1:2" x14ac:dyDescent="0.25">
      <c r="A27382" s="2">
        <v>27377</v>
      </c>
      <c r="B27382" s="3" t="str">
        <f>"01083311"</f>
        <v>01083311</v>
      </c>
    </row>
    <row r="27383" spans="1:2" x14ac:dyDescent="0.25">
      <c r="A27383" s="2">
        <v>27378</v>
      </c>
      <c r="B27383" s="3" t="str">
        <f>"01083312"</f>
        <v>01083312</v>
      </c>
    </row>
    <row r="27384" spans="1:2" x14ac:dyDescent="0.25">
      <c r="A27384" s="2">
        <v>27379</v>
      </c>
      <c r="B27384" s="3" t="str">
        <f>"01083315"</f>
        <v>01083315</v>
      </c>
    </row>
    <row r="27385" spans="1:2" x14ac:dyDescent="0.25">
      <c r="A27385" s="2">
        <v>27380</v>
      </c>
      <c r="B27385" s="3" t="str">
        <f>"01083318"</f>
        <v>01083318</v>
      </c>
    </row>
    <row r="27386" spans="1:2" x14ac:dyDescent="0.25">
      <c r="A27386" s="2">
        <v>27381</v>
      </c>
      <c r="B27386" s="3" t="str">
        <f>"01083325"</f>
        <v>01083325</v>
      </c>
    </row>
    <row r="27387" spans="1:2" x14ac:dyDescent="0.25">
      <c r="A27387" s="2">
        <v>27382</v>
      </c>
      <c r="B27387" s="3" t="str">
        <f>"01083327"</f>
        <v>01083327</v>
      </c>
    </row>
    <row r="27388" spans="1:2" x14ac:dyDescent="0.25">
      <c r="A27388" s="2">
        <v>27383</v>
      </c>
      <c r="B27388" s="3" t="str">
        <f>"01083337"</f>
        <v>01083337</v>
      </c>
    </row>
    <row r="27389" spans="1:2" x14ac:dyDescent="0.25">
      <c r="A27389" s="2">
        <v>27384</v>
      </c>
      <c r="B27389" s="3" t="str">
        <f>"01083342"</f>
        <v>01083342</v>
      </c>
    </row>
    <row r="27390" spans="1:2" x14ac:dyDescent="0.25">
      <c r="A27390" s="2">
        <v>27385</v>
      </c>
      <c r="B27390" s="3" t="str">
        <f>"01083344"</f>
        <v>01083344</v>
      </c>
    </row>
    <row r="27391" spans="1:2" x14ac:dyDescent="0.25">
      <c r="A27391" s="2">
        <v>27386</v>
      </c>
      <c r="B27391" s="3" t="str">
        <f>"01083346"</f>
        <v>01083346</v>
      </c>
    </row>
    <row r="27392" spans="1:2" x14ac:dyDescent="0.25">
      <c r="A27392" s="2">
        <v>27387</v>
      </c>
      <c r="B27392" s="3" t="str">
        <f>"01083351"</f>
        <v>01083351</v>
      </c>
    </row>
    <row r="27393" spans="1:2" x14ac:dyDescent="0.25">
      <c r="A27393" s="2">
        <v>27388</v>
      </c>
      <c r="B27393" s="3" t="str">
        <f>"01083361"</f>
        <v>01083361</v>
      </c>
    </row>
    <row r="27394" spans="1:2" x14ac:dyDescent="0.25">
      <c r="A27394" s="2">
        <v>27389</v>
      </c>
      <c r="B27394" s="3" t="str">
        <f>"01083365"</f>
        <v>01083365</v>
      </c>
    </row>
    <row r="27395" spans="1:2" x14ac:dyDescent="0.25">
      <c r="A27395" s="2">
        <v>27390</v>
      </c>
      <c r="B27395" s="3" t="str">
        <f>"01083370"</f>
        <v>01083370</v>
      </c>
    </row>
    <row r="27396" spans="1:2" x14ac:dyDescent="0.25">
      <c r="A27396" s="2">
        <v>27391</v>
      </c>
      <c r="B27396" s="3" t="str">
        <f>"01083376"</f>
        <v>01083376</v>
      </c>
    </row>
    <row r="27397" spans="1:2" x14ac:dyDescent="0.25">
      <c r="A27397" s="2">
        <v>27392</v>
      </c>
      <c r="B27397" s="3" t="str">
        <f>"01083377"</f>
        <v>01083377</v>
      </c>
    </row>
    <row r="27398" spans="1:2" x14ac:dyDescent="0.25">
      <c r="A27398" s="2">
        <v>27393</v>
      </c>
      <c r="B27398" s="3" t="str">
        <f>"01083381"</f>
        <v>01083381</v>
      </c>
    </row>
    <row r="27399" spans="1:2" x14ac:dyDescent="0.25">
      <c r="A27399" s="2">
        <v>27394</v>
      </c>
      <c r="B27399" s="3" t="str">
        <f>"01083382"</f>
        <v>01083382</v>
      </c>
    </row>
    <row r="27400" spans="1:2" x14ac:dyDescent="0.25">
      <c r="A27400" s="2">
        <v>27395</v>
      </c>
      <c r="B27400" s="3" t="str">
        <f>"01083383"</f>
        <v>01083383</v>
      </c>
    </row>
    <row r="27401" spans="1:2" x14ac:dyDescent="0.25">
      <c r="A27401" s="2">
        <v>27396</v>
      </c>
      <c r="B27401" s="3" t="str">
        <f>"01083386"</f>
        <v>01083386</v>
      </c>
    </row>
    <row r="27402" spans="1:2" x14ac:dyDescent="0.25">
      <c r="A27402" s="2">
        <v>27397</v>
      </c>
      <c r="B27402" s="3" t="str">
        <f>"01083401"</f>
        <v>01083401</v>
      </c>
    </row>
    <row r="27403" spans="1:2" x14ac:dyDescent="0.25">
      <c r="A27403" s="2">
        <v>27398</v>
      </c>
      <c r="B27403" s="3" t="str">
        <f>"01083414"</f>
        <v>01083414</v>
      </c>
    </row>
    <row r="27404" spans="1:2" x14ac:dyDescent="0.25">
      <c r="A27404" s="2">
        <v>27399</v>
      </c>
      <c r="B27404" s="3" t="str">
        <f>"01083418"</f>
        <v>01083418</v>
      </c>
    </row>
    <row r="27405" spans="1:2" x14ac:dyDescent="0.25">
      <c r="A27405" s="2">
        <v>27400</v>
      </c>
      <c r="B27405" s="3" t="str">
        <f>"01083424"</f>
        <v>01083424</v>
      </c>
    </row>
    <row r="27406" spans="1:2" x14ac:dyDescent="0.25">
      <c r="A27406" s="2">
        <v>27401</v>
      </c>
      <c r="B27406" s="3" t="str">
        <f>"01083429"</f>
        <v>01083429</v>
      </c>
    </row>
    <row r="27407" spans="1:2" x14ac:dyDescent="0.25">
      <c r="A27407" s="2">
        <v>27402</v>
      </c>
      <c r="B27407" s="3" t="str">
        <f>"01083433"</f>
        <v>01083433</v>
      </c>
    </row>
    <row r="27408" spans="1:2" x14ac:dyDescent="0.25">
      <c r="A27408" s="2">
        <v>27403</v>
      </c>
      <c r="B27408" s="3" t="str">
        <f>"01083441"</f>
        <v>01083441</v>
      </c>
    </row>
    <row r="27409" spans="1:2" x14ac:dyDescent="0.25">
      <c r="A27409" s="2">
        <v>27404</v>
      </c>
      <c r="B27409" s="3" t="str">
        <f>"01083443"</f>
        <v>01083443</v>
      </c>
    </row>
    <row r="27410" spans="1:2" x14ac:dyDescent="0.25">
      <c r="A27410" s="2">
        <v>27405</v>
      </c>
      <c r="B27410" s="3" t="str">
        <f>"01083449"</f>
        <v>01083449</v>
      </c>
    </row>
    <row r="27411" spans="1:2" x14ac:dyDescent="0.25">
      <c r="A27411" s="2">
        <v>27406</v>
      </c>
      <c r="B27411" s="3" t="str">
        <f>"01083466"</f>
        <v>01083466</v>
      </c>
    </row>
    <row r="27412" spans="1:2" x14ac:dyDescent="0.25">
      <c r="A27412" s="2">
        <v>27407</v>
      </c>
      <c r="B27412" s="3" t="str">
        <f>"01083467"</f>
        <v>01083467</v>
      </c>
    </row>
    <row r="27413" spans="1:2" x14ac:dyDescent="0.25">
      <c r="A27413" s="2">
        <v>27408</v>
      </c>
      <c r="B27413" s="3" t="str">
        <f>"01083469"</f>
        <v>01083469</v>
      </c>
    </row>
    <row r="27414" spans="1:2" x14ac:dyDescent="0.25">
      <c r="A27414" s="2">
        <v>27409</v>
      </c>
      <c r="B27414" s="3" t="str">
        <f>"01083473"</f>
        <v>01083473</v>
      </c>
    </row>
    <row r="27415" spans="1:2" x14ac:dyDescent="0.25">
      <c r="A27415" s="2">
        <v>27410</v>
      </c>
      <c r="B27415" s="3" t="str">
        <f>"01083474"</f>
        <v>01083474</v>
      </c>
    </row>
    <row r="27416" spans="1:2" x14ac:dyDescent="0.25">
      <c r="A27416" s="2">
        <v>27411</v>
      </c>
      <c r="B27416" s="3" t="str">
        <f>"01083483"</f>
        <v>01083483</v>
      </c>
    </row>
    <row r="27417" spans="1:2" x14ac:dyDescent="0.25">
      <c r="A27417" s="2">
        <v>27412</v>
      </c>
      <c r="B27417" s="3" t="str">
        <f>"01083485"</f>
        <v>01083485</v>
      </c>
    </row>
    <row r="27418" spans="1:2" x14ac:dyDescent="0.25">
      <c r="A27418" s="2">
        <v>27413</v>
      </c>
      <c r="B27418" s="3" t="str">
        <f>"01083499"</f>
        <v>01083499</v>
      </c>
    </row>
    <row r="27419" spans="1:2" x14ac:dyDescent="0.25">
      <c r="A27419" s="2">
        <v>27414</v>
      </c>
      <c r="B27419" s="3" t="str">
        <f>"01083502"</f>
        <v>01083502</v>
      </c>
    </row>
    <row r="27420" spans="1:2" x14ac:dyDescent="0.25">
      <c r="A27420" s="2">
        <v>27415</v>
      </c>
      <c r="B27420" s="3" t="str">
        <f>"01083504"</f>
        <v>01083504</v>
      </c>
    </row>
    <row r="27421" spans="1:2" x14ac:dyDescent="0.25">
      <c r="A27421" s="2">
        <v>27416</v>
      </c>
      <c r="B27421" s="3" t="str">
        <f>"01083505"</f>
        <v>01083505</v>
      </c>
    </row>
    <row r="27422" spans="1:2" x14ac:dyDescent="0.25">
      <c r="A27422" s="2">
        <v>27417</v>
      </c>
      <c r="B27422" s="3" t="str">
        <f>"01083508"</f>
        <v>01083508</v>
      </c>
    </row>
    <row r="27423" spans="1:2" x14ac:dyDescent="0.25">
      <c r="A27423" s="2">
        <v>27418</v>
      </c>
      <c r="B27423" s="3" t="str">
        <f>"01083509"</f>
        <v>01083509</v>
      </c>
    </row>
    <row r="27424" spans="1:2" x14ac:dyDescent="0.25">
      <c r="A27424" s="2">
        <v>27419</v>
      </c>
      <c r="B27424" s="3" t="str">
        <f>"01083517"</f>
        <v>01083517</v>
      </c>
    </row>
    <row r="27425" spans="1:2" x14ac:dyDescent="0.25">
      <c r="A27425" s="2">
        <v>27420</v>
      </c>
      <c r="B27425" s="3" t="str">
        <f>"01083518"</f>
        <v>01083518</v>
      </c>
    </row>
    <row r="27426" spans="1:2" x14ac:dyDescent="0.25">
      <c r="A27426" s="2">
        <v>27421</v>
      </c>
      <c r="B27426" s="3" t="str">
        <f>"01083522"</f>
        <v>01083522</v>
      </c>
    </row>
    <row r="27427" spans="1:2" x14ac:dyDescent="0.25">
      <c r="A27427" s="2">
        <v>27422</v>
      </c>
      <c r="B27427" s="3" t="str">
        <f>"01083523"</f>
        <v>01083523</v>
      </c>
    </row>
    <row r="27428" spans="1:2" x14ac:dyDescent="0.25">
      <c r="A27428" s="2">
        <v>27423</v>
      </c>
      <c r="B27428" s="3" t="str">
        <f>"01083525"</f>
        <v>01083525</v>
      </c>
    </row>
    <row r="27429" spans="1:2" x14ac:dyDescent="0.25">
      <c r="A27429" s="2">
        <v>27424</v>
      </c>
      <c r="B27429" s="3" t="str">
        <f>"01083534"</f>
        <v>01083534</v>
      </c>
    </row>
    <row r="27430" spans="1:2" x14ac:dyDescent="0.25">
      <c r="A27430" s="2">
        <v>27425</v>
      </c>
      <c r="B27430" s="3" t="str">
        <f>"01083543"</f>
        <v>01083543</v>
      </c>
    </row>
    <row r="27431" spans="1:2" x14ac:dyDescent="0.25">
      <c r="A27431" s="2">
        <v>27426</v>
      </c>
      <c r="B27431" s="3" t="str">
        <f>"01083545"</f>
        <v>01083545</v>
      </c>
    </row>
    <row r="27432" spans="1:2" x14ac:dyDescent="0.25">
      <c r="A27432" s="2">
        <v>27427</v>
      </c>
      <c r="B27432" s="3" t="str">
        <f>"01083567"</f>
        <v>01083567</v>
      </c>
    </row>
    <row r="27433" spans="1:2" x14ac:dyDescent="0.25">
      <c r="A27433" s="2">
        <v>27428</v>
      </c>
      <c r="B27433" s="3" t="str">
        <f>"01083568"</f>
        <v>01083568</v>
      </c>
    </row>
    <row r="27434" spans="1:2" x14ac:dyDescent="0.25">
      <c r="A27434" s="2">
        <v>27429</v>
      </c>
      <c r="B27434" s="3" t="str">
        <f>"01083576"</f>
        <v>01083576</v>
      </c>
    </row>
    <row r="27435" spans="1:2" x14ac:dyDescent="0.25">
      <c r="A27435" s="2">
        <v>27430</v>
      </c>
      <c r="B27435" s="3" t="str">
        <f>"01083579"</f>
        <v>01083579</v>
      </c>
    </row>
    <row r="27436" spans="1:2" x14ac:dyDescent="0.25">
      <c r="A27436" s="2">
        <v>27431</v>
      </c>
      <c r="B27436" s="3" t="str">
        <f>"01083580"</f>
        <v>01083580</v>
      </c>
    </row>
    <row r="27437" spans="1:2" x14ac:dyDescent="0.25">
      <c r="A27437" s="2">
        <v>27432</v>
      </c>
      <c r="B27437" s="3" t="str">
        <f>"01083581"</f>
        <v>01083581</v>
      </c>
    </row>
    <row r="27438" spans="1:2" x14ac:dyDescent="0.25">
      <c r="A27438" s="2">
        <v>27433</v>
      </c>
      <c r="B27438" s="3" t="str">
        <f>"01083582"</f>
        <v>01083582</v>
      </c>
    </row>
    <row r="27439" spans="1:2" x14ac:dyDescent="0.25">
      <c r="A27439" s="2">
        <v>27434</v>
      </c>
      <c r="B27439" s="3" t="str">
        <f>"01083584"</f>
        <v>01083584</v>
      </c>
    </row>
    <row r="27440" spans="1:2" x14ac:dyDescent="0.25">
      <c r="A27440" s="2">
        <v>27435</v>
      </c>
      <c r="B27440" s="3" t="str">
        <f>"01083585"</f>
        <v>01083585</v>
      </c>
    </row>
    <row r="27441" spans="1:2" x14ac:dyDescent="0.25">
      <c r="A27441" s="2">
        <v>27436</v>
      </c>
      <c r="B27441" s="3" t="str">
        <f>"01083589"</f>
        <v>01083589</v>
      </c>
    </row>
    <row r="27442" spans="1:2" x14ac:dyDescent="0.25">
      <c r="A27442" s="2">
        <v>27437</v>
      </c>
      <c r="B27442" s="3" t="str">
        <f>"01083595"</f>
        <v>01083595</v>
      </c>
    </row>
    <row r="27443" spans="1:2" x14ac:dyDescent="0.25">
      <c r="A27443" s="2">
        <v>27438</v>
      </c>
      <c r="B27443" s="3" t="str">
        <f>"01083601"</f>
        <v>01083601</v>
      </c>
    </row>
    <row r="27444" spans="1:2" x14ac:dyDescent="0.25">
      <c r="A27444" s="2">
        <v>27439</v>
      </c>
      <c r="B27444" s="3" t="str">
        <f>"01083604"</f>
        <v>01083604</v>
      </c>
    </row>
    <row r="27445" spans="1:2" x14ac:dyDescent="0.25">
      <c r="A27445" s="2">
        <v>27440</v>
      </c>
      <c r="B27445" s="3" t="str">
        <f>"01083606"</f>
        <v>01083606</v>
      </c>
    </row>
    <row r="27446" spans="1:2" x14ac:dyDescent="0.25">
      <c r="A27446" s="2">
        <v>27441</v>
      </c>
      <c r="B27446" s="3" t="str">
        <f>"01083608"</f>
        <v>01083608</v>
      </c>
    </row>
    <row r="27447" spans="1:2" x14ac:dyDescent="0.25">
      <c r="A27447" s="2">
        <v>27442</v>
      </c>
      <c r="B27447" s="3" t="str">
        <f>"01083610"</f>
        <v>01083610</v>
      </c>
    </row>
    <row r="27448" spans="1:2" x14ac:dyDescent="0.25">
      <c r="A27448" s="2">
        <v>27443</v>
      </c>
      <c r="B27448" s="3" t="str">
        <f>"01083613"</f>
        <v>01083613</v>
      </c>
    </row>
    <row r="27449" spans="1:2" x14ac:dyDescent="0.25">
      <c r="A27449" s="2">
        <v>27444</v>
      </c>
      <c r="B27449" s="3" t="str">
        <f>"01083615"</f>
        <v>01083615</v>
      </c>
    </row>
    <row r="27450" spans="1:2" x14ac:dyDescent="0.25">
      <c r="A27450" s="2">
        <v>27445</v>
      </c>
      <c r="B27450" s="3" t="str">
        <f>"01083620"</f>
        <v>01083620</v>
      </c>
    </row>
    <row r="27451" spans="1:2" x14ac:dyDescent="0.25">
      <c r="A27451" s="2">
        <v>27446</v>
      </c>
      <c r="B27451" s="3" t="str">
        <f>"01083621"</f>
        <v>01083621</v>
      </c>
    </row>
    <row r="27452" spans="1:2" x14ac:dyDescent="0.25">
      <c r="A27452" s="2">
        <v>27447</v>
      </c>
      <c r="B27452" s="3" t="str">
        <f>"01083622"</f>
        <v>01083622</v>
      </c>
    </row>
    <row r="27453" spans="1:2" x14ac:dyDescent="0.25">
      <c r="A27453" s="2">
        <v>27448</v>
      </c>
      <c r="B27453" s="3" t="str">
        <f>"01083624"</f>
        <v>01083624</v>
      </c>
    </row>
    <row r="27454" spans="1:2" x14ac:dyDescent="0.25">
      <c r="A27454" s="2">
        <v>27449</v>
      </c>
      <c r="B27454" s="3" t="str">
        <f>"01083626"</f>
        <v>01083626</v>
      </c>
    </row>
    <row r="27455" spans="1:2" x14ac:dyDescent="0.25">
      <c r="A27455" s="2">
        <v>27450</v>
      </c>
      <c r="B27455" s="3" t="str">
        <f>"01083629"</f>
        <v>01083629</v>
      </c>
    </row>
    <row r="27456" spans="1:2" x14ac:dyDescent="0.25">
      <c r="A27456" s="2">
        <v>27451</v>
      </c>
      <c r="B27456" s="3" t="str">
        <f>"01083632"</f>
        <v>01083632</v>
      </c>
    </row>
    <row r="27457" spans="1:2" x14ac:dyDescent="0.25">
      <c r="A27457" s="2">
        <v>27452</v>
      </c>
      <c r="B27457" s="3" t="str">
        <f>"01083659"</f>
        <v>01083659</v>
      </c>
    </row>
    <row r="27458" spans="1:2" x14ac:dyDescent="0.25">
      <c r="A27458" s="2">
        <v>27453</v>
      </c>
      <c r="B27458" s="3" t="str">
        <f>"01083660"</f>
        <v>01083660</v>
      </c>
    </row>
    <row r="27459" spans="1:2" x14ac:dyDescent="0.25">
      <c r="A27459" s="2">
        <v>27454</v>
      </c>
      <c r="B27459" s="3" t="str">
        <f>"01083661"</f>
        <v>01083661</v>
      </c>
    </row>
    <row r="27460" spans="1:2" x14ac:dyDescent="0.25">
      <c r="A27460" s="2">
        <v>27455</v>
      </c>
      <c r="B27460" s="3" t="str">
        <f>"01083663"</f>
        <v>01083663</v>
      </c>
    </row>
    <row r="27461" spans="1:2" x14ac:dyDescent="0.25">
      <c r="A27461" s="2">
        <v>27456</v>
      </c>
      <c r="B27461" s="3" t="str">
        <f>"01083667"</f>
        <v>01083667</v>
      </c>
    </row>
    <row r="27462" spans="1:2" x14ac:dyDescent="0.25">
      <c r="A27462" s="2">
        <v>27457</v>
      </c>
      <c r="B27462" s="3" t="str">
        <f>"01083675"</f>
        <v>01083675</v>
      </c>
    </row>
    <row r="27463" spans="1:2" x14ac:dyDescent="0.25">
      <c r="A27463" s="2">
        <v>27458</v>
      </c>
      <c r="B27463" s="3" t="str">
        <f>"01083677"</f>
        <v>01083677</v>
      </c>
    </row>
    <row r="27464" spans="1:2" x14ac:dyDescent="0.25">
      <c r="A27464" s="2">
        <v>27459</v>
      </c>
      <c r="B27464" s="3" t="str">
        <f>"01083679"</f>
        <v>01083679</v>
      </c>
    </row>
    <row r="27465" spans="1:2" x14ac:dyDescent="0.25">
      <c r="A27465" s="2">
        <v>27460</v>
      </c>
      <c r="B27465" s="3" t="str">
        <f>"01083684"</f>
        <v>01083684</v>
      </c>
    </row>
    <row r="27466" spans="1:2" x14ac:dyDescent="0.25">
      <c r="A27466" s="2">
        <v>27461</v>
      </c>
      <c r="B27466" s="3" t="str">
        <f>"01083685"</f>
        <v>01083685</v>
      </c>
    </row>
    <row r="27467" spans="1:2" x14ac:dyDescent="0.25">
      <c r="A27467" s="2">
        <v>27462</v>
      </c>
      <c r="B27467" s="3" t="str">
        <f>"01083687"</f>
        <v>01083687</v>
      </c>
    </row>
    <row r="27468" spans="1:2" x14ac:dyDescent="0.25">
      <c r="A27468" s="2">
        <v>27463</v>
      </c>
      <c r="B27468" s="3" t="str">
        <f>"01083694"</f>
        <v>01083694</v>
      </c>
    </row>
    <row r="27469" spans="1:2" x14ac:dyDescent="0.25">
      <c r="A27469" s="2">
        <v>27464</v>
      </c>
      <c r="B27469" s="3" t="str">
        <f>"01083702"</f>
        <v>01083702</v>
      </c>
    </row>
    <row r="27470" spans="1:2" x14ac:dyDescent="0.25">
      <c r="A27470" s="2">
        <v>27465</v>
      </c>
      <c r="B27470" s="3" t="str">
        <f>"01083706"</f>
        <v>01083706</v>
      </c>
    </row>
    <row r="27471" spans="1:2" x14ac:dyDescent="0.25">
      <c r="A27471" s="2">
        <v>27466</v>
      </c>
      <c r="B27471" s="3" t="str">
        <f>"01083714"</f>
        <v>01083714</v>
      </c>
    </row>
    <row r="27472" spans="1:2" x14ac:dyDescent="0.25">
      <c r="A27472" s="2">
        <v>27467</v>
      </c>
      <c r="B27472" s="3" t="str">
        <f>"01083715"</f>
        <v>01083715</v>
      </c>
    </row>
    <row r="27473" spans="1:2" x14ac:dyDescent="0.25">
      <c r="A27473" s="2">
        <v>27468</v>
      </c>
      <c r="B27473" s="3" t="str">
        <f>"01083723"</f>
        <v>01083723</v>
      </c>
    </row>
    <row r="27474" spans="1:2" x14ac:dyDescent="0.25">
      <c r="A27474" s="2">
        <v>27469</v>
      </c>
      <c r="B27474" s="3" t="str">
        <f>"01083724"</f>
        <v>01083724</v>
      </c>
    </row>
    <row r="27475" spans="1:2" x14ac:dyDescent="0.25">
      <c r="A27475" s="2">
        <v>27470</v>
      </c>
      <c r="B27475" s="3" t="str">
        <f>"01083728"</f>
        <v>01083728</v>
      </c>
    </row>
    <row r="27476" spans="1:2" x14ac:dyDescent="0.25">
      <c r="A27476" s="2">
        <v>27471</v>
      </c>
      <c r="B27476" s="3" t="str">
        <f>"01083730"</f>
        <v>01083730</v>
      </c>
    </row>
    <row r="27477" spans="1:2" x14ac:dyDescent="0.25">
      <c r="A27477" s="2">
        <v>27472</v>
      </c>
      <c r="B27477" s="3" t="str">
        <f>"01083731"</f>
        <v>01083731</v>
      </c>
    </row>
    <row r="27478" spans="1:2" x14ac:dyDescent="0.25">
      <c r="A27478" s="2">
        <v>27473</v>
      </c>
      <c r="B27478" s="3" t="str">
        <f>"01083737"</f>
        <v>01083737</v>
      </c>
    </row>
    <row r="27479" spans="1:2" x14ac:dyDescent="0.25">
      <c r="A27479" s="2">
        <v>27474</v>
      </c>
      <c r="B27479" s="3" t="str">
        <f>"01083742"</f>
        <v>01083742</v>
      </c>
    </row>
    <row r="27480" spans="1:2" x14ac:dyDescent="0.25">
      <c r="A27480" s="2">
        <v>27475</v>
      </c>
      <c r="B27480" s="3" t="str">
        <f>"01083748"</f>
        <v>01083748</v>
      </c>
    </row>
    <row r="27481" spans="1:2" x14ac:dyDescent="0.25">
      <c r="A27481" s="2">
        <v>27476</v>
      </c>
      <c r="B27481" s="3" t="str">
        <f>"01083750"</f>
        <v>01083750</v>
      </c>
    </row>
    <row r="27482" spans="1:2" x14ac:dyDescent="0.25">
      <c r="A27482" s="2">
        <v>27477</v>
      </c>
      <c r="B27482" s="3" t="str">
        <f>"01083764"</f>
        <v>01083764</v>
      </c>
    </row>
    <row r="27483" spans="1:2" x14ac:dyDescent="0.25">
      <c r="A27483" s="2">
        <v>27478</v>
      </c>
      <c r="B27483" s="3" t="str">
        <f>"01083769"</f>
        <v>01083769</v>
      </c>
    </row>
    <row r="27484" spans="1:2" x14ac:dyDescent="0.25">
      <c r="A27484" s="2">
        <v>27479</v>
      </c>
      <c r="B27484" s="3" t="str">
        <f>"01083773"</f>
        <v>01083773</v>
      </c>
    </row>
    <row r="27485" spans="1:2" x14ac:dyDescent="0.25">
      <c r="A27485" s="2">
        <v>27480</v>
      </c>
      <c r="B27485" s="3" t="str">
        <f>"01083780"</f>
        <v>01083780</v>
      </c>
    </row>
    <row r="27486" spans="1:2" x14ac:dyDescent="0.25">
      <c r="A27486" s="2">
        <v>27481</v>
      </c>
      <c r="B27486" s="3" t="str">
        <f>"01083788"</f>
        <v>01083788</v>
      </c>
    </row>
    <row r="27487" spans="1:2" x14ac:dyDescent="0.25">
      <c r="A27487" s="2">
        <v>27482</v>
      </c>
      <c r="B27487" s="3" t="str">
        <f>"01083796"</f>
        <v>01083796</v>
      </c>
    </row>
    <row r="27488" spans="1:2" x14ac:dyDescent="0.25">
      <c r="A27488" s="2">
        <v>27483</v>
      </c>
      <c r="B27488" s="3" t="str">
        <f>"01083802"</f>
        <v>01083802</v>
      </c>
    </row>
    <row r="27489" spans="1:2" x14ac:dyDescent="0.25">
      <c r="A27489" s="2">
        <v>27484</v>
      </c>
      <c r="B27489" s="3" t="str">
        <f>"01083810"</f>
        <v>01083810</v>
      </c>
    </row>
    <row r="27490" spans="1:2" x14ac:dyDescent="0.25">
      <c r="A27490" s="2">
        <v>27485</v>
      </c>
      <c r="B27490" s="3" t="str">
        <f>"01083825"</f>
        <v>01083825</v>
      </c>
    </row>
    <row r="27491" spans="1:2" x14ac:dyDescent="0.25">
      <c r="A27491" s="2">
        <v>27486</v>
      </c>
      <c r="B27491" s="3" t="str">
        <f>"01083827"</f>
        <v>01083827</v>
      </c>
    </row>
    <row r="27492" spans="1:2" x14ac:dyDescent="0.25">
      <c r="A27492" s="2">
        <v>27487</v>
      </c>
      <c r="B27492" s="3" t="str">
        <f>"01083849"</f>
        <v>01083849</v>
      </c>
    </row>
    <row r="27493" spans="1:2" x14ac:dyDescent="0.25">
      <c r="A27493" s="2">
        <v>27488</v>
      </c>
      <c r="B27493" s="3" t="str">
        <f>"01083850"</f>
        <v>01083850</v>
      </c>
    </row>
    <row r="27494" spans="1:2" x14ac:dyDescent="0.25">
      <c r="A27494" s="2">
        <v>27489</v>
      </c>
      <c r="B27494" s="3" t="str">
        <f>"01083856"</f>
        <v>01083856</v>
      </c>
    </row>
    <row r="27495" spans="1:2" x14ac:dyDescent="0.25">
      <c r="A27495" s="2">
        <v>27490</v>
      </c>
      <c r="B27495" s="3" t="str">
        <f>"01083858"</f>
        <v>01083858</v>
      </c>
    </row>
    <row r="27496" spans="1:2" x14ac:dyDescent="0.25">
      <c r="A27496" s="2">
        <v>27491</v>
      </c>
      <c r="B27496" s="3" t="str">
        <f>"01083860"</f>
        <v>01083860</v>
      </c>
    </row>
    <row r="27497" spans="1:2" x14ac:dyDescent="0.25">
      <c r="A27497" s="2">
        <v>27492</v>
      </c>
      <c r="B27497" s="3" t="str">
        <f>"01083866"</f>
        <v>01083866</v>
      </c>
    </row>
    <row r="27498" spans="1:2" x14ac:dyDescent="0.25">
      <c r="A27498" s="2">
        <v>27493</v>
      </c>
      <c r="B27498" s="3" t="str">
        <f>"01083868"</f>
        <v>01083868</v>
      </c>
    </row>
    <row r="27499" spans="1:2" x14ac:dyDescent="0.25">
      <c r="A27499" s="2">
        <v>27494</v>
      </c>
      <c r="B27499" s="3" t="str">
        <f>"01083884"</f>
        <v>01083884</v>
      </c>
    </row>
    <row r="27500" spans="1:2" x14ac:dyDescent="0.25">
      <c r="A27500" s="2">
        <v>27495</v>
      </c>
      <c r="B27500" s="3" t="str">
        <f>"01083895"</f>
        <v>01083895</v>
      </c>
    </row>
    <row r="27501" spans="1:2" x14ac:dyDescent="0.25">
      <c r="A27501" s="2">
        <v>27496</v>
      </c>
      <c r="B27501" s="3" t="str">
        <f>"01083930"</f>
        <v>01083930</v>
      </c>
    </row>
    <row r="27502" spans="1:2" x14ac:dyDescent="0.25">
      <c r="A27502" s="2">
        <v>27497</v>
      </c>
      <c r="B27502" s="3" t="str">
        <f>"01083963"</f>
        <v>01083963</v>
      </c>
    </row>
    <row r="27503" spans="1:2" x14ac:dyDescent="0.25">
      <c r="A27503" s="2">
        <v>27498</v>
      </c>
      <c r="B27503" s="3" t="str">
        <f>"01083965"</f>
        <v>01083965</v>
      </c>
    </row>
    <row r="27504" spans="1:2" x14ac:dyDescent="0.25">
      <c r="A27504" s="2">
        <v>27499</v>
      </c>
      <c r="B27504" s="3" t="str">
        <f>"01083974"</f>
        <v>01083974</v>
      </c>
    </row>
    <row r="27505" spans="1:2" x14ac:dyDescent="0.25">
      <c r="A27505" s="2">
        <v>27500</v>
      </c>
      <c r="B27505" s="3" t="str">
        <f>"01084011"</f>
        <v>01084011</v>
      </c>
    </row>
    <row r="27506" spans="1:2" x14ac:dyDescent="0.25">
      <c r="A27506" s="2">
        <v>27501</v>
      </c>
      <c r="B27506" s="3" t="str">
        <f>"01084013"</f>
        <v>01084013</v>
      </c>
    </row>
    <row r="27507" spans="1:2" x14ac:dyDescent="0.25">
      <c r="A27507" s="2">
        <v>27502</v>
      </c>
      <c r="B27507" s="3" t="str">
        <f>"01084017"</f>
        <v>01084017</v>
      </c>
    </row>
    <row r="27508" spans="1:2" x14ac:dyDescent="0.25">
      <c r="A27508" s="2">
        <v>27503</v>
      </c>
      <c r="B27508" s="3" t="str">
        <f>"01084032"</f>
        <v>01084032</v>
      </c>
    </row>
    <row r="27509" spans="1:2" x14ac:dyDescent="0.25">
      <c r="A27509" s="2">
        <v>27504</v>
      </c>
      <c r="B27509" s="3" t="str">
        <f>"01084041"</f>
        <v>01084041</v>
      </c>
    </row>
    <row r="27510" spans="1:2" x14ac:dyDescent="0.25">
      <c r="A27510" s="2">
        <v>27505</v>
      </c>
      <c r="B27510" s="3" t="str">
        <f>"01084042"</f>
        <v>01084042</v>
      </c>
    </row>
    <row r="27511" spans="1:2" x14ac:dyDescent="0.25">
      <c r="A27511" s="2">
        <v>27506</v>
      </c>
      <c r="B27511" s="3" t="str">
        <f>"01084058"</f>
        <v>01084058</v>
      </c>
    </row>
    <row r="27512" spans="1:2" x14ac:dyDescent="0.25">
      <c r="A27512" s="2">
        <v>27507</v>
      </c>
      <c r="B27512" s="3" t="str">
        <f>"01084064"</f>
        <v>01084064</v>
      </c>
    </row>
    <row r="27513" spans="1:2" x14ac:dyDescent="0.25">
      <c r="A27513" s="2">
        <v>27508</v>
      </c>
      <c r="B27513" s="3" t="str">
        <f>"01084067"</f>
        <v>01084067</v>
      </c>
    </row>
    <row r="27514" spans="1:2" x14ac:dyDescent="0.25">
      <c r="A27514" s="2">
        <v>27509</v>
      </c>
      <c r="B27514" s="3" t="str">
        <f>"01084070"</f>
        <v>01084070</v>
      </c>
    </row>
    <row r="27515" spans="1:2" x14ac:dyDescent="0.25">
      <c r="A27515" s="2">
        <v>27510</v>
      </c>
      <c r="B27515" s="3" t="str">
        <f>"01084075"</f>
        <v>01084075</v>
      </c>
    </row>
    <row r="27516" spans="1:2" x14ac:dyDescent="0.25">
      <c r="A27516" s="2">
        <v>27511</v>
      </c>
      <c r="B27516" s="3" t="str">
        <f>"01084082"</f>
        <v>01084082</v>
      </c>
    </row>
    <row r="27517" spans="1:2" x14ac:dyDescent="0.25">
      <c r="A27517" s="2">
        <v>27512</v>
      </c>
      <c r="B27517" s="3" t="str">
        <f>"01084091"</f>
        <v>01084091</v>
      </c>
    </row>
    <row r="27518" spans="1:2" x14ac:dyDescent="0.25">
      <c r="A27518" s="2">
        <v>27513</v>
      </c>
      <c r="B27518" s="3" t="str">
        <f>"01084095"</f>
        <v>01084095</v>
      </c>
    </row>
    <row r="27519" spans="1:2" x14ac:dyDescent="0.25">
      <c r="A27519" s="2">
        <v>27514</v>
      </c>
      <c r="B27519" s="3" t="str">
        <f>"01084111"</f>
        <v>01084111</v>
      </c>
    </row>
    <row r="27520" spans="1:2" x14ac:dyDescent="0.25">
      <c r="A27520" s="2">
        <v>27515</v>
      </c>
      <c r="B27520" s="3" t="str">
        <f>"01084133"</f>
        <v>01084133</v>
      </c>
    </row>
    <row r="27521" spans="1:2" x14ac:dyDescent="0.25">
      <c r="A27521" s="2">
        <v>27516</v>
      </c>
      <c r="B27521" s="3" t="str">
        <f>"01084135"</f>
        <v>01084135</v>
      </c>
    </row>
    <row r="27522" spans="1:2" x14ac:dyDescent="0.25">
      <c r="A27522" s="2">
        <v>27517</v>
      </c>
      <c r="B27522" s="3" t="str">
        <f>"01084142"</f>
        <v>01084142</v>
      </c>
    </row>
    <row r="27523" spans="1:2" x14ac:dyDescent="0.25">
      <c r="A27523" s="2">
        <v>27518</v>
      </c>
      <c r="B27523" s="3" t="str">
        <f>"01084145"</f>
        <v>01084145</v>
      </c>
    </row>
    <row r="27524" spans="1:2" x14ac:dyDescent="0.25">
      <c r="A27524" s="2">
        <v>27519</v>
      </c>
      <c r="B27524" s="3" t="str">
        <f>"01084148"</f>
        <v>01084148</v>
      </c>
    </row>
    <row r="27525" spans="1:2" x14ac:dyDescent="0.25">
      <c r="A27525" s="2">
        <v>27520</v>
      </c>
      <c r="B27525" s="3" t="str">
        <f>"01084159"</f>
        <v>01084159</v>
      </c>
    </row>
    <row r="27526" spans="1:2" x14ac:dyDescent="0.25">
      <c r="A27526" s="2">
        <v>27521</v>
      </c>
      <c r="B27526" s="3" t="str">
        <f>"01084162"</f>
        <v>01084162</v>
      </c>
    </row>
    <row r="27527" spans="1:2" x14ac:dyDescent="0.25">
      <c r="A27527" s="2">
        <v>27522</v>
      </c>
      <c r="B27527" s="3" t="str">
        <f>"01084165"</f>
        <v>01084165</v>
      </c>
    </row>
    <row r="27528" spans="1:2" x14ac:dyDescent="0.25">
      <c r="A27528" s="2">
        <v>27523</v>
      </c>
      <c r="B27528" s="3" t="str">
        <f>"01084167"</f>
        <v>01084167</v>
      </c>
    </row>
    <row r="27529" spans="1:2" x14ac:dyDescent="0.25">
      <c r="A27529" s="2">
        <v>27524</v>
      </c>
      <c r="B27529" s="3" t="str">
        <f>"01084172"</f>
        <v>01084172</v>
      </c>
    </row>
    <row r="27530" spans="1:2" x14ac:dyDescent="0.25">
      <c r="A27530" s="2">
        <v>27525</v>
      </c>
      <c r="B27530" s="3" t="str">
        <f>"01084184"</f>
        <v>01084184</v>
      </c>
    </row>
    <row r="27531" spans="1:2" x14ac:dyDescent="0.25">
      <c r="A27531" s="2">
        <v>27526</v>
      </c>
      <c r="B27531" s="3" t="str">
        <f>"01084186"</f>
        <v>01084186</v>
      </c>
    </row>
    <row r="27532" spans="1:2" x14ac:dyDescent="0.25">
      <c r="A27532" s="2">
        <v>27527</v>
      </c>
      <c r="B27532" s="3" t="str">
        <f>"01084196"</f>
        <v>01084196</v>
      </c>
    </row>
    <row r="27533" spans="1:2" x14ac:dyDescent="0.25">
      <c r="A27533" s="2">
        <v>27528</v>
      </c>
      <c r="B27533" s="3" t="str">
        <f>"01084199"</f>
        <v>01084199</v>
      </c>
    </row>
    <row r="27534" spans="1:2" x14ac:dyDescent="0.25">
      <c r="A27534" s="2">
        <v>27529</v>
      </c>
      <c r="B27534" s="3" t="str">
        <f>"01084224"</f>
        <v>01084224</v>
      </c>
    </row>
    <row r="27535" spans="1:2" x14ac:dyDescent="0.25">
      <c r="A27535" s="2">
        <v>27530</v>
      </c>
      <c r="B27535" s="3" t="str">
        <f>"01084228"</f>
        <v>01084228</v>
      </c>
    </row>
    <row r="27536" spans="1:2" x14ac:dyDescent="0.25">
      <c r="A27536" s="2">
        <v>27531</v>
      </c>
      <c r="B27536" s="3" t="str">
        <f>"01084232"</f>
        <v>01084232</v>
      </c>
    </row>
    <row r="27537" spans="1:2" x14ac:dyDescent="0.25">
      <c r="A27537" s="2">
        <v>27532</v>
      </c>
      <c r="B27537" s="3" t="str">
        <f>"01084243"</f>
        <v>01084243</v>
      </c>
    </row>
    <row r="27538" spans="1:2" x14ac:dyDescent="0.25">
      <c r="A27538" s="2">
        <v>27533</v>
      </c>
      <c r="B27538" s="3" t="str">
        <f>"01084247"</f>
        <v>01084247</v>
      </c>
    </row>
    <row r="27539" spans="1:2" x14ac:dyDescent="0.25">
      <c r="A27539" s="2">
        <v>27534</v>
      </c>
      <c r="B27539" s="3" t="str">
        <f>"01084257"</f>
        <v>01084257</v>
      </c>
    </row>
    <row r="27540" spans="1:2" x14ac:dyDescent="0.25">
      <c r="A27540" s="2">
        <v>27535</v>
      </c>
      <c r="B27540" s="3" t="str">
        <f>"01084260"</f>
        <v>01084260</v>
      </c>
    </row>
    <row r="27541" spans="1:2" x14ac:dyDescent="0.25">
      <c r="A27541" s="2">
        <v>27536</v>
      </c>
      <c r="B27541" s="3" t="str">
        <f>"01084262"</f>
        <v>01084262</v>
      </c>
    </row>
    <row r="27542" spans="1:2" x14ac:dyDescent="0.25">
      <c r="A27542" s="2">
        <v>27537</v>
      </c>
      <c r="B27542" s="3" t="str">
        <f>"01084266"</f>
        <v>01084266</v>
      </c>
    </row>
    <row r="27543" spans="1:2" x14ac:dyDescent="0.25">
      <c r="A27543" s="2">
        <v>27538</v>
      </c>
      <c r="B27543" s="3" t="str">
        <f>"01084271"</f>
        <v>01084271</v>
      </c>
    </row>
    <row r="27544" spans="1:2" x14ac:dyDescent="0.25">
      <c r="A27544" s="2">
        <v>27539</v>
      </c>
      <c r="B27544" s="3" t="str">
        <f>"01084273"</f>
        <v>01084273</v>
      </c>
    </row>
    <row r="27545" spans="1:2" x14ac:dyDescent="0.25">
      <c r="A27545" s="2">
        <v>27540</v>
      </c>
      <c r="B27545" s="3" t="str">
        <f>"01084282"</f>
        <v>01084282</v>
      </c>
    </row>
    <row r="27546" spans="1:2" x14ac:dyDescent="0.25">
      <c r="A27546" s="2">
        <v>27541</v>
      </c>
      <c r="B27546" s="3" t="str">
        <f>"01084289"</f>
        <v>01084289</v>
      </c>
    </row>
    <row r="27547" spans="1:2" x14ac:dyDescent="0.25">
      <c r="A27547" s="2">
        <v>27542</v>
      </c>
      <c r="B27547" s="3" t="str">
        <f>"01084321"</f>
        <v>01084321</v>
      </c>
    </row>
    <row r="27548" spans="1:2" x14ac:dyDescent="0.25">
      <c r="A27548" s="2">
        <v>27543</v>
      </c>
      <c r="B27548" s="3" t="str">
        <f>"01084322"</f>
        <v>01084322</v>
      </c>
    </row>
    <row r="27549" spans="1:2" x14ac:dyDescent="0.25">
      <c r="A27549" s="2">
        <v>27544</v>
      </c>
      <c r="B27549" s="3" t="str">
        <f>"01084330"</f>
        <v>01084330</v>
      </c>
    </row>
    <row r="27550" spans="1:2" x14ac:dyDescent="0.25">
      <c r="A27550" s="2">
        <v>27545</v>
      </c>
      <c r="B27550" s="3" t="str">
        <f>"01084333"</f>
        <v>01084333</v>
      </c>
    </row>
    <row r="27551" spans="1:2" x14ac:dyDescent="0.25">
      <c r="A27551" s="2">
        <v>27546</v>
      </c>
      <c r="B27551" s="3" t="str">
        <f>"01084334"</f>
        <v>01084334</v>
      </c>
    </row>
    <row r="27552" spans="1:2" x14ac:dyDescent="0.25">
      <c r="A27552" s="2">
        <v>27547</v>
      </c>
      <c r="B27552" s="3" t="str">
        <f>"01084341"</f>
        <v>01084341</v>
      </c>
    </row>
    <row r="27553" spans="1:2" x14ac:dyDescent="0.25">
      <c r="A27553" s="2">
        <v>27548</v>
      </c>
      <c r="B27553" s="3" t="str">
        <f>"01084356"</f>
        <v>01084356</v>
      </c>
    </row>
    <row r="27554" spans="1:2" x14ac:dyDescent="0.25">
      <c r="A27554" s="2">
        <v>27549</v>
      </c>
      <c r="B27554" s="3" t="str">
        <f>"01084357"</f>
        <v>01084357</v>
      </c>
    </row>
    <row r="27555" spans="1:2" x14ac:dyDescent="0.25">
      <c r="A27555" s="2">
        <v>27550</v>
      </c>
      <c r="B27555" s="3" t="str">
        <f>"01084360"</f>
        <v>01084360</v>
      </c>
    </row>
    <row r="27556" spans="1:2" x14ac:dyDescent="0.25">
      <c r="A27556" s="2">
        <v>27551</v>
      </c>
      <c r="B27556" s="3" t="str">
        <f>"01084366"</f>
        <v>01084366</v>
      </c>
    </row>
    <row r="27557" spans="1:2" x14ac:dyDescent="0.25">
      <c r="A27557" s="2">
        <v>27552</v>
      </c>
      <c r="B27557" s="3" t="str">
        <f>"01084369"</f>
        <v>01084369</v>
      </c>
    </row>
    <row r="27558" spans="1:2" x14ac:dyDescent="0.25">
      <c r="A27558" s="2">
        <v>27553</v>
      </c>
      <c r="B27558" s="3" t="str">
        <f>"01084370"</f>
        <v>01084370</v>
      </c>
    </row>
    <row r="27559" spans="1:2" x14ac:dyDescent="0.25">
      <c r="A27559" s="2">
        <v>27554</v>
      </c>
      <c r="B27559" s="3" t="str">
        <f>"01084372"</f>
        <v>01084372</v>
      </c>
    </row>
    <row r="27560" spans="1:2" x14ac:dyDescent="0.25">
      <c r="A27560" s="2">
        <v>27555</v>
      </c>
      <c r="B27560" s="3" t="str">
        <f>"01084377"</f>
        <v>01084377</v>
      </c>
    </row>
    <row r="27561" spans="1:2" x14ac:dyDescent="0.25">
      <c r="A27561" s="2">
        <v>27556</v>
      </c>
      <c r="B27561" s="3" t="str">
        <f>"01084385"</f>
        <v>01084385</v>
      </c>
    </row>
    <row r="27562" spans="1:2" x14ac:dyDescent="0.25">
      <c r="A27562" s="2">
        <v>27557</v>
      </c>
      <c r="B27562" s="3" t="str">
        <f>"01084389"</f>
        <v>01084389</v>
      </c>
    </row>
    <row r="27563" spans="1:2" x14ac:dyDescent="0.25">
      <c r="A27563" s="2">
        <v>27558</v>
      </c>
      <c r="B27563" s="3" t="str">
        <f>"01084400"</f>
        <v>01084400</v>
      </c>
    </row>
    <row r="27564" spans="1:2" x14ac:dyDescent="0.25">
      <c r="A27564" s="2">
        <v>27559</v>
      </c>
      <c r="B27564" s="3" t="str">
        <f>"01084404"</f>
        <v>01084404</v>
      </c>
    </row>
    <row r="27565" spans="1:2" x14ac:dyDescent="0.25">
      <c r="A27565" s="2">
        <v>27560</v>
      </c>
      <c r="B27565" s="3" t="str">
        <f>"01084414"</f>
        <v>01084414</v>
      </c>
    </row>
    <row r="27566" spans="1:2" x14ac:dyDescent="0.25">
      <c r="A27566" s="2">
        <v>27561</v>
      </c>
      <c r="B27566" s="3" t="str">
        <f>"01084418"</f>
        <v>01084418</v>
      </c>
    </row>
    <row r="27567" spans="1:2" x14ac:dyDescent="0.25">
      <c r="A27567" s="2">
        <v>27562</v>
      </c>
      <c r="B27567" s="3" t="str">
        <f>"01084423"</f>
        <v>01084423</v>
      </c>
    </row>
    <row r="27568" spans="1:2" x14ac:dyDescent="0.25">
      <c r="A27568" s="2">
        <v>27563</v>
      </c>
      <c r="B27568" s="3" t="str">
        <f>"01084424"</f>
        <v>01084424</v>
      </c>
    </row>
    <row r="27569" spans="1:2" x14ac:dyDescent="0.25">
      <c r="A27569" s="2">
        <v>27564</v>
      </c>
      <c r="B27569" s="3" t="str">
        <f>"01084425"</f>
        <v>01084425</v>
      </c>
    </row>
    <row r="27570" spans="1:2" x14ac:dyDescent="0.25">
      <c r="A27570" s="2">
        <v>27565</v>
      </c>
      <c r="B27570" s="3" t="str">
        <f>"01084426"</f>
        <v>01084426</v>
      </c>
    </row>
    <row r="27571" spans="1:2" x14ac:dyDescent="0.25">
      <c r="A27571" s="2">
        <v>27566</v>
      </c>
      <c r="B27571" s="3" t="str">
        <f>"01084433"</f>
        <v>01084433</v>
      </c>
    </row>
    <row r="27572" spans="1:2" x14ac:dyDescent="0.25">
      <c r="A27572" s="2">
        <v>27567</v>
      </c>
      <c r="B27572" s="3" t="str">
        <f>"01084435"</f>
        <v>01084435</v>
      </c>
    </row>
    <row r="27573" spans="1:2" x14ac:dyDescent="0.25">
      <c r="A27573" s="2">
        <v>27568</v>
      </c>
      <c r="B27573" s="3" t="str">
        <f>"01084439"</f>
        <v>01084439</v>
      </c>
    </row>
    <row r="27574" spans="1:2" x14ac:dyDescent="0.25">
      <c r="A27574" s="2">
        <v>27569</v>
      </c>
      <c r="B27574" s="3" t="str">
        <f>"01084444"</f>
        <v>01084444</v>
      </c>
    </row>
    <row r="27575" spans="1:2" x14ac:dyDescent="0.25">
      <c r="A27575" s="2">
        <v>27570</v>
      </c>
      <c r="B27575" s="3" t="str">
        <f>"01084460"</f>
        <v>01084460</v>
      </c>
    </row>
    <row r="27576" spans="1:2" x14ac:dyDescent="0.25">
      <c r="A27576" s="2">
        <v>27571</v>
      </c>
      <c r="B27576" s="3" t="str">
        <f>"01084469"</f>
        <v>01084469</v>
      </c>
    </row>
    <row r="27577" spans="1:2" x14ac:dyDescent="0.25">
      <c r="A27577" s="2">
        <v>27572</v>
      </c>
      <c r="B27577" s="3" t="str">
        <f>"01084481"</f>
        <v>01084481</v>
      </c>
    </row>
    <row r="27578" spans="1:2" x14ac:dyDescent="0.25">
      <c r="A27578" s="2">
        <v>27573</v>
      </c>
      <c r="B27578" s="3" t="str">
        <f>"01084488"</f>
        <v>01084488</v>
      </c>
    </row>
    <row r="27579" spans="1:2" x14ac:dyDescent="0.25">
      <c r="A27579" s="2">
        <v>27574</v>
      </c>
      <c r="B27579" s="3" t="str">
        <f>"01084493"</f>
        <v>01084493</v>
      </c>
    </row>
    <row r="27580" spans="1:2" x14ac:dyDescent="0.25">
      <c r="A27580" s="2">
        <v>27575</v>
      </c>
      <c r="B27580" s="3" t="str">
        <f>"01084494"</f>
        <v>01084494</v>
      </c>
    </row>
    <row r="27581" spans="1:2" x14ac:dyDescent="0.25">
      <c r="A27581" s="2">
        <v>27576</v>
      </c>
      <c r="B27581" s="3" t="str">
        <f>"01084495"</f>
        <v>01084495</v>
      </c>
    </row>
    <row r="27582" spans="1:2" x14ac:dyDescent="0.25">
      <c r="A27582" s="2">
        <v>27577</v>
      </c>
      <c r="B27582" s="3" t="str">
        <f>"01084500"</f>
        <v>01084500</v>
      </c>
    </row>
    <row r="27583" spans="1:2" x14ac:dyDescent="0.25">
      <c r="A27583" s="2">
        <v>27578</v>
      </c>
      <c r="B27583" s="3" t="str">
        <f>"01084509"</f>
        <v>01084509</v>
      </c>
    </row>
    <row r="27584" spans="1:2" x14ac:dyDescent="0.25">
      <c r="A27584" s="2">
        <v>27579</v>
      </c>
      <c r="B27584" s="3" t="str">
        <f>"01084523"</f>
        <v>01084523</v>
      </c>
    </row>
    <row r="27585" spans="1:2" x14ac:dyDescent="0.25">
      <c r="A27585" s="2">
        <v>27580</v>
      </c>
      <c r="B27585" s="3" t="str">
        <f>"01084526"</f>
        <v>01084526</v>
      </c>
    </row>
    <row r="27586" spans="1:2" x14ac:dyDescent="0.25">
      <c r="A27586" s="2">
        <v>27581</v>
      </c>
      <c r="B27586" s="3" t="str">
        <f>"01084545"</f>
        <v>01084545</v>
      </c>
    </row>
    <row r="27587" spans="1:2" x14ac:dyDescent="0.25">
      <c r="A27587" s="2">
        <v>27582</v>
      </c>
      <c r="B27587" s="3" t="str">
        <f>"01084549"</f>
        <v>01084549</v>
      </c>
    </row>
    <row r="27588" spans="1:2" x14ac:dyDescent="0.25">
      <c r="A27588" s="2">
        <v>27583</v>
      </c>
      <c r="B27588" s="3" t="str">
        <f>"01084553"</f>
        <v>01084553</v>
      </c>
    </row>
    <row r="27589" spans="1:2" x14ac:dyDescent="0.25">
      <c r="A27589" s="2">
        <v>27584</v>
      </c>
      <c r="B27589" s="3" t="str">
        <f>"01084554"</f>
        <v>01084554</v>
      </c>
    </row>
    <row r="27590" spans="1:2" x14ac:dyDescent="0.25">
      <c r="A27590" s="2">
        <v>27585</v>
      </c>
      <c r="B27590" s="3" t="str">
        <f>"01084561"</f>
        <v>01084561</v>
      </c>
    </row>
    <row r="27591" spans="1:2" x14ac:dyDescent="0.25">
      <c r="A27591" s="2">
        <v>27586</v>
      </c>
      <c r="B27591" s="3" t="str">
        <f>"01084563"</f>
        <v>01084563</v>
      </c>
    </row>
    <row r="27592" spans="1:2" x14ac:dyDescent="0.25">
      <c r="A27592" s="2">
        <v>27587</v>
      </c>
      <c r="B27592" s="3" t="str">
        <f>"01084564"</f>
        <v>01084564</v>
      </c>
    </row>
    <row r="27593" spans="1:2" x14ac:dyDescent="0.25">
      <c r="A27593" s="2">
        <v>27588</v>
      </c>
      <c r="B27593" s="3" t="str">
        <f>"01084568"</f>
        <v>01084568</v>
      </c>
    </row>
    <row r="27594" spans="1:2" x14ac:dyDescent="0.25">
      <c r="A27594" s="2">
        <v>27589</v>
      </c>
      <c r="B27594" s="3" t="str">
        <f>"01084571"</f>
        <v>01084571</v>
      </c>
    </row>
    <row r="27595" spans="1:2" x14ac:dyDescent="0.25">
      <c r="A27595" s="2">
        <v>27590</v>
      </c>
      <c r="B27595" s="3" t="str">
        <f>"01084575"</f>
        <v>01084575</v>
      </c>
    </row>
    <row r="27596" spans="1:2" x14ac:dyDescent="0.25">
      <c r="A27596" s="2">
        <v>27591</v>
      </c>
      <c r="B27596" s="3" t="str">
        <f>"01084578"</f>
        <v>01084578</v>
      </c>
    </row>
    <row r="27597" spans="1:2" x14ac:dyDescent="0.25">
      <c r="A27597" s="2">
        <v>27592</v>
      </c>
      <c r="B27597" s="3" t="str">
        <f>"01084579"</f>
        <v>01084579</v>
      </c>
    </row>
    <row r="27598" spans="1:2" x14ac:dyDescent="0.25">
      <c r="A27598" s="2">
        <v>27593</v>
      </c>
      <c r="B27598" s="3" t="str">
        <f>"01084584"</f>
        <v>01084584</v>
      </c>
    </row>
    <row r="27599" spans="1:2" x14ac:dyDescent="0.25">
      <c r="A27599" s="2">
        <v>27594</v>
      </c>
      <c r="B27599" s="3" t="str">
        <f>"01084585"</f>
        <v>01084585</v>
      </c>
    </row>
    <row r="27600" spans="1:2" x14ac:dyDescent="0.25">
      <c r="A27600" s="2">
        <v>27595</v>
      </c>
      <c r="B27600" s="3" t="str">
        <f>"01084592"</f>
        <v>01084592</v>
      </c>
    </row>
    <row r="27601" spans="1:2" x14ac:dyDescent="0.25">
      <c r="A27601" s="2">
        <v>27596</v>
      </c>
      <c r="B27601" s="3" t="str">
        <f>"01084598"</f>
        <v>01084598</v>
      </c>
    </row>
    <row r="27602" spans="1:2" x14ac:dyDescent="0.25">
      <c r="A27602" s="2">
        <v>27597</v>
      </c>
      <c r="B27602" s="3" t="str">
        <f>"01084608"</f>
        <v>01084608</v>
      </c>
    </row>
    <row r="27603" spans="1:2" x14ac:dyDescent="0.25">
      <c r="A27603" s="2">
        <v>27598</v>
      </c>
      <c r="B27603" s="3" t="str">
        <f>"01084610"</f>
        <v>01084610</v>
      </c>
    </row>
    <row r="27604" spans="1:2" x14ac:dyDescent="0.25">
      <c r="A27604" s="2">
        <v>27599</v>
      </c>
      <c r="B27604" s="3" t="str">
        <f>"01084612"</f>
        <v>01084612</v>
      </c>
    </row>
    <row r="27605" spans="1:2" x14ac:dyDescent="0.25">
      <c r="A27605" s="2">
        <v>27600</v>
      </c>
      <c r="B27605" s="3" t="str">
        <f>"01084616"</f>
        <v>01084616</v>
      </c>
    </row>
    <row r="27606" spans="1:2" x14ac:dyDescent="0.25">
      <c r="A27606" s="2">
        <v>27601</v>
      </c>
      <c r="B27606" s="3" t="str">
        <f>"01084622"</f>
        <v>01084622</v>
      </c>
    </row>
    <row r="27607" spans="1:2" x14ac:dyDescent="0.25">
      <c r="A27607" s="2">
        <v>27602</v>
      </c>
      <c r="B27607" s="3" t="str">
        <f>"01084632"</f>
        <v>01084632</v>
      </c>
    </row>
    <row r="27608" spans="1:2" x14ac:dyDescent="0.25">
      <c r="A27608" s="2">
        <v>27603</v>
      </c>
      <c r="B27608" s="3" t="str">
        <f>"01084634"</f>
        <v>01084634</v>
      </c>
    </row>
    <row r="27609" spans="1:2" x14ac:dyDescent="0.25">
      <c r="A27609" s="2">
        <v>27604</v>
      </c>
      <c r="B27609" s="3" t="str">
        <f>"01084635"</f>
        <v>01084635</v>
      </c>
    </row>
    <row r="27610" spans="1:2" x14ac:dyDescent="0.25">
      <c r="A27610" s="2">
        <v>27605</v>
      </c>
      <c r="B27610" s="3" t="str">
        <f>"01084639"</f>
        <v>01084639</v>
      </c>
    </row>
    <row r="27611" spans="1:2" x14ac:dyDescent="0.25">
      <c r="A27611" s="2">
        <v>27606</v>
      </c>
      <c r="B27611" s="3" t="str">
        <f>"01084647"</f>
        <v>01084647</v>
      </c>
    </row>
    <row r="27612" spans="1:2" x14ac:dyDescent="0.25">
      <c r="A27612" s="2">
        <v>27607</v>
      </c>
      <c r="B27612" s="3" t="str">
        <f>"01084657"</f>
        <v>01084657</v>
      </c>
    </row>
    <row r="27613" spans="1:2" x14ac:dyDescent="0.25">
      <c r="A27613" s="2">
        <v>27608</v>
      </c>
      <c r="B27613" s="3" t="str">
        <f>"01084658"</f>
        <v>01084658</v>
      </c>
    </row>
    <row r="27614" spans="1:2" x14ac:dyDescent="0.25">
      <c r="A27614" s="2">
        <v>27609</v>
      </c>
      <c r="B27614" s="3" t="str">
        <f>"01084662"</f>
        <v>01084662</v>
      </c>
    </row>
    <row r="27615" spans="1:2" x14ac:dyDescent="0.25">
      <c r="A27615" s="2">
        <v>27610</v>
      </c>
      <c r="B27615" s="3" t="str">
        <f>"01084664"</f>
        <v>01084664</v>
      </c>
    </row>
    <row r="27616" spans="1:2" x14ac:dyDescent="0.25">
      <c r="A27616" s="2">
        <v>27611</v>
      </c>
      <c r="B27616" s="3" t="str">
        <f>"01084665"</f>
        <v>01084665</v>
      </c>
    </row>
    <row r="27617" spans="1:2" x14ac:dyDescent="0.25">
      <c r="A27617" s="2">
        <v>27612</v>
      </c>
      <c r="B27617" s="3" t="str">
        <f>"01084681"</f>
        <v>01084681</v>
      </c>
    </row>
    <row r="27618" spans="1:2" x14ac:dyDescent="0.25">
      <c r="A27618" s="2">
        <v>27613</v>
      </c>
      <c r="B27618" s="3" t="str">
        <f>"01084683"</f>
        <v>01084683</v>
      </c>
    </row>
    <row r="27619" spans="1:2" x14ac:dyDescent="0.25">
      <c r="A27619" s="2">
        <v>27614</v>
      </c>
      <c r="B27619" s="3" t="str">
        <f>"01084687"</f>
        <v>01084687</v>
      </c>
    </row>
    <row r="27620" spans="1:2" x14ac:dyDescent="0.25">
      <c r="A27620" s="2">
        <v>27615</v>
      </c>
      <c r="B27620" s="3" t="str">
        <f>"01084707"</f>
        <v>01084707</v>
      </c>
    </row>
    <row r="27621" spans="1:2" x14ac:dyDescent="0.25">
      <c r="A27621" s="2">
        <v>27616</v>
      </c>
      <c r="B27621" s="3" t="str">
        <f>"01084712"</f>
        <v>01084712</v>
      </c>
    </row>
    <row r="27622" spans="1:2" x14ac:dyDescent="0.25">
      <c r="A27622" s="2">
        <v>27617</v>
      </c>
      <c r="B27622" s="3" t="str">
        <f>"01084713"</f>
        <v>01084713</v>
      </c>
    </row>
    <row r="27623" spans="1:2" x14ac:dyDescent="0.25">
      <c r="A27623" s="2">
        <v>27618</v>
      </c>
      <c r="B27623" s="3" t="str">
        <f>"01084716"</f>
        <v>01084716</v>
      </c>
    </row>
    <row r="27624" spans="1:2" x14ac:dyDescent="0.25">
      <c r="A27624" s="2">
        <v>27619</v>
      </c>
      <c r="B27624" s="3" t="str">
        <f>"01084729"</f>
        <v>01084729</v>
      </c>
    </row>
    <row r="27625" spans="1:2" x14ac:dyDescent="0.25">
      <c r="A27625" s="2">
        <v>27620</v>
      </c>
      <c r="B27625" s="3" t="str">
        <f>"01084730"</f>
        <v>01084730</v>
      </c>
    </row>
    <row r="27626" spans="1:2" x14ac:dyDescent="0.25">
      <c r="A27626" s="2">
        <v>27621</v>
      </c>
      <c r="B27626" s="3" t="str">
        <f>"01084742"</f>
        <v>01084742</v>
      </c>
    </row>
    <row r="27627" spans="1:2" x14ac:dyDescent="0.25">
      <c r="A27627" s="2">
        <v>27622</v>
      </c>
      <c r="B27627" s="3" t="str">
        <f>"01084750"</f>
        <v>01084750</v>
      </c>
    </row>
    <row r="27628" spans="1:2" x14ac:dyDescent="0.25">
      <c r="A27628" s="2">
        <v>27623</v>
      </c>
      <c r="B27628" s="3" t="str">
        <f>"01084753"</f>
        <v>01084753</v>
      </c>
    </row>
    <row r="27629" spans="1:2" x14ac:dyDescent="0.25">
      <c r="A27629" s="2">
        <v>27624</v>
      </c>
      <c r="B27629" s="3" t="str">
        <f>"01084759"</f>
        <v>01084759</v>
      </c>
    </row>
    <row r="27630" spans="1:2" x14ac:dyDescent="0.25">
      <c r="A27630" s="2">
        <v>27625</v>
      </c>
      <c r="B27630" s="3" t="str">
        <f>"01084762"</f>
        <v>01084762</v>
      </c>
    </row>
    <row r="27631" spans="1:2" x14ac:dyDescent="0.25">
      <c r="A27631" s="2">
        <v>27626</v>
      </c>
      <c r="B27631" s="3" t="str">
        <f>"01084765"</f>
        <v>01084765</v>
      </c>
    </row>
    <row r="27632" spans="1:2" x14ac:dyDescent="0.25">
      <c r="A27632" s="2">
        <v>27627</v>
      </c>
      <c r="B27632" s="3" t="str">
        <f>"01084770"</f>
        <v>01084770</v>
      </c>
    </row>
    <row r="27633" spans="1:2" x14ac:dyDescent="0.25">
      <c r="A27633" s="2">
        <v>27628</v>
      </c>
      <c r="B27633" s="3" t="str">
        <f>"01084782"</f>
        <v>01084782</v>
      </c>
    </row>
    <row r="27634" spans="1:2" x14ac:dyDescent="0.25">
      <c r="A27634" s="2">
        <v>27629</v>
      </c>
      <c r="B27634" s="3" t="str">
        <f>"01084792"</f>
        <v>01084792</v>
      </c>
    </row>
    <row r="27635" spans="1:2" x14ac:dyDescent="0.25">
      <c r="A27635" s="2">
        <v>27630</v>
      </c>
      <c r="B27635" s="3" t="str">
        <f>"01084796"</f>
        <v>01084796</v>
      </c>
    </row>
    <row r="27636" spans="1:2" x14ac:dyDescent="0.25">
      <c r="A27636" s="2">
        <v>27631</v>
      </c>
      <c r="B27636" s="3" t="str">
        <f>"01084805"</f>
        <v>01084805</v>
      </c>
    </row>
    <row r="27637" spans="1:2" x14ac:dyDescent="0.25">
      <c r="A27637" s="2">
        <v>27632</v>
      </c>
      <c r="B27637" s="3" t="str">
        <f>"01084811"</f>
        <v>01084811</v>
      </c>
    </row>
    <row r="27638" spans="1:2" x14ac:dyDescent="0.25">
      <c r="A27638" s="2">
        <v>27633</v>
      </c>
      <c r="B27638" s="3" t="str">
        <f>"01084820"</f>
        <v>01084820</v>
      </c>
    </row>
    <row r="27639" spans="1:2" x14ac:dyDescent="0.25">
      <c r="A27639" s="2">
        <v>27634</v>
      </c>
      <c r="B27639" s="3" t="str">
        <f>"01084827"</f>
        <v>01084827</v>
      </c>
    </row>
    <row r="27640" spans="1:2" x14ac:dyDescent="0.25">
      <c r="A27640" s="2">
        <v>27635</v>
      </c>
      <c r="B27640" s="3" t="str">
        <f>"01084872"</f>
        <v>01084872</v>
      </c>
    </row>
    <row r="27641" spans="1:2" x14ac:dyDescent="0.25">
      <c r="A27641" s="2">
        <v>27636</v>
      </c>
      <c r="B27641" s="3" t="str">
        <f>"01084873"</f>
        <v>01084873</v>
      </c>
    </row>
    <row r="27642" spans="1:2" x14ac:dyDescent="0.25">
      <c r="A27642" s="2">
        <v>27637</v>
      </c>
      <c r="B27642" s="3" t="str">
        <f>"01084883"</f>
        <v>01084883</v>
      </c>
    </row>
    <row r="27643" spans="1:2" x14ac:dyDescent="0.25">
      <c r="A27643" s="2">
        <v>27638</v>
      </c>
      <c r="B27643" s="3" t="str">
        <f>"01084890"</f>
        <v>01084890</v>
      </c>
    </row>
    <row r="27644" spans="1:2" x14ac:dyDescent="0.25">
      <c r="A27644" s="2">
        <v>27639</v>
      </c>
      <c r="B27644" s="3" t="str">
        <f>"01084896"</f>
        <v>01084896</v>
      </c>
    </row>
    <row r="27645" spans="1:2" x14ac:dyDescent="0.25">
      <c r="A27645" s="2">
        <v>27640</v>
      </c>
      <c r="B27645" s="3" t="str">
        <f>"01084898"</f>
        <v>01084898</v>
      </c>
    </row>
    <row r="27646" spans="1:2" x14ac:dyDescent="0.25">
      <c r="A27646" s="2">
        <v>27641</v>
      </c>
      <c r="B27646" s="3" t="str">
        <f>"01084902"</f>
        <v>01084902</v>
      </c>
    </row>
    <row r="27647" spans="1:2" x14ac:dyDescent="0.25">
      <c r="A27647" s="2">
        <v>27642</v>
      </c>
      <c r="B27647" s="3" t="str">
        <f>"01084909"</f>
        <v>01084909</v>
      </c>
    </row>
    <row r="27648" spans="1:2" x14ac:dyDescent="0.25">
      <c r="A27648" s="2">
        <v>27643</v>
      </c>
      <c r="B27648" s="3" t="str">
        <f>"01084933"</f>
        <v>01084933</v>
      </c>
    </row>
    <row r="27649" spans="1:2" x14ac:dyDescent="0.25">
      <c r="A27649" s="2">
        <v>27644</v>
      </c>
      <c r="B27649" s="3" t="str">
        <f>"01084945"</f>
        <v>01084945</v>
      </c>
    </row>
    <row r="27650" spans="1:2" x14ac:dyDescent="0.25">
      <c r="A27650" s="2">
        <v>27645</v>
      </c>
      <c r="B27650" s="3" t="str">
        <f>"20160701364"</f>
        <v>20160701364</v>
      </c>
    </row>
    <row r="27651" spans="1:2" x14ac:dyDescent="0.25">
      <c r="A27651" s="2">
        <v>27646</v>
      </c>
      <c r="B27651" s="3" t="str">
        <f>"20160706540"</f>
        <v>20160706540</v>
      </c>
    </row>
    <row r="27652" spans="1:2" x14ac:dyDescent="0.25">
      <c r="A27652" s="2">
        <v>27647</v>
      </c>
      <c r="B27652" s="3" t="str">
        <f>"20160706556"</f>
        <v>20160706556</v>
      </c>
    </row>
    <row r="27653" spans="1:2" x14ac:dyDescent="0.25">
      <c r="A27653" s="2">
        <v>27648</v>
      </c>
      <c r="B27653" s="3" t="str">
        <f>"20160708653"</f>
        <v>20160708653</v>
      </c>
    </row>
    <row r="27654" spans="1:2" x14ac:dyDescent="0.25">
      <c r="A27654" s="2">
        <v>27649</v>
      </c>
      <c r="B27654" s="3" t="str">
        <f>"20160708667"</f>
        <v>20160708667</v>
      </c>
    </row>
    <row r="27655" spans="1:2" x14ac:dyDescent="0.25">
      <c r="A27655" s="2">
        <v>27650</v>
      </c>
      <c r="B27655" s="3" t="str">
        <f>"20160710759"</f>
        <v>20160710759</v>
      </c>
    </row>
    <row r="27656" spans="1:2" x14ac:dyDescent="0.25">
      <c r="A27656" s="2">
        <v>27651</v>
      </c>
      <c r="B27656" s="3" t="str">
        <f>"20160710814"</f>
        <v>20160710814</v>
      </c>
    </row>
    <row r="27657" spans="1:2" x14ac:dyDescent="0.25">
      <c r="A27657" s="2">
        <v>27652</v>
      </c>
      <c r="B27657" s="3" t="str">
        <f>"200712000012"</f>
        <v>200712000012</v>
      </c>
    </row>
    <row r="27658" spans="1:2" x14ac:dyDescent="0.25">
      <c r="A27658" s="2">
        <v>27653</v>
      </c>
      <c r="B27658" s="3" t="str">
        <f>"200712000013"</f>
        <v>200712000013</v>
      </c>
    </row>
    <row r="27659" spans="1:2" x14ac:dyDescent="0.25">
      <c r="A27659" s="2">
        <v>27654</v>
      </c>
      <c r="B27659" s="3" t="str">
        <f>"200712000021"</f>
        <v>200712000021</v>
      </c>
    </row>
    <row r="27660" spans="1:2" x14ac:dyDescent="0.25">
      <c r="A27660" s="2">
        <v>27655</v>
      </c>
      <c r="B27660" s="3" t="str">
        <f>"200712000038"</f>
        <v>200712000038</v>
      </c>
    </row>
    <row r="27661" spans="1:2" x14ac:dyDescent="0.25">
      <c r="A27661" s="2">
        <v>27656</v>
      </c>
      <c r="B27661" s="3" t="str">
        <f>"200712000059"</f>
        <v>200712000059</v>
      </c>
    </row>
    <row r="27662" spans="1:2" x14ac:dyDescent="0.25">
      <c r="A27662" s="2">
        <v>27657</v>
      </c>
      <c r="B27662" s="3" t="str">
        <f>"200712000083"</f>
        <v>200712000083</v>
      </c>
    </row>
    <row r="27663" spans="1:2" x14ac:dyDescent="0.25">
      <c r="A27663" s="2">
        <v>27658</v>
      </c>
      <c r="B27663" s="3" t="str">
        <f>"200712000129"</f>
        <v>200712000129</v>
      </c>
    </row>
    <row r="27664" spans="1:2" x14ac:dyDescent="0.25">
      <c r="A27664" s="2">
        <v>27659</v>
      </c>
      <c r="B27664" s="3" t="str">
        <f>"200712000162"</f>
        <v>200712000162</v>
      </c>
    </row>
    <row r="27665" spans="1:2" x14ac:dyDescent="0.25">
      <c r="A27665" s="2">
        <v>27660</v>
      </c>
      <c r="B27665" s="3" t="str">
        <f>"200712000165"</f>
        <v>200712000165</v>
      </c>
    </row>
    <row r="27666" spans="1:2" x14ac:dyDescent="0.25">
      <c r="A27666" s="2">
        <v>27661</v>
      </c>
      <c r="B27666" s="3" t="str">
        <f>"200712000167"</f>
        <v>200712000167</v>
      </c>
    </row>
    <row r="27667" spans="1:2" x14ac:dyDescent="0.25">
      <c r="A27667" s="2">
        <v>27662</v>
      </c>
      <c r="B27667" s="3" t="str">
        <f>"200712000169"</f>
        <v>200712000169</v>
      </c>
    </row>
    <row r="27668" spans="1:2" x14ac:dyDescent="0.25">
      <c r="A27668" s="2">
        <v>27663</v>
      </c>
      <c r="B27668" s="3" t="str">
        <f>"200712000176"</f>
        <v>200712000176</v>
      </c>
    </row>
    <row r="27669" spans="1:2" x14ac:dyDescent="0.25">
      <c r="A27669" s="2">
        <v>27664</v>
      </c>
      <c r="B27669" s="3" t="str">
        <f>"200712000188"</f>
        <v>200712000188</v>
      </c>
    </row>
    <row r="27670" spans="1:2" x14ac:dyDescent="0.25">
      <c r="A27670" s="2">
        <v>27665</v>
      </c>
      <c r="B27670" s="3" t="str">
        <f>"200712000207"</f>
        <v>200712000207</v>
      </c>
    </row>
    <row r="27671" spans="1:2" x14ac:dyDescent="0.25">
      <c r="A27671" s="2">
        <v>27666</v>
      </c>
      <c r="B27671" s="3" t="str">
        <f>"200712000211"</f>
        <v>200712000211</v>
      </c>
    </row>
    <row r="27672" spans="1:2" x14ac:dyDescent="0.25">
      <c r="A27672" s="2">
        <v>27667</v>
      </c>
      <c r="B27672" s="3" t="str">
        <f>"200712000214"</f>
        <v>200712000214</v>
      </c>
    </row>
    <row r="27673" spans="1:2" x14ac:dyDescent="0.25">
      <c r="A27673" s="2">
        <v>27668</v>
      </c>
      <c r="B27673" s="3" t="str">
        <f>"200712000221"</f>
        <v>200712000221</v>
      </c>
    </row>
    <row r="27674" spans="1:2" x14ac:dyDescent="0.25">
      <c r="A27674" s="2">
        <v>27669</v>
      </c>
      <c r="B27674" s="3" t="str">
        <f>"200712000239"</f>
        <v>200712000239</v>
      </c>
    </row>
    <row r="27675" spans="1:2" x14ac:dyDescent="0.25">
      <c r="A27675" s="2">
        <v>27670</v>
      </c>
      <c r="B27675" s="3" t="str">
        <f>"200712000254"</f>
        <v>200712000254</v>
      </c>
    </row>
    <row r="27676" spans="1:2" x14ac:dyDescent="0.25">
      <c r="A27676" s="2">
        <v>27671</v>
      </c>
      <c r="B27676" s="3" t="str">
        <f>"200712000255"</f>
        <v>200712000255</v>
      </c>
    </row>
    <row r="27677" spans="1:2" x14ac:dyDescent="0.25">
      <c r="A27677" s="2">
        <v>27672</v>
      </c>
      <c r="B27677" s="3" t="str">
        <f>"200712000306"</f>
        <v>200712000306</v>
      </c>
    </row>
    <row r="27678" spans="1:2" x14ac:dyDescent="0.25">
      <c r="A27678" s="2">
        <v>27673</v>
      </c>
      <c r="B27678" s="3" t="str">
        <f>"200712000335"</f>
        <v>200712000335</v>
      </c>
    </row>
    <row r="27679" spans="1:2" x14ac:dyDescent="0.25">
      <c r="A27679" s="2">
        <v>27674</v>
      </c>
      <c r="B27679" s="3" t="str">
        <f>"200712000348"</f>
        <v>200712000348</v>
      </c>
    </row>
    <row r="27680" spans="1:2" x14ac:dyDescent="0.25">
      <c r="A27680" s="2">
        <v>27675</v>
      </c>
      <c r="B27680" s="3" t="str">
        <f>"200712000361"</f>
        <v>200712000361</v>
      </c>
    </row>
    <row r="27681" spans="1:2" x14ac:dyDescent="0.25">
      <c r="A27681" s="2">
        <v>27676</v>
      </c>
      <c r="B27681" s="3" t="str">
        <f>"200712000433"</f>
        <v>200712000433</v>
      </c>
    </row>
    <row r="27682" spans="1:2" x14ac:dyDescent="0.25">
      <c r="A27682" s="2">
        <v>27677</v>
      </c>
      <c r="B27682" s="3" t="str">
        <f>"200712000453"</f>
        <v>200712000453</v>
      </c>
    </row>
    <row r="27683" spans="1:2" x14ac:dyDescent="0.25">
      <c r="A27683" s="2">
        <v>27678</v>
      </c>
      <c r="B27683" s="3" t="str">
        <f>"200712000460"</f>
        <v>200712000460</v>
      </c>
    </row>
    <row r="27684" spans="1:2" x14ac:dyDescent="0.25">
      <c r="A27684" s="2">
        <v>27679</v>
      </c>
      <c r="B27684" s="3" t="str">
        <f>"200712000496"</f>
        <v>200712000496</v>
      </c>
    </row>
    <row r="27685" spans="1:2" x14ac:dyDescent="0.25">
      <c r="A27685" s="2">
        <v>27680</v>
      </c>
      <c r="B27685" s="3" t="str">
        <f>"200712000590"</f>
        <v>200712000590</v>
      </c>
    </row>
    <row r="27686" spans="1:2" x14ac:dyDescent="0.25">
      <c r="A27686" s="2">
        <v>27681</v>
      </c>
      <c r="B27686" s="3" t="str">
        <f>"200712000625"</f>
        <v>200712000625</v>
      </c>
    </row>
    <row r="27687" spans="1:2" x14ac:dyDescent="0.25">
      <c r="A27687" s="2">
        <v>27682</v>
      </c>
      <c r="B27687" s="3" t="str">
        <f>"200712000642"</f>
        <v>200712000642</v>
      </c>
    </row>
    <row r="27688" spans="1:2" x14ac:dyDescent="0.25">
      <c r="A27688" s="2">
        <v>27683</v>
      </c>
      <c r="B27688" s="3" t="str">
        <f>"200712000691"</f>
        <v>200712000691</v>
      </c>
    </row>
    <row r="27689" spans="1:2" x14ac:dyDescent="0.25">
      <c r="A27689" s="2">
        <v>27684</v>
      </c>
      <c r="B27689" s="3" t="str">
        <f>"200712000781"</f>
        <v>200712000781</v>
      </c>
    </row>
    <row r="27690" spans="1:2" x14ac:dyDescent="0.25">
      <c r="A27690" s="2">
        <v>27685</v>
      </c>
      <c r="B27690" s="3" t="str">
        <f>"200712000804"</f>
        <v>200712000804</v>
      </c>
    </row>
    <row r="27691" spans="1:2" x14ac:dyDescent="0.25">
      <c r="A27691" s="2">
        <v>27686</v>
      </c>
      <c r="B27691" s="3" t="str">
        <f>"200712000806"</f>
        <v>200712000806</v>
      </c>
    </row>
    <row r="27692" spans="1:2" x14ac:dyDescent="0.25">
      <c r="A27692" s="2">
        <v>27687</v>
      </c>
      <c r="B27692" s="3" t="str">
        <f>"200712000861"</f>
        <v>200712000861</v>
      </c>
    </row>
    <row r="27693" spans="1:2" x14ac:dyDescent="0.25">
      <c r="A27693" s="2">
        <v>27688</v>
      </c>
      <c r="B27693" s="3" t="str">
        <f>"200712000881"</f>
        <v>200712000881</v>
      </c>
    </row>
    <row r="27694" spans="1:2" x14ac:dyDescent="0.25">
      <c r="A27694" s="2">
        <v>27689</v>
      </c>
      <c r="B27694" s="3" t="str">
        <f>"200712000907"</f>
        <v>200712000907</v>
      </c>
    </row>
    <row r="27695" spans="1:2" x14ac:dyDescent="0.25">
      <c r="A27695" s="2">
        <v>27690</v>
      </c>
      <c r="B27695" s="3" t="str">
        <f>"200712000917"</f>
        <v>200712000917</v>
      </c>
    </row>
    <row r="27696" spans="1:2" x14ac:dyDescent="0.25">
      <c r="A27696" s="2">
        <v>27691</v>
      </c>
      <c r="B27696" s="3" t="str">
        <f>"200712000935"</f>
        <v>200712000935</v>
      </c>
    </row>
    <row r="27697" spans="1:2" x14ac:dyDescent="0.25">
      <c r="A27697" s="2">
        <v>27692</v>
      </c>
      <c r="B27697" s="3" t="str">
        <f>"200712000955"</f>
        <v>200712000955</v>
      </c>
    </row>
    <row r="27698" spans="1:2" x14ac:dyDescent="0.25">
      <c r="A27698" s="2">
        <v>27693</v>
      </c>
      <c r="B27698" s="3" t="str">
        <f>"200712000976"</f>
        <v>200712000976</v>
      </c>
    </row>
    <row r="27699" spans="1:2" x14ac:dyDescent="0.25">
      <c r="A27699" s="2">
        <v>27694</v>
      </c>
      <c r="B27699" s="3" t="str">
        <f>"200712001001"</f>
        <v>200712001001</v>
      </c>
    </row>
    <row r="27700" spans="1:2" x14ac:dyDescent="0.25">
      <c r="A27700" s="2">
        <v>27695</v>
      </c>
      <c r="B27700" s="3" t="str">
        <f>"200712001037"</f>
        <v>200712001037</v>
      </c>
    </row>
    <row r="27701" spans="1:2" x14ac:dyDescent="0.25">
      <c r="A27701" s="2">
        <v>27696</v>
      </c>
      <c r="B27701" s="3" t="str">
        <f>"200712001042"</f>
        <v>200712001042</v>
      </c>
    </row>
    <row r="27702" spans="1:2" x14ac:dyDescent="0.25">
      <c r="A27702" s="2">
        <v>27697</v>
      </c>
      <c r="B27702" s="3" t="str">
        <f>"200712001081"</f>
        <v>200712001081</v>
      </c>
    </row>
    <row r="27703" spans="1:2" x14ac:dyDescent="0.25">
      <c r="A27703" s="2">
        <v>27698</v>
      </c>
      <c r="B27703" s="3" t="str">
        <f>"200712001098"</f>
        <v>200712001098</v>
      </c>
    </row>
    <row r="27704" spans="1:2" x14ac:dyDescent="0.25">
      <c r="A27704" s="2">
        <v>27699</v>
      </c>
      <c r="B27704" s="3" t="str">
        <f>"200712001113"</f>
        <v>200712001113</v>
      </c>
    </row>
    <row r="27705" spans="1:2" x14ac:dyDescent="0.25">
      <c r="A27705" s="2">
        <v>27700</v>
      </c>
      <c r="B27705" s="3" t="str">
        <f>"200712001139"</f>
        <v>200712001139</v>
      </c>
    </row>
    <row r="27706" spans="1:2" x14ac:dyDescent="0.25">
      <c r="A27706" s="2">
        <v>27701</v>
      </c>
      <c r="B27706" s="3" t="str">
        <f>"200712001211"</f>
        <v>200712001211</v>
      </c>
    </row>
    <row r="27707" spans="1:2" x14ac:dyDescent="0.25">
      <c r="A27707" s="2">
        <v>27702</v>
      </c>
      <c r="B27707" s="3" t="str">
        <f>"200712001245"</f>
        <v>200712001245</v>
      </c>
    </row>
    <row r="27708" spans="1:2" x14ac:dyDescent="0.25">
      <c r="A27708" s="2">
        <v>27703</v>
      </c>
      <c r="B27708" s="3" t="str">
        <f>"200712001263"</f>
        <v>200712001263</v>
      </c>
    </row>
    <row r="27709" spans="1:2" x14ac:dyDescent="0.25">
      <c r="A27709" s="2">
        <v>27704</v>
      </c>
      <c r="B27709" s="3" t="str">
        <f>"200712001278"</f>
        <v>200712001278</v>
      </c>
    </row>
    <row r="27710" spans="1:2" x14ac:dyDescent="0.25">
      <c r="A27710" s="2">
        <v>27705</v>
      </c>
      <c r="B27710" s="3" t="str">
        <f>"200712001290"</f>
        <v>200712001290</v>
      </c>
    </row>
    <row r="27711" spans="1:2" x14ac:dyDescent="0.25">
      <c r="A27711" s="2">
        <v>27706</v>
      </c>
      <c r="B27711" s="3" t="str">
        <f>"200712001435"</f>
        <v>200712001435</v>
      </c>
    </row>
    <row r="27712" spans="1:2" x14ac:dyDescent="0.25">
      <c r="A27712" s="2">
        <v>27707</v>
      </c>
      <c r="B27712" s="3" t="str">
        <f>"200712001449"</f>
        <v>200712001449</v>
      </c>
    </row>
    <row r="27713" spans="1:2" x14ac:dyDescent="0.25">
      <c r="A27713" s="2">
        <v>27708</v>
      </c>
      <c r="B27713" s="3" t="str">
        <f>"200712001468"</f>
        <v>200712001468</v>
      </c>
    </row>
    <row r="27714" spans="1:2" x14ac:dyDescent="0.25">
      <c r="A27714" s="2">
        <v>27709</v>
      </c>
      <c r="B27714" s="3" t="str">
        <f>"200712001478"</f>
        <v>200712001478</v>
      </c>
    </row>
    <row r="27715" spans="1:2" x14ac:dyDescent="0.25">
      <c r="A27715" s="2">
        <v>27710</v>
      </c>
      <c r="B27715" s="3" t="str">
        <f>"200712001520"</f>
        <v>200712001520</v>
      </c>
    </row>
    <row r="27716" spans="1:2" x14ac:dyDescent="0.25">
      <c r="A27716" s="2">
        <v>27711</v>
      </c>
      <c r="B27716" s="3" t="str">
        <f>"200712001541"</f>
        <v>200712001541</v>
      </c>
    </row>
    <row r="27717" spans="1:2" x14ac:dyDescent="0.25">
      <c r="A27717" s="2">
        <v>27712</v>
      </c>
      <c r="B27717" s="3" t="str">
        <f>"200712001545"</f>
        <v>200712001545</v>
      </c>
    </row>
    <row r="27718" spans="1:2" x14ac:dyDescent="0.25">
      <c r="A27718" s="2">
        <v>27713</v>
      </c>
      <c r="B27718" s="3" t="str">
        <f>"200712001552"</f>
        <v>200712001552</v>
      </c>
    </row>
    <row r="27719" spans="1:2" x14ac:dyDescent="0.25">
      <c r="A27719" s="2">
        <v>27714</v>
      </c>
      <c r="B27719" s="3" t="str">
        <f>"200712001568"</f>
        <v>200712001568</v>
      </c>
    </row>
    <row r="27720" spans="1:2" x14ac:dyDescent="0.25">
      <c r="A27720" s="2">
        <v>27715</v>
      </c>
      <c r="B27720" s="3" t="str">
        <f>"200712001600"</f>
        <v>200712001600</v>
      </c>
    </row>
    <row r="27721" spans="1:2" x14ac:dyDescent="0.25">
      <c r="A27721" s="2">
        <v>27716</v>
      </c>
      <c r="B27721" s="3" t="str">
        <f>"200712001639"</f>
        <v>200712001639</v>
      </c>
    </row>
    <row r="27722" spans="1:2" x14ac:dyDescent="0.25">
      <c r="A27722" s="2">
        <v>27717</v>
      </c>
      <c r="B27722" s="3" t="str">
        <f>"200712001644"</f>
        <v>200712001644</v>
      </c>
    </row>
    <row r="27723" spans="1:2" x14ac:dyDescent="0.25">
      <c r="A27723" s="2">
        <v>27718</v>
      </c>
      <c r="B27723" s="3" t="str">
        <f>"200712001654"</f>
        <v>200712001654</v>
      </c>
    </row>
    <row r="27724" spans="1:2" x14ac:dyDescent="0.25">
      <c r="A27724" s="2">
        <v>27719</v>
      </c>
      <c r="B27724" s="3" t="str">
        <f>"200712001697"</f>
        <v>200712001697</v>
      </c>
    </row>
    <row r="27725" spans="1:2" x14ac:dyDescent="0.25">
      <c r="A27725" s="2">
        <v>27720</v>
      </c>
      <c r="B27725" s="3" t="str">
        <f>"200712001724"</f>
        <v>200712001724</v>
      </c>
    </row>
    <row r="27726" spans="1:2" x14ac:dyDescent="0.25">
      <c r="A27726" s="2">
        <v>27721</v>
      </c>
      <c r="B27726" s="3" t="str">
        <f>"200712001802"</f>
        <v>200712001802</v>
      </c>
    </row>
    <row r="27727" spans="1:2" x14ac:dyDescent="0.25">
      <c r="A27727" s="2">
        <v>27722</v>
      </c>
      <c r="B27727" s="3" t="str">
        <f>"200712001809"</f>
        <v>200712001809</v>
      </c>
    </row>
    <row r="27728" spans="1:2" x14ac:dyDescent="0.25">
      <c r="A27728" s="2">
        <v>27723</v>
      </c>
      <c r="B27728" s="3" t="str">
        <f>"200712001851"</f>
        <v>200712001851</v>
      </c>
    </row>
    <row r="27729" spans="1:2" x14ac:dyDescent="0.25">
      <c r="A27729" s="2">
        <v>27724</v>
      </c>
      <c r="B27729" s="3" t="str">
        <f>"200712001855"</f>
        <v>200712001855</v>
      </c>
    </row>
    <row r="27730" spans="1:2" x14ac:dyDescent="0.25">
      <c r="A27730" s="2">
        <v>27725</v>
      </c>
      <c r="B27730" s="3" t="str">
        <f>"200712001895"</f>
        <v>200712001895</v>
      </c>
    </row>
    <row r="27731" spans="1:2" x14ac:dyDescent="0.25">
      <c r="A27731" s="2">
        <v>27726</v>
      </c>
      <c r="B27731" s="3" t="str">
        <f>"200712001916"</f>
        <v>200712001916</v>
      </c>
    </row>
    <row r="27732" spans="1:2" x14ac:dyDescent="0.25">
      <c r="A27732" s="2">
        <v>27727</v>
      </c>
      <c r="B27732" s="3" t="str">
        <f>"200712001951"</f>
        <v>200712001951</v>
      </c>
    </row>
    <row r="27733" spans="1:2" x14ac:dyDescent="0.25">
      <c r="A27733" s="2">
        <v>27728</v>
      </c>
      <c r="B27733" s="3" t="str">
        <f>"200712001954"</f>
        <v>200712001954</v>
      </c>
    </row>
    <row r="27734" spans="1:2" x14ac:dyDescent="0.25">
      <c r="A27734" s="2">
        <v>27729</v>
      </c>
      <c r="B27734" s="3" t="str">
        <f>"200712002035"</f>
        <v>200712002035</v>
      </c>
    </row>
    <row r="27735" spans="1:2" x14ac:dyDescent="0.25">
      <c r="A27735" s="2">
        <v>27730</v>
      </c>
      <c r="B27735" s="3" t="str">
        <f>"200712002070"</f>
        <v>200712002070</v>
      </c>
    </row>
    <row r="27736" spans="1:2" x14ac:dyDescent="0.25">
      <c r="A27736" s="2">
        <v>27731</v>
      </c>
      <c r="B27736" s="3" t="str">
        <f>"200712002159"</f>
        <v>200712002159</v>
      </c>
    </row>
    <row r="27737" spans="1:2" x14ac:dyDescent="0.25">
      <c r="A27737" s="2">
        <v>27732</v>
      </c>
      <c r="B27737" s="3" t="str">
        <f>"200712002228"</f>
        <v>200712002228</v>
      </c>
    </row>
    <row r="27738" spans="1:2" x14ac:dyDescent="0.25">
      <c r="A27738" s="2">
        <v>27733</v>
      </c>
      <c r="B27738" s="3" t="str">
        <f>"200712002275"</f>
        <v>200712002275</v>
      </c>
    </row>
    <row r="27739" spans="1:2" x14ac:dyDescent="0.25">
      <c r="A27739" s="2">
        <v>27734</v>
      </c>
      <c r="B27739" s="3" t="str">
        <f>"200712002294"</f>
        <v>200712002294</v>
      </c>
    </row>
    <row r="27740" spans="1:2" x14ac:dyDescent="0.25">
      <c r="A27740" s="2">
        <v>27735</v>
      </c>
      <c r="B27740" s="3" t="str">
        <f>"200712002362"</f>
        <v>200712002362</v>
      </c>
    </row>
    <row r="27741" spans="1:2" x14ac:dyDescent="0.25">
      <c r="A27741" s="2">
        <v>27736</v>
      </c>
      <c r="B27741" s="3" t="str">
        <f>"200712002370"</f>
        <v>200712002370</v>
      </c>
    </row>
    <row r="27742" spans="1:2" x14ac:dyDescent="0.25">
      <c r="A27742" s="2">
        <v>27737</v>
      </c>
      <c r="B27742" s="3" t="str">
        <f>"200712002452"</f>
        <v>200712002452</v>
      </c>
    </row>
    <row r="27743" spans="1:2" x14ac:dyDescent="0.25">
      <c r="A27743" s="2">
        <v>27738</v>
      </c>
      <c r="B27743" s="3" t="str">
        <f>"200712002526"</f>
        <v>200712002526</v>
      </c>
    </row>
    <row r="27744" spans="1:2" x14ac:dyDescent="0.25">
      <c r="A27744" s="2">
        <v>27739</v>
      </c>
      <c r="B27744" s="3" t="str">
        <f>"200712002531"</f>
        <v>200712002531</v>
      </c>
    </row>
    <row r="27745" spans="1:2" x14ac:dyDescent="0.25">
      <c r="A27745" s="2">
        <v>27740</v>
      </c>
      <c r="B27745" s="3" t="str">
        <f>"200712002570"</f>
        <v>200712002570</v>
      </c>
    </row>
    <row r="27746" spans="1:2" x14ac:dyDescent="0.25">
      <c r="A27746" s="2">
        <v>27741</v>
      </c>
      <c r="B27746" s="3" t="str">
        <f>"200712002592"</f>
        <v>200712002592</v>
      </c>
    </row>
    <row r="27747" spans="1:2" x14ac:dyDescent="0.25">
      <c r="A27747" s="2">
        <v>27742</v>
      </c>
      <c r="B27747" s="3" t="str">
        <f>"200712002594"</f>
        <v>200712002594</v>
      </c>
    </row>
    <row r="27748" spans="1:2" x14ac:dyDescent="0.25">
      <c r="A27748" s="2">
        <v>27743</v>
      </c>
      <c r="B27748" s="3" t="str">
        <f>"200712002627"</f>
        <v>200712002627</v>
      </c>
    </row>
    <row r="27749" spans="1:2" x14ac:dyDescent="0.25">
      <c r="A27749" s="2">
        <v>27744</v>
      </c>
      <c r="B27749" s="3" t="str">
        <f>"200712002645"</f>
        <v>200712002645</v>
      </c>
    </row>
    <row r="27750" spans="1:2" x14ac:dyDescent="0.25">
      <c r="A27750" s="2">
        <v>27745</v>
      </c>
      <c r="B27750" s="3" t="str">
        <f>"200712002661"</f>
        <v>200712002661</v>
      </c>
    </row>
    <row r="27751" spans="1:2" x14ac:dyDescent="0.25">
      <c r="A27751" s="2">
        <v>27746</v>
      </c>
      <c r="B27751" s="3" t="str">
        <f>"200712002663"</f>
        <v>200712002663</v>
      </c>
    </row>
    <row r="27752" spans="1:2" x14ac:dyDescent="0.25">
      <c r="A27752" s="2">
        <v>27747</v>
      </c>
      <c r="B27752" s="3" t="str">
        <f>"200712002670"</f>
        <v>200712002670</v>
      </c>
    </row>
    <row r="27753" spans="1:2" x14ac:dyDescent="0.25">
      <c r="A27753" s="2">
        <v>27748</v>
      </c>
      <c r="B27753" s="3" t="str">
        <f>"200712002728"</f>
        <v>200712002728</v>
      </c>
    </row>
    <row r="27754" spans="1:2" x14ac:dyDescent="0.25">
      <c r="A27754" s="2">
        <v>27749</v>
      </c>
      <c r="B27754" s="3" t="str">
        <f>"200712002746"</f>
        <v>200712002746</v>
      </c>
    </row>
    <row r="27755" spans="1:2" x14ac:dyDescent="0.25">
      <c r="A27755" s="2">
        <v>27750</v>
      </c>
      <c r="B27755" s="3" t="str">
        <f>"200712002779"</f>
        <v>200712002779</v>
      </c>
    </row>
    <row r="27756" spans="1:2" x14ac:dyDescent="0.25">
      <c r="A27756" s="2">
        <v>27751</v>
      </c>
      <c r="B27756" s="3" t="str">
        <f>"200712002789"</f>
        <v>200712002789</v>
      </c>
    </row>
    <row r="27757" spans="1:2" x14ac:dyDescent="0.25">
      <c r="A27757" s="2">
        <v>27752</v>
      </c>
      <c r="B27757" s="3" t="str">
        <f>"200712002797"</f>
        <v>200712002797</v>
      </c>
    </row>
    <row r="27758" spans="1:2" x14ac:dyDescent="0.25">
      <c r="A27758" s="2">
        <v>27753</v>
      </c>
      <c r="B27758" s="3" t="str">
        <f>"200712002869"</f>
        <v>200712002869</v>
      </c>
    </row>
    <row r="27759" spans="1:2" x14ac:dyDescent="0.25">
      <c r="A27759" s="2">
        <v>27754</v>
      </c>
      <c r="B27759" s="3" t="str">
        <f>"200712002903"</f>
        <v>200712002903</v>
      </c>
    </row>
    <row r="27760" spans="1:2" x14ac:dyDescent="0.25">
      <c r="A27760" s="2">
        <v>27755</v>
      </c>
      <c r="B27760" s="3" t="str">
        <f>"200712002947"</f>
        <v>200712002947</v>
      </c>
    </row>
    <row r="27761" spans="1:2" x14ac:dyDescent="0.25">
      <c r="A27761" s="2">
        <v>27756</v>
      </c>
      <c r="B27761" s="3" t="str">
        <f>"200712002977"</f>
        <v>200712002977</v>
      </c>
    </row>
    <row r="27762" spans="1:2" x14ac:dyDescent="0.25">
      <c r="A27762" s="2">
        <v>27757</v>
      </c>
      <c r="B27762" s="3" t="str">
        <f>"200712002983"</f>
        <v>200712002983</v>
      </c>
    </row>
    <row r="27763" spans="1:2" x14ac:dyDescent="0.25">
      <c r="A27763" s="2">
        <v>27758</v>
      </c>
      <c r="B27763" s="3" t="str">
        <f>"200712003051"</f>
        <v>200712003051</v>
      </c>
    </row>
    <row r="27764" spans="1:2" x14ac:dyDescent="0.25">
      <c r="A27764" s="2">
        <v>27759</v>
      </c>
      <c r="B27764" s="3" t="str">
        <f>"200712003066"</f>
        <v>200712003066</v>
      </c>
    </row>
    <row r="27765" spans="1:2" x14ac:dyDescent="0.25">
      <c r="A27765" s="2">
        <v>27760</v>
      </c>
      <c r="B27765" s="3" t="str">
        <f>"200712003118"</f>
        <v>200712003118</v>
      </c>
    </row>
    <row r="27766" spans="1:2" x14ac:dyDescent="0.25">
      <c r="A27766" s="2">
        <v>27761</v>
      </c>
      <c r="B27766" s="3" t="str">
        <f>"200712003145"</f>
        <v>200712003145</v>
      </c>
    </row>
    <row r="27767" spans="1:2" x14ac:dyDescent="0.25">
      <c r="A27767" s="2">
        <v>27762</v>
      </c>
      <c r="B27767" s="3" t="str">
        <f>"200712003162"</f>
        <v>200712003162</v>
      </c>
    </row>
    <row r="27768" spans="1:2" x14ac:dyDescent="0.25">
      <c r="A27768" s="2">
        <v>27763</v>
      </c>
      <c r="B27768" s="3" t="str">
        <f>"200712003177"</f>
        <v>200712003177</v>
      </c>
    </row>
    <row r="27769" spans="1:2" x14ac:dyDescent="0.25">
      <c r="A27769" s="2">
        <v>27764</v>
      </c>
      <c r="B27769" s="3" t="str">
        <f>"200712003182"</f>
        <v>200712003182</v>
      </c>
    </row>
    <row r="27770" spans="1:2" x14ac:dyDescent="0.25">
      <c r="A27770" s="2">
        <v>27765</v>
      </c>
      <c r="B27770" s="3" t="str">
        <f>"200712003212"</f>
        <v>200712003212</v>
      </c>
    </row>
    <row r="27771" spans="1:2" x14ac:dyDescent="0.25">
      <c r="A27771" s="2">
        <v>27766</v>
      </c>
      <c r="B27771" s="3" t="str">
        <f>"200712003229"</f>
        <v>200712003229</v>
      </c>
    </row>
    <row r="27772" spans="1:2" x14ac:dyDescent="0.25">
      <c r="A27772" s="2">
        <v>27767</v>
      </c>
      <c r="B27772" s="3" t="str">
        <f>"200712003231"</f>
        <v>200712003231</v>
      </c>
    </row>
    <row r="27773" spans="1:2" x14ac:dyDescent="0.25">
      <c r="A27773" s="2">
        <v>27768</v>
      </c>
      <c r="B27773" s="3" t="str">
        <f>"200712003237"</f>
        <v>200712003237</v>
      </c>
    </row>
    <row r="27774" spans="1:2" x14ac:dyDescent="0.25">
      <c r="A27774" s="2">
        <v>27769</v>
      </c>
      <c r="B27774" s="3" t="str">
        <f>"200712003241"</f>
        <v>200712003241</v>
      </c>
    </row>
    <row r="27775" spans="1:2" x14ac:dyDescent="0.25">
      <c r="A27775" s="2">
        <v>27770</v>
      </c>
      <c r="B27775" s="3" t="str">
        <f>"200712003279"</f>
        <v>200712003279</v>
      </c>
    </row>
    <row r="27776" spans="1:2" x14ac:dyDescent="0.25">
      <c r="A27776" s="2">
        <v>27771</v>
      </c>
      <c r="B27776" s="3" t="str">
        <f>"200712003284"</f>
        <v>200712003284</v>
      </c>
    </row>
    <row r="27777" spans="1:2" x14ac:dyDescent="0.25">
      <c r="A27777" s="2">
        <v>27772</v>
      </c>
      <c r="B27777" s="3" t="str">
        <f>"200712003288"</f>
        <v>200712003288</v>
      </c>
    </row>
    <row r="27778" spans="1:2" x14ac:dyDescent="0.25">
      <c r="A27778" s="2">
        <v>27773</v>
      </c>
      <c r="B27778" s="3" t="str">
        <f>"200712003341"</f>
        <v>200712003341</v>
      </c>
    </row>
    <row r="27779" spans="1:2" x14ac:dyDescent="0.25">
      <c r="A27779" s="2">
        <v>27774</v>
      </c>
      <c r="B27779" s="3" t="str">
        <f>"200712003345"</f>
        <v>200712003345</v>
      </c>
    </row>
    <row r="27780" spans="1:2" x14ac:dyDescent="0.25">
      <c r="A27780" s="2">
        <v>27775</v>
      </c>
      <c r="B27780" s="3" t="str">
        <f>"200712003352"</f>
        <v>200712003352</v>
      </c>
    </row>
    <row r="27781" spans="1:2" x14ac:dyDescent="0.25">
      <c r="A27781" s="2">
        <v>27776</v>
      </c>
      <c r="B27781" s="3" t="str">
        <f>"200712003445"</f>
        <v>200712003445</v>
      </c>
    </row>
    <row r="27782" spans="1:2" x14ac:dyDescent="0.25">
      <c r="A27782" s="2">
        <v>27777</v>
      </c>
      <c r="B27782" s="3" t="str">
        <f>"200712003477"</f>
        <v>200712003477</v>
      </c>
    </row>
    <row r="27783" spans="1:2" x14ac:dyDescent="0.25">
      <c r="A27783" s="2">
        <v>27778</v>
      </c>
      <c r="B27783" s="3" t="str">
        <f>"200712003517"</f>
        <v>200712003517</v>
      </c>
    </row>
    <row r="27784" spans="1:2" x14ac:dyDescent="0.25">
      <c r="A27784" s="2">
        <v>27779</v>
      </c>
      <c r="B27784" s="3" t="str">
        <f>"200712003524"</f>
        <v>200712003524</v>
      </c>
    </row>
    <row r="27785" spans="1:2" x14ac:dyDescent="0.25">
      <c r="A27785" s="2">
        <v>27780</v>
      </c>
      <c r="B27785" s="3" t="str">
        <f>"200712003546"</f>
        <v>200712003546</v>
      </c>
    </row>
    <row r="27786" spans="1:2" x14ac:dyDescent="0.25">
      <c r="A27786" s="2">
        <v>27781</v>
      </c>
      <c r="B27786" s="3" t="str">
        <f>"200712003611"</f>
        <v>200712003611</v>
      </c>
    </row>
    <row r="27787" spans="1:2" x14ac:dyDescent="0.25">
      <c r="A27787" s="2">
        <v>27782</v>
      </c>
      <c r="B27787" s="3" t="str">
        <f>"200712003620"</f>
        <v>200712003620</v>
      </c>
    </row>
    <row r="27788" spans="1:2" x14ac:dyDescent="0.25">
      <c r="A27788" s="2">
        <v>27783</v>
      </c>
      <c r="B27788" s="3" t="str">
        <f>"200712003654"</f>
        <v>200712003654</v>
      </c>
    </row>
    <row r="27789" spans="1:2" x14ac:dyDescent="0.25">
      <c r="A27789" s="2">
        <v>27784</v>
      </c>
      <c r="B27789" s="3" t="str">
        <f>"200712003687"</f>
        <v>200712003687</v>
      </c>
    </row>
    <row r="27790" spans="1:2" x14ac:dyDescent="0.25">
      <c r="A27790" s="2">
        <v>27785</v>
      </c>
      <c r="B27790" s="3" t="str">
        <f>"200712003689"</f>
        <v>200712003689</v>
      </c>
    </row>
    <row r="27791" spans="1:2" x14ac:dyDescent="0.25">
      <c r="A27791" s="2">
        <v>27786</v>
      </c>
      <c r="B27791" s="3" t="str">
        <f>"200712003704"</f>
        <v>200712003704</v>
      </c>
    </row>
    <row r="27792" spans="1:2" x14ac:dyDescent="0.25">
      <c r="A27792" s="2">
        <v>27787</v>
      </c>
      <c r="B27792" s="3" t="str">
        <f>"200712003717"</f>
        <v>200712003717</v>
      </c>
    </row>
    <row r="27793" spans="1:2" x14ac:dyDescent="0.25">
      <c r="A27793" s="2">
        <v>27788</v>
      </c>
      <c r="B27793" s="3" t="str">
        <f>"200712003739"</f>
        <v>200712003739</v>
      </c>
    </row>
    <row r="27794" spans="1:2" x14ac:dyDescent="0.25">
      <c r="A27794" s="2">
        <v>27789</v>
      </c>
      <c r="B27794" s="3" t="str">
        <f>"200712003811"</f>
        <v>200712003811</v>
      </c>
    </row>
    <row r="27795" spans="1:2" x14ac:dyDescent="0.25">
      <c r="A27795" s="2">
        <v>27790</v>
      </c>
      <c r="B27795" s="3" t="str">
        <f>"200712003815"</f>
        <v>200712003815</v>
      </c>
    </row>
    <row r="27796" spans="1:2" x14ac:dyDescent="0.25">
      <c r="A27796" s="2">
        <v>27791</v>
      </c>
      <c r="B27796" s="3" t="str">
        <f>"200712003838"</f>
        <v>200712003838</v>
      </c>
    </row>
    <row r="27797" spans="1:2" x14ac:dyDescent="0.25">
      <c r="A27797" s="2">
        <v>27792</v>
      </c>
      <c r="B27797" s="3" t="str">
        <f>"200712003841"</f>
        <v>200712003841</v>
      </c>
    </row>
    <row r="27798" spans="1:2" x14ac:dyDescent="0.25">
      <c r="A27798" s="2">
        <v>27793</v>
      </c>
      <c r="B27798" s="3" t="str">
        <f>"200712003847"</f>
        <v>200712003847</v>
      </c>
    </row>
    <row r="27799" spans="1:2" x14ac:dyDescent="0.25">
      <c r="A27799" s="2">
        <v>27794</v>
      </c>
      <c r="B27799" s="3" t="str">
        <f>"200712003890"</f>
        <v>200712003890</v>
      </c>
    </row>
    <row r="27800" spans="1:2" x14ac:dyDescent="0.25">
      <c r="A27800" s="2">
        <v>27795</v>
      </c>
      <c r="B27800" s="3" t="str">
        <f>"200712003910"</f>
        <v>200712003910</v>
      </c>
    </row>
    <row r="27801" spans="1:2" x14ac:dyDescent="0.25">
      <c r="A27801" s="2">
        <v>27796</v>
      </c>
      <c r="B27801" s="3" t="str">
        <f>"200712003939"</f>
        <v>200712003939</v>
      </c>
    </row>
    <row r="27802" spans="1:2" x14ac:dyDescent="0.25">
      <c r="A27802" s="2">
        <v>27797</v>
      </c>
      <c r="B27802" s="3" t="str">
        <f>"200712003948"</f>
        <v>200712003948</v>
      </c>
    </row>
    <row r="27803" spans="1:2" x14ac:dyDescent="0.25">
      <c r="A27803" s="2">
        <v>27798</v>
      </c>
      <c r="B27803" s="3" t="str">
        <f>"200712003955"</f>
        <v>200712003955</v>
      </c>
    </row>
    <row r="27804" spans="1:2" x14ac:dyDescent="0.25">
      <c r="A27804" s="2">
        <v>27799</v>
      </c>
      <c r="B27804" s="3" t="str">
        <f>"200712003963"</f>
        <v>200712003963</v>
      </c>
    </row>
    <row r="27805" spans="1:2" x14ac:dyDescent="0.25">
      <c r="A27805" s="2">
        <v>27800</v>
      </c>
      <c r="B27805" s="3" t="str">
        <f>"200712003974"</f>
        <v>200712003974</v>
      </c>
    </row>
    <row r="27806" spans="1:2" x14ac:dyDescent="0.25">
      <c r="A27806" s="2">
        <v>27801</v>
      </c>
      <c r="B27806" s="3" t="str">
        <f>"200712004038"</f>
        <v>200712004038</v>
      </c>
    </row>
    <row r="27807" spans="1:2" x14ac:dyDescent="0.25">
      <c r="A27807" s="2">
        <v>27802</v>
      </c>
      <c r="B27807" s="3" t="str">
        <f>"200712004044"</f>
        <v>200712004044</v>
      </c>
    </row>
    <row r="27808" spans="1:2" x14ac:dyDescent="0.25">
      <c r="A27808" s="2">
        <v>27803</v>
      </c>
      <c r="B27808" s="3" t="str">
        <f>"200712004046"</f>
        <v>200712004046</v>
      </c>
    </row>
    <row r="27809" spans="1:2" x14ac:dyDescent="0.25">
      <c r="A27809" s="2">
        <v>27804</v>
      </c>
      <c r="B27809" s="3" t="str">
        <f>"200712004062"</f>
        <v>200712004062</v>
      </c>
    </row>
    <row r="27810" spans="1:2" x14ac:dyDescent="0.25">
      <c r="A27810" s="2">
        <v>27805</v>
      </c>
      <c r="B27810" s="3" t="str">
        <f>"200712004097"</f>
        <v>200712004097</v>
      </c>
    </row>
    <row r="27811" spans="1:2" x14ac:dyDescent="0.25">
      <c r="A27811" s="2">
        <v>27806</v>
      </c>
      <c r="B27811" s="3" t="str">
        <f>"200712004104"</f>
        <v>200712004104</v>
      </c>
    </row>
    <row r="27812" spans="1:2" x14ac:dyDescent="0.25">
      <c r="A27812" s="2">
        <v>27807</v>
      </c>
      <c r="B27812" s="3" t="str">
        <f>"200712004109"</f>
        <v>200712004109</v>
      </c>
    </row>
    <row r="27813" spans="1:2" x14ac:dyDescent="0.25">
      <c r="A27813" s="2">
        <v>27808</v>
      </c>
      <c r="B27813" s="3" t="str">
        <f>"200712004138"</f>
        <v>200712004138</v>
      </c>
    </row>
    <row r="27814" spans="1:2" x14ac:dyDescent="0.25">
      <c r="A27814" s="2">
        <v>27809</v>
      </c>
      <c r="B27814" s="3" t="str">
        <f>"200712004164"</f>
        <v>200712004164</v>
      </c>
    </row>
    <row r="27815" spans="1:2" x14ac:dyDescent="0.25">
      <c r="A27815" s="2">
        <v>27810</v>
      </c>
      <c r="B27815" s="3" t="str">
        <f>"200712004166"</f>
        <v>200712004166</v>
      </c>
    </row>
    <row r="27816" spans="1:2" x14ac:dyDescent="0.25">
      <c r="A27816" s="2">
        <v>27811</v>
      </c>
      <c r="B27816" s="3" t="str">
        <f>"200712004208"</f>
        <v>200712004208</v>
      </c>
    </row>
    <row r="27817" spans="1:2" x14ac:dyDescent="0.25">
      <c r="A27817" s="2">
        <v>27812</v>
      </c>
      <c r="B27817" s="3" t="str">
        <f>"200712004221"</f>
        <v>200712004221</v>
      </c>
    </row>
    <row r="27818" spans="1:2" x14ac:dyDescent="0.25">
      <c r="A27818" s="2">
        <v>27813</v>
      </c>
      <c r="B27818" s="3" t="str">
        <f>"200712004262"</f>
        <v>200712004262</v>
      </c>
    </row>
    <row r="27819" spans="1:2" x14ac:dyDescent="0.25">
      <c r="A27819" s="2">
        <v>27814</v>
      </c>
      <c r="B27819" s="3" t="str">
        <f>"200712004268"</f>
        <v>200712004268</v>
      </c>
    </row>
    <row r="27820" spans="1:2" x14ac:dyDescent="0.25">
      <c r="A27820" s="2">
        <v>27815</v>
      </c>
      <c r="B27820" s="3" t="str">
        <f>"200712004297"</f>
        <v>200712004297</v>
      </c>
    </row>
    <row r="27821" spans="1:2" x14ac:dyDescent="0.25">
      <c r="A27821" s="2">
        <v>27816</v>
      </c>
      <c r="B27821" s="3" t="str">
        <f>"200712004331"</f>
        <v>200712004331</v>
      </c>
    </row>
    <row r="27822" spans="1:2" x14ac:dyDescent="0.25">
      <c r="A27822" s="2">
        <v>27817</v>
      </c>
      <c r="B27822" s="3" t="str">
        <f>"200712004358"</f>
        <v>200712004358</v>
      </c>
    </row>
    <row r="27823" spans="1:2" x14ac:dyDescent="0.25">
      <c r="A27823" s="2">
        <v>27818</v>
      </c>
      <c r="B27823" s="3" t="str">
        <f>"200712004410"</f>
        <v>200712004410</v>
      </c>
    </row>
    <row r="27824" spans="1:2" x14ac:dyDescent="0.25">
      <c r="A27824" s="2">
        <v>27819</v>
      </c>
      <c r="B27824" s="3" t="str">
        <f>"200712004470"</f>
        <v>200712004470</v>
      </c>
    </row>
    <row r="27825" spans="1:2" x14ac:dyDescent="0.25">
      <c r="A27825" s="2">
        <v>27820</v>
      </c>
      <c r="B27825" s="3" t="str">
        <f>"200712004481"</f>
        <v>200712004481</v>
      </c>
    </row>
    <row r="27826" spans="1:2" x14ac:dyDescent="0.25">
      <c r="A27826" s="2">
        <v>27821</v>
      </c>
      <c r="B27826" s="3" t="str">
        <f>"200712004523"</f>
        <v>200712004523</v>
      </c>
    </row>
    <row r="27827" spans="1:2" x14ac:dyDescent="0.25">
      <c r="A27827" s="2">
        <v>27822</v>
      </c>
      <c r="B27827" s="3" t="str">
        <f>"200712004583"</f>
        <v>200712004583</v>
      </c>
    </row>
    <row r="27828" spans="1:2" x14ac:dyDescent="0.25">
      <c r="A27828" s="2">
        <v>27823</v>
      </c>
      <c r="B27828" s="3" t="str">
        <f>"200712004586"</f>
        <v>200712004586</v>
      </c>
    </row>
    <row r="27829" spans="1:2" x14ac:dyDescent="0.25">
      <c r="A27829" s="2">
        <v>27824</v>
      </c>
      <c r="B27829" s="3" t="str">
        <f>"200712004595"</f>
        <v>200712004595</v>
      </c>
    </row>
    <row r="27830" spans="1:2" x14ac:dyDescent="0.25">
      <c r="A27830" s="2">
        <v>27825</v>
      </c>
      <c r="B27830" s="3" t="str">
        <f>"200712004596"</f>
        <v>200712004596</v>
      </c>
    </row>
    <row r="27831" spans="1:2" x14ac:dyDescent="0.25">
      <c r="A27831" s="2">
        <v>27826</v>
      </c>
      <c r="B27831" s="3" t="str">
        <f>"200712004601"</f>
        <v>200712004601</v>
      </c>
    </row>
    <row r="27832" spans="1:2" x14ac:dyDescent="0.25">
      <c r="A27832" s="2">
        <v>27827</v>
      </c>
      <c r="B27832" s="3" t="str">
        <f>"200712004685"</f>
        <v>200712004685</v>
      </c>
    </row>
    <row r="27833" spans="1:2" x14ac:dyDescent="0.25">
      <c r="A27833" s="2">
        <v>27828</v>
      </c>
      <c r="B27833" s="3" t="str">
        <f>"200712004695"</f>
        <v>200712004695</v>
      </c>
    </row>
    <row r="27834" spans="1:2" x14ac:dyDescent="0.25">
      <c r="A27834" s="2">
        <v>27829</v>
      </c>
      <c r="B27834" s="3" t="str">
        <f>"200712004732"</f>
        <v>200712004732</v>
      </c>
    </row>
    <row r="27835" spans="1:2" x14ac:dyDescent="0.25">
      <c r="A27835" s="2">
        <v>27830</v>
      </c>
      <c r="B27835" s="3" t="str">
        <f>"200712004865"</f>
        <v>200712004865</v>
      </c>
    </row>
    <row r="27836" spans="1:2" x14ac:dyDescent="0.25">
      <c r="A27836" s="2">
        <v>27831</v>
      </c>
      <c r="B27836" s="3" t="str">
        <f>"200712004971"</f>
        <v>200712004971</v>
      </c>
    </row>
    <row r="27837" spans="1:2" x14ac:dyDescent="0.25">
      <c r="A27837" s="2">
        <v>27832</v>
      </c>
      <c r="B27837" s="3" t="str">
        <f>"200712004998"</f>
        <v>200712004998</v>
      </c>
    </row>
    <row r="27838" spans="1:2" x14ac:dyDescent="0.25">
      <c r="A27838" s="2">
        <v>27833</v>
      </c>
      <c r="B27838" s="3" t="str">
        <f>"200712005028"</f>
        <v>200712005028</v>
      </c>
    </row>
    <row r="27839" spans="1:2" x14ac:dyDescent="0.25">
      <c r="A27839" s="2">
        <v>27834</v>
      </c>
      <c r="B27839" s="3" t="str">
        <f>"200712005057"</f>
        <v>200712005057</v>
      </c>
    </row>
    <row r="27840" spans="1:2" x14ac:dyDescent="0.25">
      <c r="A27840" s="2">
        <v>27835</v>
      </c>
      <c r="B27840" s="3" t="str">
        <f>"200712005092"</f>
        <v>200712005092</v>
      </c>
    </row>
    <row r="27841" spans="1:2" x14ac:dyDescent="0.25">
      <c r="A27841" s="2">
        <v>27836</v>
      </c>
      <c r="B27841" s="3" t="str">
        <f>"200712005128"</f>
        <v>200712005128</v>
      </c>
    </row>
    <row r="27842" spans="1:2" x14ac:dyDescent="0.25">
      <c r="A27842" s="2">
        <v>27837</v>
      </c>
      <c r="B27842" s="3" t="str">
        <f>"200712005129"</f>
        <v>200712005129</v>
      </c>
    </row>
    <row r="27843" spans="1:2" x14ac:dyDescent="0.25">
      <c r="A27843" s="2">
        <v>27838</v>
      </c>
      <c r="B27843" s="3" t="str">
        <f>"200712005190"</f>
        <v>200712005190</v>
      </c>
    </row>
    <row r="27844" spans="1:2" x14ac:dyDescent="0.25">
      <c r="A27844" s="2">
        <v>27839</v>
      </c>
      <c r="B27844" s="3" t="str">
        <f>"200712005194"</f>
        <v>200712005194</v>
      </c>
    </row>
    <row r="27845" spans="1:2" x14ac:dyDescent="0.25">
      <c r="A27845" s="2">
        <v>27840</v>
      </c>
      <c r="B27845" s="3" t="str">
        <f>"200712005198"</f>
        <v>200712005198</v>
      </c>
    </row>
    <row r="27846" spans="1:2" x14ac:dyDescent="0.25">
      <c r="A27846" s="2">
        <v>27841</v>
      </c>
      <c r="B27846" s="3" t="str">
        <f>"200712005209"</f>
        <v>200712005209</v>
      </c>
    </row>
    <row r="27847" spans="1:2" x14ac:dyDescent="0.25">
      <c r="A27847" s="2">
        <v>27842</v>
      </c>
      <c r="B27847" s="3" t="str">
        <f>"200712005242"</f>
        <v>200712005242</v>
      </c>
    </row>
    <row r="27848" spans="1:2" x14ac:dyDescent="0.25">
      <c r="A27848" s="2">
        <v>27843</v>
      </c>
      <c r="B27848" s="3" t="str">
        <f>"200712005310"</f>
        <v>200712005310</v>
      </c>
    </row>
    <row r="27849" spans="1:2" x14ac:dyDescent="0.25">
      <c r="A27849" s="2">
        <v>27844</v>
      </c>
      <c r="B27849" s="3" t="str">
        <f>"200712005384"</f>
        <v>200712005384</v>
      </c>
    </row>
    <row r="27850" spans="1:2" x14ac:dyDescent="0.25">
      <c r="A27850" s="2">
        <v>27845</v>
      </c>
      <c r="B27850" s="3" t="str">
        <f>"200712005393"</f>
        <v>200712005393</v>
      </c>
    </row>
    <row r="27851" spans="1:2" x14ac:dyDescent="0.25">
      <c r="A27851" s="2">
        <v>27846</v>
      </c>
      <c r="B27851" s="3" t="str">
        <f>"200712005415"</f>
        <v>200712005415</v>
      </c>
    </row>
    <row r="27852" spans="1:2" x14ac:dyDescent="0.25">
      <c r="A27852" s="2">
        <v>27847</v>
      </c>
      <c r="B27852" s="3" t="str">
        <f>"200712005417"</f>
        <v>200712005417</v>
      </c>
    </row>
    <row r="27853" spans="1:2" x14ac:dyDescent="0.25">
      <c r="A27853" s="2">
        <v>27848</v>
      </c>
      <c r="B27853" s="3" t="str">
        <f>"200712005433"</f>
        <v>200712005433</v>
      </c>
    </row>
    <row r="27854" spans="1:2" x14ac:dyDescent="0.25">
      <c r="A27854" s="2">
        <v>27849</v>
      </c>
      <c r="B27854" s="3" t="str">
        <f>"200712005434"</f>
        <v>200712005434</v>
      </c>
    </row>
    <row r="27855" spans="1:2" x14ac:dyDescent="0.25">
      <c r="A27855" s="2">
        <v>27850</v>
      </c>
      <c r="B27855" s="3" t="str">
        <f>"200712005535"</f>
        <v>200712005535</v>
      </c>
    </row>
    <row r="27856" spans="1:2" x14ac:dyDescent="0.25">
      <c r="A27856" s="2">
        <v>27851</v>
      </c>
      <c r="B27856" s="3" t="str">
        <f>"200712005544"</f>
        <v>200712005544</v>
      </c>
    </row>
    <row r="27857" spans="1:2" x14ac:dyDescent="0.25">
      <c r="A27857" s="2">
        <v>27852</v>
      </c>
      <c r="B27857" s="3" t="str">
        <f>"200712005550"</f>
        <v>200712005550</v>
      </c>
    </row>
    <row r="27858" spans="1:2" x14ac:dyDescent="0.25">
      <c r="A27858" s="2">
        <v>27853</v>
      </c>
      <c r="B27858" s="3" t="str">
        <f>"200712005551"</f>
        <v>200712005551</v>
      </c>
    </row>
    <row r="27859" spans="1:2" x14ac:dyDescent="0.25">
      <c r="A27859" s="2">
        <v>27854</v>
      </c>
      <c r="B27859" s="3" t="str">
        <f>"200712005578"</f>
        <v>200712005578</v>
      </c>
    </row>
    <row r="27860" spans="1:2" x14ac:dyDescent="0.25">
      <c r="A27860" s="2">
        <v>27855</v>
      </c>
      <c r="B27860" s="3" t="str">
        <f>"200712005591"</f>
        <v>200712005591</v>
      </c>
    </row>
    <row r="27861" spans="1:2" x14ac:dyDescent="0.25">
      <c r="A27861" s="2">
        <v>27856</v>
      </c>
      <c r="B27861" s="3" t="str">
        <f>"200712005609"</f>
        <v>200712005609</v>
      </c>
    </row>
    <row r="27862" spans="1:2" x14ac:dyDescent="0.25">
      <c r="A27862" s="2">
        <v>27857</v>
      </c>
      <c r="B27862" s="3" t="str">
        <f>"200712005647"</f>
        <v>200712005647</v>
      </c>
    </row>
    <row r="27863" spans="1:2" x14ac:dyDescent="0.25">
      <c r="A27863" s="2">
        <v>27858</v>
      </c>
      <c r="B27863" s="3" t="str">
        <f>"200712005678"</f>
        <v>200712005678</v>
      </c>
    </row>
    <row r="27864" spans="1:2" x14ac:dyDescent="0.25">
      <c r="A27864" s="2">
        <v>27859</v>
      </c>
      <c r="B27864" s="3" t="str">
        <f>"200712005694"</f>
        <v>200712005694</v>
      </c>
    </row>
    <row r="27865" spans="1:2" x14ac:dyDescent="0.25">
      <c r="A27865" s="2">
        <v>27860</v>
      </c>
      <c r="B27865" s="3" t="str">
        <f>"200712005695"</f>
        <v>200712005695</v>
      </c>
    </row>
    <row r="27866" spans="1:2" x14ac:dyDescent="0.25">
      <c r="A27866" s="2">
        <v>27861</v>
      </c>
      <c r="B27866" s="3" t="str">
        <f>"200712005725"</f>
        <v>200712005725</v>
      </c>
    </row>
    <row r="27867" spans="1:2" x14ac:dyDescent="0.25">
      <c r="A27867" s="2">
        <v>27862</v>
      </c>
      <c r="B27867" s="3" t="str">
        <f>"200712005726"</f>
        <v>200712005726</v>
      </c>
    </row>
    <row r="27868" spans="1:2" x14ac:dyDescent="0.25">
      <c r="A27868" s="2">
        <v>27863</v>
      </c>
      <c r="B27868" s="3" t="str">
        <f>"200712005749"</f>
        <v>200712005749</v>
      </c>
    </row>
    <row r="27869" spans="1:2" x14ac:dyDescent="0.25">
      <c r="A27869" s="2">
        <v>27864</v>
      </c>
      <c r="B27869" s="3" t="str">
        <f>"200712005758"</f>
        <v>200712005758</v>
      </c>
    </row>
    <row r="27870" spans="1:2" x14ac:dyDescent="0.25">
      <c r="A27870" s="2">
        <v>27865</v>
      </c>
      <c r="B27870" s="3" t="str">
        <f>"200712005761"</f>
        <v>200712005761</v>
      </c>
    </row>
    <row r="27871" spans="1:2" x14ac:dyDescent="0.25">
      <c r="A27871" s="2">
        <v>27866</v>
      </c>
      <c r="B27871" s="3" t="str">
        <f>"200712005762"</f>
        <v>200712005762</v>
      </c>
    </row>
    <row r="27872" spans="1:2" x14ac:dyDescent="0.25">
      <c r="A27872" s="2">
        <v>27867</v>
      </c>
      <c r="B27872" s="3" t="str">
        <f>"200712005773"</f>
        <v>200712005773</v>
      </c>
    </row>
    <row r="27873" spans="1:2" x14ac:dyDescent="0.25">
      <c r="A27873" s="2">
        <v>27868</v>
      </c>
      <c r="B27873" s="3" t="str">
        <f>"200712005777"</f>
        <v>200712005777</v>
      </c>
    </row>
    <row r="27874" spans="1:2" x14ac:dyDescent="0.25">
      <c r="A27874" s="2">
        <v>27869</v>
      </c>
      <c r="B27874" s="3" t="str">
        <f>"200712005782"</f>
        <v>200712005782</v>
      </c>
    </row>
    <row r="27875" spans="1:2" x14ac:dyDescent="0.25">
      <c r="A27875" s="2">
        <v>27870</v>
      </c>
      <c r="B27875" s="3" t="str">
        <f>"200712005790"</f>
        <v>200712005790</v>
      </c>
    </row>
    <row r="27876" spans="1:2" x14ac:dyDescent="0.25">
      <c r="A27876" s="2">
        <v>27871</v>
      </c>
      <c r="B27876" s="3" t="str">
        <f>"200712005821"</f>
        <v>200712005821</v>
      </c>
    </row>
    <row r="27877" spans="1:2" x14ac:dyDescent="0.25">
      <c r="A27877" s="2">
        <v>27872</v>
      </c>
      <c r="B27877" s="3" t="str">
        <f>"200712005828"</f>
        <v>200712005828</v>
      </c>
    </row>
    <row r="27878" spans="1:2" x14ac:dyDescent="0.25">
      <c r="A27878" s="2">
        <v>27873</v>
      </c>
      <c r="B27878" s="3" t="str">
        <f>"200712005847"</f>
        <v>200712005847</v>
      </c>
    </row>
    <row r="27879" spans="1:2" x14ac:dyDescent="0.25">
      <c r="A27879" s="2">
        <v>27874</v>
      </c>
      <c r="B27879" s="3" t="str">
        <f>"200712005883"</f>
        <v>200712005883</v>
      </c>
    </row>
    <row r="27880" spans="1:2" x14ac:dyDescent="0.25">
      <c r="A27880" s="2">
        <v>27875</v>
      </c>
      <c r="B27880" s="3" t="str">
        <f>"200712005928"</f>
        <v>200712005928</v>
      </c>
    </row>
    <row r="27881" spans="1:2" x14ac:dyDescent="0.25">
      <c r="A27881" s="2">
        <v>27876</v>
      </c>
      <c r="B27881" s="3" t="str">
        <f>"200712005950"</f>
        <v>200712005950</v>
      </c>
    </row>
    <row r="27882" spans="1:2" x14ac:dyDescent="0.25">
      <c r="A27882" s="2">
        <v>27877</v>
      </c>
      <c r="B27882" s="3" t="str">
        <f>"200712006056"</f>
        <v>200712006056</v>
      </c>
    </row>
    <row r="27883" spans="1:2" x14ac:dyDescent="0.25">
      <c r="A27883" s="2">
        <v>27878</v>
      </c>
      <c r="B27883" s="3" t="str">
        <f>"200712006152"</f>
        <v>200712006152</v>
      </c>
    </row>
    <row r="27884" spans="1:2" x14ac:dyDescent="0.25">
      <c r="A27884" s="2">
        <v>27879</v>
      </c>
      <c r="B27884" s="3" t="str">
        <f>"200712006192"</f>
        <v>200712006192</v>
      </c>
    </row>
    <row r="27885" spans="1:2" x14ac:dyDescent="0.25">
      <c r="A27885" s="2">
        <v>27880</v>
      </c>
      <c r="B27885" s="3" t="str">
        <f>"200712006193"</f>
        <v>200712006193</v>
      </c>
    </row>
    <row r="27886" spans="1:2" x14ac:dyDescent="0.25">
      <c r="A27886" s="2">
        <v>27881</v>
      </c>
      <c r="B27886" s="3" t="str">
        <f>"200712006249"</f>
        <v>200712006249</v>
      </c>
    </row>
    <row r="27887" spans="1:2" x14ac:dyDescent="0.25">
      <c r="A27887" s="2">
        <v>27882</v>
      </c>
      <c r="B27887" s="3" t="str">
        <f>"200712006261"</f>
        <v>200712006261</v>
      </c>
    </row>
    <row r="27888" spans="1:2" x14ac:dyDescent="0.25">
      <c r="A27888" s="2">
        <v>27883</v>
      </c>
      <c r="B27888" s="3" t="str">
        <f>"200712006264"</f>
        <v>200712006264</v>
      </c>
    </row>
    <row r="27889" spans="1:2" x14ac:dyDescent="0.25">
      <c r="A27889" s="2">
        <v>27884</v>
      </c>
      <c r="B27889" s="3" t="str">
        <f>"200712006273"</f>
        <v>200712006273</v>
      </c>
    </row>
    <row r="27890" spans="1:2" x14ac:dyDescent="0.25">
      <c r="A27890" s="2">
        <v>27885</v>
      </c>
      <c r="B27890" s="3" t="str">
        <f>"200801000159"</f>
        <v>200801000159</v>
      </c>
    </row>
    <row r="27891" spans="1:2" x14ac:dyDescent="0.25">
      <c r="A27891" s="2">
        <v>27886</v>
      </c>
      <c r="B27891" s="3" t="str">
        <f>"200801000160"</f>
        <v>200801000160</v>
      </c>
    </row>
    <row r="27892" spans="1:2" x14ac:dyDescent="0.25">
      <c r="A27892" s="2">
        <v>27887</v>
      </c>
      <c r="B27892" s="3" t="str">
        <f>"200801000168"</f>
        <v>200801000168</v>
      </c>
    </row>
    <row r="27893" spans="1:2" x14ac:dyDescent="0.25">
      <c r="A27893" s="2">
        <v>27888</v>
      </c>
      <c r="B27893" s="3" t="str">
        <f>"200801000261"</f>
        <v>200801000261</v>
      </c>
    </row>
    <row r="27894" spans="1:2" x14ac:dyDescent="0.25">
      <c r="A27894" s="2">
        <v>27889</v>
      </c>
      <c r="B27894" s="3" t="str">
        <f>"200801000289"</f>
        <v>200801000289</v>
      </c>
    </row>
    <row r="27895" spans="1:2" x14ac:dyDescent="0.25">
      <c r="A27895" s="2">
        <v>27890</v>
      </c>
      <c r="B27895" s="3" t="str">
        <f>"200801000294"</f>
        <v>200801000294</v>
      </c>
    </row>
    <row r="27896" spans="1:2" x14ac:dyDescent="0.25">
      <c r="A27896" s="2">
        <v>27891</v>
      </c>
      <c r="B27896" s="3" t="str">
        <f>"200801000332"</f>
        <v>200801000332</v>
      </c>
    </row>
    <row r="27897" spans="1:2" x14ac:dyDescent="0.25">
      <c r="A27897" s="2">
        <v>27892</v>
      </c>
      <c r="B27897" s="3" t="str">
        <f>"200801000357"</f>
        <v>200801000357</v>
      </c>
    </row>
    <row r="27898" spans="1:2" x14ac:dyDescent="0.25">
      <c r="A27898" s="2">
        <v>27893</v>
      </c>
      <c r="B27898" s="3" t="str">
        <f>"200801000378"</f>
        <v>200801000378</v>
      </c>
    </row>
    <row r="27899" spans="1:2" x14ac:dyDescent="0.25">
      <c r="A27899" s="2">
        <v>27894</v>
      </c>
      <c r="B27899" s="3" t="str">
        <f>"200801000400"</f>
        <v>200801000400</v>
      </c>
    </row>
    <row r="27900" spans="1:2" x14ac:dyDescent="0.25">
      <c r="A27900" s="2">
        <v>27895</v>
      </c>
      <c r="B27900" s="3" t="str">
        <f>"200801000427"</f>
        <v>200801000427</v>
      </c>
    </row>
    <row r="27901" spans="1:2" x14ac:dyDescent="0.25">
      <c r="A27901" s="2">
        <v>27896</v>
      </c>
      <c r="B27901" s="3" t="str">
        <f>"200801000432"</f>
        <v>200801000432</v>
      </c>
    </row>
    <row r="27902" spans="1:2" x14ac:dyDescent="0.25">
      <c r="A27902" s="2">
        <v>27897</v>
      </c>
      <c r="B27902" s="3" t="str">
        <f>"200801000440"</f>
        <v>200801000440</v>
      </c>
    </row>
    <row r="27903" spans="1:2" x14ac:dyDescent="0.25">
      <c r="A27903" s="2">
        <v>27898</v>
      </c>
      <c r="B27903" s="3" t="str">
        <f>"200801000469"</f>
        <v>200801000469</v>
      </c>
    </row>
    <row r="27904" spans="1:2" x14ac:dyDescent="0.25">
      <c r="A27904" s="2">
        <v>27899</v>
      </c>
      <c r="B27904" s="3" t="str">
        <f>"200801000528"</f>
        <v>200801000528</v>
      </c>
    </row>
    <row r="27905" spans="1:2" x14ac:dyDescent="0.25">
      <c r="A27905" s="2">
        <v>27900</v>
      </c>
      <c r="B27905" s="3" t="str">
        <f>"200801000540"</f>
        <v>200801000540</v>
      </c>
    </row>
    <row r="27906" spans="1:2" x14ac:dyDescent="0.25">
      <c r="A27906" s="2">
        <v>27901</v>
      </c>
      <c r="B27906" s="3" t="str">
        <f>"200801000575"</f>
        <v>200801000575</v>
      </c>
    </row>
    <row r="27907" spans="1:2" x14ac:dyDescent="0.25">
      <c r="A27907" s="2">
        <v>27902</v>
      </c>
      <c r="B27907" s="3" t="str">
        <f>"200801000625"</f>
        <v>200801000625</v>
      </c>
    </row>
    <row r="27908" spans="1:2" x14ac:dyDescent="0.25">
      <c r="A27908" s="2">
        <v>27903</v>
      </c>
      <c r="B27908" s="3" t="str">
        <f>"200801000657"</f>
        <v>200801000657</v>
      </c>
    </row>
    <row r="27909" spans="1:2" x14ac:dyDescent="0.25">
      <c r="A27909" s="2">
        <v>27904</v>
      </c>
      <c r="B27909" s="3" t="str">
        <f>"200801000762"</f>
        <v>200801000762</v>
      </c>
    </row>
    <row r="27910" spans="1:2" x14ac:dyDescent="0.25">
      <c r="A27910" s="2">
        <v>27905</v>
      </c>
      <c r="B27910" s="3" t="str">
        <f>"200801000773"</f>
        <v>200801000773</v>
      </c>
    </row>
    <row r="27911" spans="1:2" x14ac:dyDescent="0.25">
      <c r="A27911" s="2">
        <v>27906</v>
      </c>
      <c r="B27911" s="3" t="str">
        <f>"200801000806"</f>
        <v>200801000806</v>
      </c>
    </row>
    <row r="27912" spans="1:2" x14ac:dyDescent="0.25">
      <c r="A27912" s="2">
        <v>27907</v>
      </c>
      <c r="B27912" s="3" t="str">
        <f>"200801000858"</f>
        <v>200801000858</v>
      </c>
    </row>
    <row r="27913" spans="1:2" x14ac:dyDescent="0.25">
      <c r="A27913" s="2">
        <v>27908</v>
      </c>
      <c r="B27913" s="3" t="str">
        <f>"200801000876"</f>
        <v>200801000876</v>
      </c>
    </row>
    <row r="27914" spans="1:2" x14ac:dyDescent="0.25">
      <c r="A27914" s="2">
        <v>27909</v>
      </c>
      <c r="B27914" s="3" t="str">
        <f>"200801000970"</f>
        <v>200801000970</v>
      </c>
    </row>
    <row r="27915" spans="1:2" x14ac:dyDescent="0.25">
      <c r="A27915" s="2">
        <v>27910</v>
      </c>
      <c r="B27915" s="3" t="str">
        <f>"200801000976"</f>
        <v>200801000976</v>
      </c>
    </row>
    <row r="27916" spans="1:2" x14ac:dyDescent="0.25">
      <c r="A27916" s="2">
        <v>27911</v>
      </c>
      <c r="B27916" s="3" t="str">
        <f>"200801000982"</f>
        <v>200801000982</v>
      </c>
    </row>
    <row r="27917" spans="1:2" x14ac:dyDescent="0.25">
      <c r="A27917" s="2">
        <v>27912</v>
      </c>
      <c r="B27917" s="3" t="str">
        <f>"200801000998"</f>
        <v>200801000998</v>
      </c>
    </row>
    <row r="27918" spans="1:2" x14ac:dyDescent="0.25">
      <c r="A27918" s="2">
        <v>27913</v>
      </c>
      <c r="B27918" s="3" t="str">
        <f>"200801001076"</f>
        <v>200801001076</v>
      </c>
    </row>
    <row r="27919" spans="1:2" x14ac:dyDescent="0.25">
      <c r="A27919" s="2">
        <v>27914</v>
      </c>
      <c r="B27919" s="3" t="str">
        <f>"200801001081"</f>
        <v>200801001081</v>
      </c>
    </row>
    <row r="27920" spans="1:2" x14ac:dyDescent="0.25">
      <c r="A27920" s="2">
        <v>27915</v>
      </c>
      <c r="B27920" s="3" t="str">
        <f>"200801001125"</f>
        <v>200801001125</v>
      </c>
    </row>
    <row r="27921" spans="1:2" x14ac:dyDescent="0.25">
      <c r="A27921" s="2">
        <v>27916</v>
      </c>
      <c r="B27921" s="3" t="str">
        <f>"200801001155"</f>
        <v>200801001155</v>
      </c>
    </row>
    <row r="27922" spans="1:2" x14ac:dyDescent="0.25">
      <c r="A27922" s="2">
        <v>27917</v>
      </c>
      <c r="B27922" s="3" t="str">
        <f>"200801001167"</f>
        <v>200801001167</v>
      </c>
    </row>
    <row r="27923" spans="1:2" x14ac:dyDescent="0.25">
      <c r="A27923" s="2">
        <v>27918</v>
      </c>
      <c r="B27923" s="3" t="str">
        <f>"200801001170"</f>
        <v>200801001170</v>
      </c>
    </row>
    <row r="27924" spans="1:2" x14ac:dyDescent="0.25">
      <c r="A27924" s="2">
        <v>27919</v>
      </c>
      <c r="B27924" s="3" t="str">
        <f>"200801001192"</f>
        <v>200801001192</v>
      </c>
    </row>
    <row r="27925" spans="1:2" x14ac:dyDescent="0.25">
      <c r="A27925" s="2">
        <v>27920</v>
      </c>
      <c r="B27925" s="3" t="str">
        <f>"200801001193"</f>
        <v>200801001193</v>
      </c>
    </row>
    <row r="27926" spans="1:2" x14ac:dyDescent="0.25">
      <c r="A27926" s="2">
        <v>27921</v>
      </c>
      <c r="B27926" s="3" t="str">
        <f>"200801001204"</f>
        <v>200801001204</v>
      </c>
    </row>
    <row r="27927" spans="1:2" x14ac:dyDescent="0.25">
      <c r="A27927" s="2">
        <v>27922</v>
      </c>
      <c r="B27927" s="3" t="str">
        <f>"200801001234"</f>
        <v>200801001234</v>
      </c>
    </row>
    <row r="27928" spans="1:2" x14ac:dyDescent="0.25">
      <c r="A27928" s="2">
        <v>27923</v>
      </c>
      <c r="B27928" s="3" t="str">
        <f>"200801001255"</f>
        <v>200801001255</v>
      </c>
    </row>
    <row r="27929" spans="1:2" x14ac:dyDescent="0.25">
      <c r="A27929" s="2">
        <v>27924</v>
      </c>
      <c r="B27929" s="3" t="str">
        <f>"200801001288"</f>
        <v>200801001288</v>
      </c>
    </row>
    <row r="27930" spans="1:2" x14ac:dyDescent="0.25">
      <c r="A27930" s="2">
        <v>27925</v>
      </c>
      <c r="B27930" s="3" t="str">
        <f>"200801001309"</f>
        <v>200801001309</v>
      </c>
    </row>
    <row r="27931" spans="1:2" x14ac:dyDescent="0.25">
      <c r="A27931" s="2">
        <v>27926</v>
      </c>
      <c r="B27931" s="3" t="str">
        <f>"200801001331"</f>
        <v>200801001331</v>
      </c>
    </row>
    <row r="27932" spans="1:2" x14ac:dyDescent="0.25">
      <c r="A27932" s="2">
        <v>27927</v>
      </c>
      <c r="B27932" s="3" t="str">
        <f>"200801001417"</f>
        <v>200801001417</v>
      </c>
    </row>
    <row r="27933" spans="1:2" x14ac:dyDescent="0.25">
      <c r="A27933" s="2">
        <v>27928</v>
      </c>
      <c r="B27933" s="3" t="str">
        <f>"200801001419"</f>
        <v>200801001419</v>
      </c>
    </row>
    <row r="27934" spans="1:2" x14ac:dyDescent="0.25">
      <c r="A27934" s="2">
        <v>27929</v>
      </c>
      <c r="B27934" s="3" t="str">
        <f>"200801001432"</f>
        <v>200801001432</v>
      </c>
    </row>
    <row r="27935" spans="1:2" x14ac:dyDescent="0.25">
      <c r="A27935" s="2">
        <v>27930</v>
      </c>
      <c r="B27935" s="3" t="str">
        <f>"200801001462"</f>
        <v>200801001462</v>
      </c>
    </row>
    <row r="27936" spans="1:2" x14ac:dyDescent="0.25">
      <c r="A27936" s="2">
        <v>27931</v>
      </c>
      <c r="B27936" s="3" t="str">
        <f>"200801001463"</f>
        <v>200801001463</v>
      </c>
    </row>
    <row r="27937" spans="1:2" x14ac:dyDescent="0.25">
      <c r="A27937" s="2">
        <v>27932</v>
      </c>
      <c r="B27937" s="3" t="str">
        <f>"200801001571"</f>
        <v>200801001571</v>
      </c>
    </row>
    <row r="27938" spans="1:2" x14ac:dyDescent="0.25">
      <c r="A27938" s="2">
        <v>27933</v>
      </c>
      <c r="B27938" s="3" t="str">
        <f>"200801001575"</f>
        <v>200801001575</v>
      </c>
    </row>
    <row r="27939" spans="1:2" x14ac:dyDescent="0.25">
      <c r="A27939" s="2">
        <v>27934</v>
      </c>
      <c r="B27939" s="3" t="str">
        <f>"200801001588"</f>
        <v>200801001588</v>
      </c>
    </row>
    <row r="27940" spans="1:2" x14ac:dyDescent="0.25">
      <c r="A27940" s="2">
        <v>27935</v>
      </c>
      <c r="B27940" s="3" t="str">
        <f>"200801001617"</f>
        <v>200801001617</v>
      </c>
    </row>
    <row r="27941" spans="1:2" x14ac:dyDescent="0.25">
      <c r="A27941" s="2">
        <v>27936</v>
      </c>
      <c r="B27941" s="3" t="str">
        <f>"200801001671"</f>
        <v>200801001671</v>
      </c>
    </row>
    <row r="27942" spans="1:2" x14ac:dyDescent="0.25">
      <c r="A27942" s="2">
        <v>27937</v>
      </c>
      <c r="B27942" s="3" t="str">
        <f>"200801001676"</f>
        <v>200801001676</v>
      </c>
    </row>
    <row r="27943" spans="1:2" x14ac:dyDescent="0.25">
      <c r="A27943" s="2">
        <v>27938</v>
      </c>
      <c r="B27943" s="3" t="str">
        <f>"200801001698"</f>
        <v>200801001698</v>
      </c>
    </row>
    <row r="27944" spans="1:2" x14ac:dyDescent="0.25">
      <c r="A27944" s="2">
        <v>27939</v>
      </c>
      <c r="B27944" s="3" t="str">
        <f>"200801001755"</f>
        <v>200801001755</v>
      </c>
    </row>
    <row r="27945" spans="1:2" x14ac:dyDescent="0.25">
      <c r="A27945" s="2">
        <v>27940</v>
      </c>
      <c r="B27945" s="3" t="str">
        <f>"200801001774"</f>
        <v>200801001774</v>
      </c>
    </row>
    <row r="27946" spans="1:2" x14ac:dyDescent="0.25">
      <c r="A27946" s="2">
        <v>27941</v>
      </c>
      <c r="B27946" s="3" t="str">
        <f>"200801001852"</f>
        <v>200801001852</v>
      </c>
    </row>
    <row r="27947" spans="1:2" x14ac:dyDescent="0.25">
      <c r="A27947" s="2">
        <v>27942</v>
      </c>
      <c r="B27947" s="3" t="str">
        <f>"200801001973"</f>
        <v>200801001973</v>
      </c>
    </row>
    <row r="27948" spans="1:2" x14ac:dyDescent="0.25">
      <c r="A27948" s="2">
        <v>27943</v>
      </c>
      <c r="B27948" s="3" t="str">
        <f>"200801002052"</f>
        <v>200801002052</v>
      </c>
    </row>
    <row r="27949" spans="1:2" x14ac:dyDescent="0.25">
      <c r="A27949" s="2">
        <v>27944</v>
      </c>
      <c r="B27949" s="3" t="str">
        <f>"200801002096"</f>
        <v>200801002096</v>
      </c>
    </row>
    <row r="27950" spans="1:2" x14ac:dyDescent="0.25">
      <c r="A27950" s="2">
        <v>27945</v>
      </c>
      <c r="B27950" s="3" t="str">
        <f>"200801002098"</f>
        <v>200801002098</v>
      </c>
    </row>
    <row r="27951" spans="1:2" x14ac:dyDescent="0.25">
      <c r="A27951" s="2">
        <v>27946</v>
      </c>
      <c r="B27951" s="3" t="str">
        <f>"200801002161"</f>
        <v>200801002161</v>
      </c>
    </row>
    <row r="27952" spans="1:2" x14ac:dyDescent="0.25">
      <c r="A27952" s="2">
        <v>27947</v>
      </c>
      <c r="B27952" s="3" t="str">
        <f>"200801002173"</f>
        <v>200801002173</v>
      </c>
    </row>
    <row r="27953" spans="1:2" x14ac:dyDescent="0.25">
      <c r="A27953" s="2">
        <v>27948</v>
      </c>
      <c r="B27953" s="3" t="str">
        <f>"200801002177"</f>
        <v>200801002177</v>
      </c>
    </row>
    <row r="27954" spans="1:2" x14ac:dyDescent="0.25">
      <c r="A27954" s="2">
        <v>27949</v>
      </c>
      <c r="B27954" s="3" t="str">
        <f>"200801002178"</f>
        <v>200801002178</v>
      </c>
    </row>
    <row r="27955" spans="1:2" x14ac:dyDescent="0.25">
      <c r="A27955" s="2">
        <v>27950</v>
      </c>
      <c r="B27955" s="3" t="str">
        <f>"200801002232"</f>
        <v>200801002232</v>
      </c>
    </row>
    <row r="27956" spans="1:2" x14ac:dyDescent="0.25">
      <c r="A27956" s="2">
        <v>27951</v>
      </c>
      <c r="B27956" s="3" t="str">
        <f>"200801002287"</f>
        <v>200801002287</v>
      </c>
    </row>
    <row r="27957" spans="1:2" x14ac:dyDescent="0.25">
      <c r="A27957" s="2">
        <v>27952</v>
      </c>
      <c r="B27957" s="3" t="str">
        <f>"200801002295"</f>
        <v>200801002295</v>
      </c>
    </row>
    <row r="27958" spans="1:2" x14ac:dyDescent="0.25">
      <c r="A27958" s="2">
        <v>27953</v>
      </c>
      <c r="B27958" s="3" t="str">
        <f>"200801002310"</f>
        <v>200801002310</v>
      </c>
    </row>
    <row r="27959" spans="1:2" x14ac:dyDescent="0.25">
      <c r="A27959" s="2">
        <v>27954</v>
      </c>
      <c r="B27959" s="3" t="str">
        <f>"200801002311"</f>
        <v>200801002311</v>
      </c>
    </row>
    <row r="27960" spans="1:2" x14ac:dyDescent="0.25">
      <c r="A27960" s="2">
        <v>27955</v>
      </c>
      <c r="B27960" s="3" t="str">
        <f>"200801002364"</f>
        <v>200801002364</v>
      </c>
    </row>
    <row r="27961" spans="1:2" x14ac:dyDescent="0.25">
      <c r="A27961" s="2">
        <v>27956</v>
      </c>
      <c r="B27961" s="3" t="str">
        <f>"200801002366"</f>
        <v>200801002366</v>
      </c>
    </row>
    <row r="27962" spans="1:2" x14ac:dyDescent="0.25">
      <c r="A27962" s="2">
        <v>27957</v>
      </c>
      <c r="B27962" s="3" t="str">
        <f>"200801002389"</f>
        <v>200801002389</v>
      </c>
    </row>
    <row r="27963" spans="1:2" x14ac:dyDescent="0.25">
      <c r="A27963" s="2">
        <v>27958</v>
      </c>
      <c r="B27963" s="3" t="str">
        <f>"200801002425"</f>
        <v>200801002425</v>
      </c>
    </row>
    <row r="27964" spans="1:2" x14ac:dyDescent="0.25">
      <c r="A27964" s="2">
        <v>27959</v>
      </c>
      <c r="B27964" s="3" t="str">
        <f>"200801002444"</f>
        <v>200801002444</v>
      </c>
    </row>
    <row r="27965" spans="1:2" x14ac:dyDescent="0.25">
      <c r="A27965" s="2">
        <v>27960</v>
      </c>
      <c r="B27965" s="3" t="str">
        <f>"200801002473"</f>
        <v>200801002473</v>
      </c>
    </row>
    <row r="27966" spans="1:2" x14ac:dyDescent="0.25">
      <c r="A27966" s="2">
        <v>27961</v>
      </c>
      <c r="B27966" s="3" t="str">
        <f>"200801002512"</f>
        <v>200801002512</v>
      </c>
    </row>
    <row r="27967" spans="1:2" x14ac:dyDescent="0.25">
      <c r="A27967" s="2">
        <v>27962</v>
      </c>
      <c r="B27967" s="3" t="str">
        <f>"200801002535"</f>
        <v>200801002535</v>
      </c>
    </row>
    <row r="27968" spans="1:2" x14ac:dyDescent="0.25">
      <c r="A27968" s="2">
        <v>27963</v>
      </c>
      <c r="B27968" s="3" t="str">
        <f>"200801002547"</f>
        <v>200801002547</v>
      </c>
    </row>
    <row r="27969" spans="1:2" x14ac:dyDescent="0.25">
      <c r="A27969" s="2">
        <v>27964</v>
      </c>
      <c r="B27969" s="3" t="str">
        <f>"200801002577"</f>
        <v>200801002577</v>
      </c>
    </row>
    <row r="27970" spans="1:2" x14ac:dyDescent="0.25">
      <c r="A27970" s="2">
        <v>27965</v>
      </c>
      <c r="B27970" s="3" t="str">
        <f>"200801002578"</f>
        <v>200801002578</v>
      </c>
    </row>
    <row r="27971" spans="1:2" x14ac:dyDescent="0.25">
      <c r="A27971" s="2">
        <v>27966</v>
      </c>
      <c r="B27971" s="3" t="str">
        <f>"200801002615"</f>
        <v>200801002615</v>
      </c>
    </row>
    <row r="27972" spans="1:2" x14ac:dyDescent="0.25">
      <c r="A27972" s="2">
        <v>27967</v>
      </c>
      <c r="B27972" s="3" t="str">
        <f>"200801002704"</f>
        <v>200801002704</v>
      </c>
    </row>
    <row r="27973" spans="1:2" x14ac:dyDescent="0.25">
      <c r="A27973" s="2">
        <v>27968</v>
      </c>
      <c r="B27973" s="3" t="str">
        <f>"200801002720"</f>
        <v>200801002720</v>
      </c>
    </row>
    <row r="27974" spans="1:2" x14ac:dyDescent="0.25">
      <c r="A27974" s="2">
        <v>27969</v>
      </c>
      <c r="B27974" s="3" t="str">
        <f>"200801002724"</f>
        <v>200801002724</v>
      </c>
    </row>
    <row r="27975" spans="1:2" x14ac:dyDescent="0.25">
      <c r="A27975" s="2">
        <v>27970</v>
      </c>
      <c r="B27975" s="3" t="str">
        <f>"200801002772"</f>
        <v>200801002772</v>
      </c>
    </row>
    <row r="27976" spans="1:2" x14ac:dyDescent="0.25">
      <c r="A27976" s="2">
        <v>27971</v>
      </c>
      <c r="B27976" s="3" t="str">
        <f>"200801002969"</f>
        <v>200801002969</v>
      </c>
    </row>
    <row r="27977" spans="1:2" x14ac:dyDescent="0.25">
      <c r="A27977" s="2">
        <v>27972</v>
      </c>
      <c r="B27977" s="3" t="str">
        <f>"200801003027"</f>
        <v>200801003027</v>
      </c>
    </row>
    <row r="27978" spans="1:2" x14ac:dyDescent="0.25">
      <c r="A27978" s="2">
        <v>27973</v>
      </c>
      <c r="B27978" s="3" t="str">
        <f>"200801003054"</f>
        <v>200801003054</v>
      </c>
    </row>
    <row r="27979" spans="1:2" x14ac:dyDescent="0.25">
      <c r="A27979" s="2">
        <v>27974</v>
      </c>
      <c r="B27979" s="3" t="str">
        <f>"200801003080"</f>
        <v>200801003080</v>
      </c>
    </row>
    <row r="27980" spans="1:2" x14ac:dyDescent="0.25">
      <c r="A27980" s="2">
        <v>27975</v>
      </c>
      <c r="B27980" s="3" t="str">
        <f>"200801003091"</f>
        <v>200801003091</v>
      </c>
    </row>
    <row r="27981" spans="1:2" x14ac:dyDescent="0.25">
      <c r="A27981" s="2">
        <v>27976</v>
      </c>
      <c r="B27981" s="3" t="str">
        <f>"200801003096"</f>
        <v>200801003096</v>
      </c>
    </row>
    <row r="27982" spans="1:2" x14ac:dyDescent="0.25">
      <c r="A27982" s="2">
        <v>27977</v>
      </c>
      <c r="B27982" s="3" t="str">
        <f>"200801003110"</f>
        <v>200801003110</v>
      </c>
    </row>
    <row r="27983" spans="1:2" x14ac:dyDescent="0.25">
      <c r="A27983" s="2">
        <v>27978</v>
      </c>
      <c r="B27983" s="3" t="str">
        <f>"200801003114"</f>
        <v>200801003114</v>
      </c>
    </row>
    <row r="27984" spans="1:2" x14ac:dyDescent="0.25">
      <c r="A27984" s="2">
        <v>27979</v>
      </c>
      <c r="B27984" s="3" t="str">
        <f>"200801003142"</f>
        <v>200801003142</v>
      </c>
    </row>
    <row r="27985" spans="1:2" x14ac:dyDescent="0.25">
      <c r="A27985" s="2">
        <v>27980</v>
      </c>
      <c r="B27985" s="3" t="str">
        <f>"200801003153"</f>
        <v>200801003153</v>
      </c>
    </row>
    <row r="27986" spans="1:2" x14ac:dyDescent="0.25">
      <c r="A27986" s="2">
        <v>27981</v>
      </c>
      <c r="B27986" s="3" t="str">
        <f>"200801003160"</f>
        <v>200801003160</v>
      </c>
    </row>
    <row r="27987" spans="1:2" x14ac:dyDescent="0.25">
      <c r="A27987" s="2">
        <v>27982</v>
      </c>
      <c r="B27987" s="3" t="str">
        <f>"200801003186"</f>
        <v>200801003186</v>
      </c>
    </row>
    <row r="27988" spans="1:2" x14ac:dyDescent="0.25">
      <c r="A27988" s="2">
        <v>27983</v>
      </c>
      <c r="B27988" s="3" t="str">
        <f>"200801003222"</f>
        <v>200801003222</v>
      </c>
    </row>
    <row r="27989" spans="1:2" x14ac:dyDescent="0.25">
      <c r="A27989" s="2">
        <v>27984</v>
      </c>
      <c r="B27989" s="3" t="str">
        <f>"200801003244"</f>
        <v>200801003244</v>
      </c>
    </row>
    <row r="27990" spans="1:2" x14ac:dyDescent="0.25">
      <c r="A27990" s="2">
        <v>27985</v>
      </c>
      <c r="B27990" s="3" t="str">
        <f>"200801003259"</f>
        <v>200801003259</v>
      </c>
    </row>
    <row r="27991" spans="1:2" x14ac:dyDescent="0.25">
      <c r="A27991" s="2">
        <v>27986</v>
      </c>
      <c r="B27991" s="3" t="str">
        <f>"200801003301"</f>
        <v>200801003301</v>
      </c>
    </row>
    <row r="27992" spans="1:2" x14ac:dyDescent="0.25">
      <c r="A27992" s="2">
        <v>27987</v>
      </c>
      <c r="B27992" s="3" t="str">
        <f>"200801003323"</f>
        <v>200801003323</v>
      </c>
    </row>
    <row r="27993" spans="1:2" x14ac:dyDescent="0.25">
      <c r="A27993" s="2">
        <v>27988</v>
      </c>
      <c r="B27993" s="3" t="str">
        <f>"200801003324"</f>
        <v>200801003324</v>
      </c>
    </row>
    <row r="27994" spans="1:2" x14ac:dyDescent="0.25">
      <c r="A27994" s="2">
        <v>27989</v>
      </c>
      <c r="B27994" s="3" t="str">
        <f>"200801003327"</f>
        <v>200801003327</v>
      </c>
    </row>
    <row r="27995" spans="1:2" x14ac:dyDescent="0.25">
      <c r="A27995" s="2">
        <v>27990</v>
      </c>
      <c r="B27995" s="3" t="str">
        <f>"200801003356"</f>
        <v>200801003356</v>
      </c>
    </row>
    <row r="27996" spans="1:2" x14ac:dyDescent="0.25">
      <c r="A27996" s="2">
        <v>27991</v>
      </c>
      <c r="B27996" s="3" t="str">
        <f>"200801003359"</f>
        <v>200801003359</v>
      </c>
    </row>
    <row r="27997" spans="1:2" x14ac:dyDescent="0.25">
      <c r="A27997" s="2">
        <v>27992</v>
      </c>
      <c r="B27997" s="3" t="str">
        <f>"200801003426"</f>
        <v>200801003426</v>
      </c>
    </row>
    <row r="27998" spans="1:2" x14ac:dyDescent="0.25">
      <c r="A27998" s="2">
        <v>27993</v>
      </c>
      <c r="B27998" s="3" t="str">
        <f>"200801003441"</f>
        <v>200801003441</v>
      </c>
    </row>
    <row r="27999" spans="1:2" x14ac:dyDescent="0.25">
      <c r="A27999" s="2">
        <v>27994</v>
      </c>
      <c r="B27999" s="3" t="str">
        <f>"200801003456"</f>
        <v>200801003456</v>
      </c>
    </row>
    <row r="28000" spans="1:2" x14ac:dyDescent="0.25">
      <c r="A28000" s="2">
        <v>27995</v>
      </c>
      <c r="B28000" s="3" t="str">
        <f>"200801003462"</f>
        <v>200801003462</v>
      </c>
    </row>
    <row r="28001" spans="1:2" x14ac:dyDescent="0.25">
      <c r="A28001" s="2">
        <v>27996</v>
      </c>
      <c r="B28001" s="3" t="str">
        <f>"200801003468"</f>
        <v>200801003468</v>
      </c>
    </row>
    <row r="28002" spans="1:2" x14ac:dyDescent="0.25">
      <c r="A28002" s="2">
        <v>27997</v>
      </c>
      <c r="B28002" s="3" t="str">
        <f>"200801003497"</f>
        <v>200801003497</v>
      </c>
    </row>
    <row r="28003" spans="1:2" x14ac:dyDescent="0.25">
      <c r="A28003" s="2">
        <v>27998</v>
      </c>
      <c r="B28003" s="3" t="str">
        <f>"200801003503"</f>
        <v>200801003503</v>
      </c>
    </row>
    <row r="28004" spans="1:2" x14ac:dyDescent="0.25">
      <c r="A28004" s="2">
        <v>27999</v>
      </c>
      <c r="B28004" s="3" t="str">
        <f>"200801003530"</f>
        <v>200801003530</v>
      </c>
    </row>
    <row r="28005" spans="1:2" x14ac:dyDescent="0.25">
      <c r="A28005" s="2">
        <v>28000</v>
      </c>
      <c r="B28005" s="3" t="str">
        <f>"200801003636"</f>
        <v>200801003636</v>
      </c>
    </row>
    <row r="28006" spans="1:2" x14ac:dyDescent="0.25">
      <c r="A28006" s="2">
        <v>28001</v>
      </c>
      <c r="B28006" s="3" t="str">
        <f>"200801003659"</f>
        <v>200801003659</v>
      </c>
    </row>
    <row r="28007" spans="1:2" x14ac:dyDescent="0.25">
      <c r="A28007" s="2">
        <v>28002</v>
      </c>
      <c r="B28007" s="3" t="str">
        <f>"200801003697"</f>
        <v>200801003697</v>
      </c>
    </row>
    <row r="28008" spans="1:2" x14ac:dyDescent="0.25">
      <c r="A28008" s="2">
        <v>28003</v>
      </c>
      <c r="B28008" s="3" t="str">
        <f>"200801003712"</f>
        <v>200801003712</v>
      </c>
    </row>
    <row r="28009" spans="1:2" x14ac:dyDescent="0.25">
      <c r="A28009" s="2">
        <v>28004</v>
      </c>
      <c r="B28009" s="3" t="str">
        <f>"200801003732"</f>
        <v>200801003732</v>
      </c>
    </row>
    <row r="28010" spans="1:2" x14ac:dyDescent="0.25">
      <c r="A28010" s="2">
        <v>28005</v>
      </c>
      <c r="B28010" s="3" t="str">
        <f>"200801003733"</f>
        <v>200801003733</v>
      </c>
    </row>
    <row r="28011" spans="1:2" x14ac:dyDescent="0.25">
      <c r="A28011" s="2">
        <v>28006</v>
      </c>
      <c r="B28011" s="3" t="str">
        <f>"200801003737"</f>
        <v>200801003737</v>
      </c>
    </row>
    <row r="28012" spans="1:2" x14ac:dyDescent="0.25">
      <c r="A28012" s="2">
        <v>28007</v>
      </c>
      <c r="B28012" s="3" t="str">
        <f>"200801003778"</f>
        <v>200801003778</v>
      </c>
    </row>
    <row r="28013" spans="1:2" x14ac:dyDescent="0.25">
      <c r="A28013" s="2">
        <v>28008</v>
      </c>
      <c r="B28013" s="3" t="str">
        <f>"200801003781"</f>
        <v>200801003781</v>
      </c>
    </row>
    <row r="28014" spans="1:2" x14ac:dyDescent="0.25">
      <c r="A28014" s="2">
        <v>28009</v>
      </c>
      <c r="B28014" s="3" t="str">
        <f>"200801003833"</f>
        <v>200801003833</v>
      </c>
    </row>
    <row r="28015" spans="1:2" x14ac:dyDescent="0.25">
      <c r="A28015" s="2">
        <v>28010</v>
      </c>
      <c r="B28015" s="3" t="str">
        <f>"200801003861"</f>
        <v>200801003861</v>
      </c>
    </row>
    <row r="28016" spans="1:2" x14ac:dyDescent="0.25">
      <c r="A28016" s="2">
        <v>28011</v>
      </c>
      <c r="B28016" s="3" t="str">
        <f>"200801003995"</f>
        <v>200801003995</v>
      </c>
    </row>
    <row r="28017" spans="1:2" x14ac:dyDescent="0.25">
      <c r="A28017" s="2">
        <v>28012</v>
      </c>
      <c r="B28017" s="3" t="str">
        <f>"200801004007"</f>
        <v>200801004007</v>
      </c>
    </row>
    <row r="28018" spans="1:2" x14ac:dyDescent="0.25">
      <c r="A28018" s="2">
        <v>28013</v>
      </c>
      <c r="B28018" s="3" t="str">
        <f>"200801004044"</f>
        <v>200801004044</v>
      </c>
    </row>
    <row r="28019" spans="1:2" x14ac:dyDescent="0.25">
      <c r="A28019" s="2">
        <v>28014</v>
      </c>
      <c r="B28019" s="3" t="str">
        <f>"200801004062"</f>
        <v>200801004062</v>
      </c>
    </row>
    <row r="28020" spans="1:2" x14ac:dyDescent="0.25">
      <c r="A28020" s="2">
        <v>28015</v>
      </c>
      <c r="B28020" s="3" t="str">
        <f>"200801004070"</f>
        <v>200801004070</v>
      </c>
    </row>
    <row r="28021" spans="1:2" x14ac:dyDescent="0.25">
      <c r="A28021" s="2">
        <v>28016</v>
      </c>
      <c r="B28021" s="3" t="str">
        <f>"200801004078"</f>
        <v>200801004078</v>
      </c>
    </row>
    <row r="28022" spans="1:2" x14ac:dyDescent="0.25">
      <c r="A28022" s="2">
        <v>28017</v>
      </c>
      <c r="B28022" s="3" t="str">
        <f>"200801004101"</f>
        <v>200801004101</v>
      </c>
    </row>
    <row r="28023" spans="1:2" x14ac:dyDescent="0.25">
      <c r="A28023" s="2">
        <v>28018</v>
      </c>
      <c r="B28023" s="3" t="str">
        <f>"200801004105"</f>
        <v>200801004105</v>
      </c>
    </row>
    <row r="28024" spans="1:2" x14ac:dyDescent="0.25">
      <c r="A28024" s="2">
        <v>28019</v>
      </c>
      <c r="B28024" s="3" t="str">
        <f>"200801004173"</f>
        <v>200801004173</v>
      </c>
    </row>
    <row r="28025" spans="1:2" x14ac:dyDescent="0.25">
      <c r="A28025" s="2">
        <v>28020</v>
      </c>
      <c r="B28025" s="3" t="str">
        <f>"200801004257"</f>
        <v>200801004257</v>
      </c>
    </row>
    <row r="28026" spans="1:2" x14ac:dyDescent="0.25">
      <c r="A28026" s="2">
        <v>28021</v>
      </c>
      <c r="B28026" s="3" t="str">
        <f>"200801004260"</f>
        <v>200801004260</v>
      </c>
    </row>
    <row r="28027" spans="1:2" x14ac:dyDescent="0.25">
      <c r="A28027" s="2">
        <v>28022</v>
      </c>
      <c r="B28027" s="3" t="str">
        <f>"200801004307"</f>
        <v>200801004307</v>
      </c>
    </row>
    <row r="28028" spans="1:2" x14ac:dyDescent="0.25">
      <c r="A28028" s="2">
        <v>28023</v>
      </c>
      <c r="B28028" s="3" t="str">
        <f>"200801004318"</f>
        <v>200801004318</v>
      </c>
    </row>
    <row r="28029" spans="1:2" x14ac:dyDescent="0.25">
      <c r="A28029" s="2">
        <v>28024</v>
      </c>
      <c r="B28029" s="3" t="str">
        <f>"200801004354"</f>
        <v>200801004354</v>
      </c>
    </row>
    <row r="28030" spans="1:2" x14ac:dyDescent="0.25">
      <c r="A28030" s="2">
        <v>28025</v>
      </c>
      <c r="B28030" s="3" t="str">
        <f>"200801004358"</f>
        <v>200801004358</v>
      </c>
    </row>
    <row r="28031" spans="1:2" x14ac:dyDescent="0.25">
      <c r="A28031" s="2">
        <v>28026</v>
      </c>
      <c r="B28031" s="3" t="str">
        <f>"200801004401"</f>
        <v>200801004401</v>
      </c>
    </row>
    <row r="28032" spans="1:2" x14ac:dyDescent="0.25">
      <c r="A28032" s="2">
        <v>28027</v>
      </c>
      <c r="B28032" s="3" t="str">
        <f>"200801004405"</f>
        <v>200801004405</v>
      </c>
    </row>
    <row r="28033" spans="1:2" x14ac:dyDescent="0.25">
      <c r="A28033" s="2">
        <v>28028</v>
      </c>
      <c r="B28033" s="3" t="str">
        <f>"200801004428"</f>
        <v>200801004428</v>
      </c>
    </row>
    <row r="28034" spans="1:2" x14ac:dyDescent="0.25">
      <c r="A28034" s="2">
        <v>28029</v>
      </c>
      <c r="B28034" s="3" t="str">
        <f>"200801004476"</f>
        <v>200801004476</v>
      </c>
    </row>
    <row r="28035" spans="1:2" x14ac:dyDescent="0.25">
      <c r="A28035" s="2">
        <v>28030</v>
      </c>
      <c r="B28035" s="3" t="str">
        <f>"200801004500"</f>
        <v>200801004500</v>
      </c>
    </row>
    <row r="28036" spans="1:2" x14ac:dyDescent="0.25">
      <c r="A28036" s="2">
        <v>28031</v>
      </c>
      <c r="B28036" s="3" t="str">
        <f>"200801004548"</f>
        <v>200801004548</v>
      </c>
    </row>
    <row r="28037" spans="1:2" x14ac:dyDescent="0.25">
      <c r="A28037" s="2">
        <v>28032</v>
      </c>
      <c r="B28037" s="3" t="str">
        <f>"200801004553"</f>
        <v>200801004553</v>
      </c>
    </row>
    <row r="28038" spans="1:2" x14ac:dyDescent="0.25">
      <c r="A28038" s="2">
        <v>28033</v>
      </c>
      <c r="B28038" s="3" t="str">
        <f>"200801004582"</f>
        <v>200801004582</v>
      </c>
    </row>
    <row r="28039" spans="1:2" x14ac:dyDescent="0.25">
      <c r="A28039" s="2">
        <v>28034</v>
      </c>
      <c r="B28039" s="3" t="str">
        <f>"200801004633"</f>
        <v>200801004633</v>
      </c>
    </row>
    <row r="28040" spans="1:2" x14ac:dyDescent="0.25">
      <c r="A28040" s="2">
        <v>28035</v>
      </c>
      <c r="B28040" s="3" t="str">
        <f>"200801004639"</f>
        <v>200801004639</v>
      </c>
    </row>
    <row r="28041" spans="1:2" x14ac:dyDescent="0.25">
      <c r="A28041" s="2">
        <v>28036</v>
      </c>
      <c r="B28041" s="3" t="str">
        <f>"200801004675"</f>
        <v>200801004675</v>
      </c>
    </row>
    <row r="28042" spans="1:2" x14ac:dyDescent="0.25">
      <c r="A28042" s="2">
        <v>28037</v>
      </c>
      <c r="B28042" s="3" t="str">
        <f>"200801004692"</f>
        <v>200801004692</v>
      </c>
    </row>
    <row r="28043" spans="1:2" x14ac:dyDescent="0.25">
      <c r="A28043" s="2">
        <v>28038</v>
      </c>
      <c r="B28043" s="3" t="str">
        <f>"200801004694"</f>
        <v>200801004694</v>
      </c>
    </row>
    <row r="28044" spans="1:2" x14ac:dyDescent="0.25">
      <c r="A28044" s="2">
        <v>28039</v>
      </c>
      <c r="B28044" s="3" t="str">
        <f>"200801004772"</f>
        <v>200801004772</v>
      </c>
    </row>
    <row r="28045" spans="1:2" x14ac:dyDescent="0.25">
      <c r="A28045" s="2">
        <v>28040</v>
      </c>
      <c r="B28045" s="3" t="str">
        <f>"200801004803"</f>
        <v>200801004803</v>
      </c>
    </row>
    <row r="28046" spans="1:2" x14ac:dyDescent="0.25">
      <c r="A28046" s="2">
        <v>28041</v>
      </c>
      <c r="B28046" s="3" t="str">
        <f>"200801004819"</f>
        <v>200801004819</v>
      </c>
    </row>
    <row r="28047" spans="1:2" x14ac:dyDescent="0.25">
      <c r="A28047" s="2">
        <v>28042</v>
      </c>
      <c r="B28047" s="3" t="str">
        <f>"200801004834"</f>
        <v>200801004834</v>
      </c>
    </row>
    <row r="28048" spans="1:2" x14ac:dyDescent="0.25">
      <c r="A28048" s="2">
        <v>28043</v>
      </c>
      <c r="B28048" s="3" t="str">
        <f>"200801004845"</f>
        <v>200801004845</v>
      </c>
    </row>
    <row r="28049" spans="1:2" x14ac:dyDescent="0.25">
      <c r="A28049" s="2">
        <v>28044</v>
      </c>
      <c r="B28049" s="3" t="str">
        <f>"200801004882"</f>
        <v>200801004882</v>
      </c>
    </row>
    <row r="28050" spans="1:2" x14ac:dyDescent="0.25">
      <c r="A28050" s="2">
        <v>28045</v>
      </c>
      <c r="B28050" s="3" t="str">
        <f>"200801004898"</f>
        <v>200801004898</v>
      </c>
    </row>
    <row r="28051" spans="1:2" x14ac:dyDescent="0.25">
      <c r="A28051" s="2">
        <v>28046</v>
      </c>
      <c r="B28051" s="3" t="str">
        <f>"200801004909"</f>
        <v>200801004909</v>
      </c>
    </row>
    <row r="28052" spans="1:2" x14ac:dyDescent="0.25">
      <c r="A28052" s="2">
        <v>28047</v>
      </c>
      <c r="B28052" s="3" t="str">
        <f>"200801004928"</f>
        <v>200801004928</v>
      </c>
    </row>
    <row r="28053" spans="1:2" x14ac:dyDescent="0.25">
      <c r="A28053" s="2">
        <v>28048</v>
      </c>
      <c r="B28053" s="3" t="str">
        <f>"200801004961"</f>
        <v>200801004961</v>
      </c>
    </row>
    <row r="28054" spans="1:2" x14ac:dyDescent="0.25">
      <c r="A28054" s="2">
        <v>28049</v>
      </c>
      <c r="B28054" s="3" t="str">
        <f>"200801004962"</f>
        <v>200801004962</v>
      </c>
    </row>
    <row r="28055" spans="1:2" x14ac:dyDescent="0.25">
      <c r="A28055" s="2">
        <v>28050</v>
      </c>
      <c r="B28055" s="3" t="str">
        <f>"200801004995"</f>
        <v>200801004995</v>
      </c>
    </row>
    <row r="28056" spans="1:2" x14ac:dyDescent="0.25">
      <c r="A28056" s="2">
        <v>28051</v>
      </c>
      <c r="B28056" s="3" t="str">
        <f>"200801005081"</f>
        <v>200801005081</v>
      </c>
    </row>
    <row r="28057" spans="1:2" x14ac:dyDescent="0.25">
      <c r="A28057" s="2">
        <v>28052</v>
      </c>
      <c r="B28057" s="3" t="str">
        <f>"200801005111"</f>
        <v>200801005111</v>
      </c>
    </row>
    <row r="28058" spans="1:2" x14ac:dyDescent="0.25">
      <c r="A28058" s="2">
        <v>28053</v>
      </c>
      <c r="B28058" s="3" t="str">
        <f>"200801005305"</f>
        <v>200801005305</v>
      </c>
    </row>
    <row r="28059" spans="1:2" x14ac:dyDescent="0.25">
      <c r="A28059" s="2">
        <v>28054</v>
      </c>
      <c r="B28059" s="3" t="str">
        <f>"200801005311"</f>
        <v>200801005311</v>
      </c>
    </row>
    <row r="28060" spans="1:2" x14ac:dyDescent="0.25">
      <c r="A28060" s="2">
        <v>28055</v>
      </c>
      <c r="B28060" s="3" t="str">
        <f>"200801005346"</f>
        <v>200801005346</v>
      </c>
    </row>
    <row r="28061" spans="1:2" x14ac:dyDescent="0.25">
      <c r="A28061" s="2">
        <v>28056</v>
      </c>
      <c r="B28061" s="3" t="str">
        <f>"200801005352"</f>
        <v>200801005352</v>
      </c>
    </row>
    <row r="28062" spans="1:2" x14ac:dyDescent="0.25">
      <c r="A28062" s="2">
        <v>28057</v>
      </c>
      <c r="B28062" s="3" t="str">
        <f>"200801005372"</f>
        <v>200801005372</v>
      </c>
    </row>
    <row r="28063" spans="1:2" x14ac:dyDescent="0.25">
      <c r="A28063" s="2">
        <v>28058</v>
      </c>
      <c r="B28063" s="3" t="str">
        <f>"200801005387"</f>
        <v>200801005387</v>
      </c>
    </row>
    <row r="28064" spans="1:2" x14ac:dyDescent="0.25">
      <c r="A28064" s="2">
        <v>28059</v>
      </c>
      <c r="B28064" s="3" t="str">
        <f>"200801005391"</f>
        <v>200801005391</v>
      </c>
    </row>
    <row r="28065" spans="1:2" x14ac:dyDescent="0.25">
      <c r="A28065" s="2">
        <v>28060</v>
      </c>
      <c r="B28065" s="3" t="str">
        <f>"200801005415"</f>
        <v>200801005415</v>
      </c>
    </row>
    <row r="28066" spans="1:2" x14ac:dyDescent="0.25">
      <c r="A28066" s="2">
        <v>28061</v>
      </c>
      <c r="B28066" s="3" t="str">
        <f>"200801005440"</f>
        <v>200801005440</v>
      </c>
    </row>
    <row r="28067" spans="1:2" x14ac:dyDescent="0.25">
      <c r="A28067" s="2">
        <v>28062</v>
      </c>
      <c r="B28067" s="3" t="str">
        <f>"200801005451"</f>
        <v>200801005451</v>
      </c>
    </row>
    <row r="28068" spans="1:2" x14ac:dyDescent="0.25">
      <c r="A28068" s="2">
        <v>28063</v>
      </c>
      <c r="B28068" s="3" t="str">
        <f>"200801005456"</f>
        <v>200801005456</v>
      </c>
    </row>
    <row r="28069" spans="1:2" x14ac:dyDescent="0.25">
      <c r="A28069" s="2">
        <v>28064</v>
      </c>
      <c r="B28069" s="3" t="str">
        <f>"200801005474"</f>
        <v>200801005474</v>
      </c>
    </row>
    <row r="28070" spans="1:2" x14ac:dyDescent="0.25">
      <c r="A28070" s="2">
        <v>28065</v>
      </c>
      <c r="B28070" s="3" t="str">
        <f>"200801005514"</f>
        <v>200801005514</v>
      </c>
    </row>
    <row r="28071" spans="1:2" x14ac:dyDescent="0.25">
      <c r="A28071" s="2">
        <v>28066</v>
      </c>
      <c r="B28071" s="3" t="str">
        <f>"200801005573"</f>
        <v>200801005573</v>
      </c>
    </row>
    <row r="28072" spans="1:2" x14ac:dyDescent="0.25">
      <c r="A28072" s="2">
        <v>28067</v>
      </c>
      <c r="B28072" s="3" t="str">
        <f>"200801005605"</f>
        <v>200801005605</v>
      </c>
    </row>
    <row r="28073" spans="1:2" x14ac:dyDescent="0.25">
      <c r="A28073" s="2">
        <v>28068</v>
      </c>
      <c r="B28073" s="3" t="str">
        <f>"200801005627"</f>
        <v>200801005627</v>
      </c>
    </row>
    <row r="28074" spans="1:2" x14ac:dyDescent="0.25">
      <c r="A28074" s="2">
        <v>28069</v>
      </c>
      <c r="B28074" s="3" t="str">
        <f>"200801005661"</f>
        <v>200801005661</v>
      </c>
    </row>
    <row r="28075" spans="1:2" x14ac:dyDescent="0.25">
      <c r="A28075" s="2">
        <v>28070</v>
      </c>
      <c r="B28075" s="3" t="str">
        <f>"200801005681"</f>
        <v>200801005681</v>
      </c>
    </row>
    <row r="28076" spans="1:2" x14ac:dyDescent="0.25">
      <c r="A28076" s="2">
        <v>28071</v>
      </c>
      <c r="B28076" s="3" t="str">
        <f>"200801005754"</f>
        <v>200801005754</v>
      </c>
    </row>
    <row r="28077" spans="1:2" x14ac:dyDescent="0.25">
      <c r="A28077" s="2">
        <v>28072</v>
      </c>
      <c r="B28077" s="3" t="str">
        <f>"200801005837"</f>
        <v>200801005837</v>
      </c>
    </row>
    <row r="28078" spans="1:2" x14ac:dyDescent="0.25">
      <c r="A28078" s="2">
        <v>28073</v>
      </c>
      <c r="B28078" s="3" t="str">
        <f>"200801005879"</f>
        <v>200801005879</v>
      </c>
    </row>
    <row r="28079" spans="1:2" x14ac:dyDescent="0.25">
      <c r="A28079" s="2">
        <v>28074</v>
      </c>
      <c r="B28079" s="3" t="str">
        <f>"200801005889"</f>
        <v>200801005889</v>
      </c>
    </row>
    <row r="28080" spans="1:2" x14ac:dyDescent="0.25">
      <c r="A28080" s="2">
        <v>28075</v>
      </c>
      <c r="B28080" s="3" t="str">
        <f>"200801005906"</f>
        <v>200801005906</v>
      </c>
    </row>
    <row r="28081" spans="1:2" x14ac:dyDescent="0.25">
      <c r="A28081" s="2">
        <v>28076</v>
      </c>
      <c r="B28081" s="3" t="str">
        <f>"200801005964"</f>
        <v>200801005964</v>
      </c>
    </row>
    <row r="28082" spans="1:2" x14ac:dyDescent="0.25">
      <c r="A28082" s="2">
        <v>28077</v>
      </c>
      <c r="B28082" s="3" t="str">
        <f>"200801005985"</f>
        <v>200801005985</v>
      </c>
    </row>
    <row r="28083" spans="1:2" x14ac:dyDescent="0.25">
      <c r="A28083" s="2">
        <v>28078</v>
      </c>
      <c r="B28083" s="3" t="str">
        <f>"200801005992"</f>
        <v>200801005992</v>
      </c>
    </row>
    <row r="28084" spans="1:2" x14ac:dyDescent="0.25">
      <c r="A28084" s="2">
        <v>28079</v>
      </c>
      <c r="B28084" s="3" t="str">
        <f>"200801006001"</f>
        <v>200801006001</v>
      </c>
    </row>
    <row r="28085" spans="1:2" x14ac:dyDescent="0.25">
      <c r="A28085" s="2">
        <v>28080</v>
      </c>
      <c r="B28085" s="3" t="str">
        <f>"200801006053"</f>
        <v>200801006053</v>
      </c>
    </row>
    <row r="28086" spans="1:2" x14ac:dyDescent="0.25">
      <c r="A28086" s="2">
        <v>28081</v>
      </c>
      <c r="B28086" s="3" t="str">
        <f>"200801006111"</f>
        <v>200801006111</v>
      </c>
    </row>
    <row r="28087" spans="1:2" x14ac:dyDescent="0.25">
      <c r="A28087" s="2">
        <v>28082</v>
      </c>
      <c r="B28087" s="3" t="str">
        <f>"200801006129"</f>
        <v>200801006129</v>
      </c>
    </row>
    <row r="28088" spans="1:2" x14ac:dyDescent="0.25">
      <c r="A28088" s="2">
        <v>28083</v>
      </c>
      <c r="B28088" s="3" t="str">
        <f>"200801006209"</f>
        <v>200801006209</v>
      </c>
    </row>
    <row r="28089" spans="1:2" x14ac:dyDescent="0.25">
      <c r="A28089" s="2">
        <v>28084</v>
      </c>
      <c r="B28089" s="3" t="str">
        <f>"200801006289"</f>
        <v>200801006289</v>
      </c>
    </row>
    <row r="28090" spans="1:2" x14ac:dyDescent="0.25">
      <c r="A28090" s="2">
        <v>28085</v>
      </c>
      <c r="B28090" s="3" t="str">
        <f>"200801006292"</f>
        <v>200801006292</v>
      </c>
    </row>
    <row r="28091" spans="1:2" x14ac:dyDescent="0.25">
      <c r="A28091" s="2">
        <v>28086</v>
      </c>
      <c r="B28091" s="3" t="str">
        <f>"200801006308"</f>
        <v>200801006308</v>
      </c>
    </row>
    <row r="28092" spans="1:2" x14ac:dyDescent="0.25">
      <c r="A28092" s="2">
        <v>28087</v>
      </c>
      <c r="B28092" s="3" t="str">
        <f>"200801006343"</f>
        <v>200801006343</v>
      </c>
    </row>
    <row r="28093" spans="1:2" x14ac:dyDescent="0.25">
      <c r="A28093" s="2">
        <v>28088</v>
      </c>
      <c r="B28093" s="3" t="str">
        <f>"200801006355"</f>
        <v>200801006355</v>
      </c>
    </row>
    <row r="28094" spans="1:2" x14ac:dyDescent="0.25">
      <c r="A28094" s="2">
        <v>28089</v>
      </c>
      <c r="B28094" s="3" t="str">
        <f>"200801006374"</f>
        <v>200801006374</v>
      </c>
    </row>
    <row r="28095" spans="1:2" x14ac:dyDescent="0.25">
      <c r="A28095" s="2">
        <v>28090</v>
      </c>
      <c r="B28095" s="3" t="str">
        <f>"200801006519"</f>
        <v>200801006519</v>
      </c>
    </row>
    <row r="28096" spans="1:2" x14ac:dyDescent="0.25">
      <c r="A28096" s="2">
        <v>28091</v>
      </c>
      <c r="B28096" s="3" t="str">
        <f>"200801006539"</f>
        <v>200801006539</v>
      </c>
    </row>
    <row r="28097" spans="1:2" x14ac:dyDescent="0.25">
      <c r="A28097" s="2">
        <v>28092</v>
      </c>
      <c r="B28097" s="3" t="str">
        <f>"200801006553"</f>
        <v>200801006553</v>
      </c>
    </row>
    <row r="28098" spans="1:2" x14ac:dyDescent="0.25">
      <c r="A28098" s="2">
        <v>28093</v>
      </c>
      <c r="B28098" s="3" t="str">
        <f>"200801006638"</f>
        <v>200801006638</v>
      </c>
    </row>
    <row r="28099" spans="1:2" x14ac:dyDescent="0.25">
      <c r="A28099" s="2">
        <v>28094</v>
      </c>
      <c r="B28099" s="3" t="str">
        <f>"200801006658"</f>
        <v>200801006658</v>
      </c>
    </row>
    <row r="28100" spans="1:2" x14ac:dyDescent="0.25">
      <c r="A28100" s="2">
        <v>28095</v>
      </c>
      <c r="B28100" s="3" t="str">
        <f>"200801006667"</f>
        <v>200801006667</v>
      </c>
    </row>
    <row r="28101" spans="1:2" x14ac:dyDescent="0.25">
      <c r="A28101" s="2">
        <v>28096</v>
      </c>
      <c r="B28101" s="3" t="str">
        <f>"200801006676"</f>
        <v>200801006676</v>
      </c>
    </row>
    <row r="28102" spans="1:2" x14ac:dyDescent="0.25">
      <c r="A28102" s="2">
        <v>28097</v>
      </c>
      <c r="B28102" s="3" t="str">
        <f>"200801006679"</f>
        <v>200801006679</v>
      </c>
    </row>
    <row r="28103" spans="1:2" x14ac:dyDescent="0.25">
      <c r="A28103" s="2">
        <v>28098</v>
      </c>
      <c r="B28103" s="3" t="str">
        <f>"200801006733"</f>
        <v>200801006733</v>
      </c>
    </row>
    <row r="28104" spans="1:2" x14ac:dyDescent="0.25">
      <c r="A28104" s="2">
        <v>28099</v>
      </c>
      <c r="B28104" s="3" t="str">
        <f>"200801006740"</f>
        <v>200801006740</v>
      </c>
    </row>
    <row r="28105" spans="1:2" x14ac:dyDescent="0.25">
      <c r="A28105" s="2">
        <v>28100</v>
      </c>
      <c r="B28105" s="3" t="str">
        <f>"200801006760"</f>
        <v>200801006760</v>
      </c>
    </row>
    <row r="28106" spans="1:2" x14ac:dyDescent="0.25">
      <c r="A28106" s="2">
        <v>28101</v>
      </c>
      <c r="B28106" s="3" t="str">
        <f>"200801006778"</f>
        <v>200801006778</v>
      </c>
    </row>
    <row r="28107" spans="1:2" x14ac:dyDescent="0.25">
      <c r="A28107" s="2">
        <v>28102</v>
      </c>
      <c r="B28107" s="3" t="str">
        <f>"200801006802"</f>
        <v>200801006802</v>
      </c>
    </row>
    <row r="28108" spans="1:2" x14ac:dyDescent="0.25">
      <c r="A28108" s="2">
        <v>28103</v>
      </c>
      <c r="B28108" s="3" t="str">
        <f>"200801006826"</f>
        <v>200801006826</v>
      </c>
    </row>
    <row r="28109" spans="1:2" x14ac:dyDescent="0.25">
      <c r="A28109" s="2">
        <v>28104</v>
      </c>
      <c r="B28109" s="3" t="str">
        <f>"200801006827"</f>
        <v>200801006827</v>
      </c>
    </row>
    <row r="28110" spans="1:2" x14ac:dyDescent="0.25">
      <c r="A28110" s="2">
        <v>28105</v>
      </c>
      <c r="B28110" s="3" t="str">
        <f>"200801006841"</f>
        <v>200801006841</v>
      </c>
    </row>
    <row r="28111" spans="1:2" x14ac:dyDescent="0.25">
      <c r="A28111" s="2">
        <v>28106</v>
      </c>
      <c r="B28111" s="3" t="str">
        <f>"200801006882"</f>
        <v>200801006882</v>
      </c>
    </row>
    <row r="28112" spans="1:2" x14ac:dyDescent="0.25">
      <c r="A28112" s="2">
        <v>28107</v>
      </c>
      <c r="B28112" s="3" t="str">
        <f>"200801006900"</f>
        <v>200801006900</v>
      </c>
    </row>
    <row r="28113" spans="1:2" x14ac:dyDescent="0.25">
      <c r="A28113" s="2">
        <v>28108</v>
      </c>
      <c r="B28113" s="3" t="str">
        <f>"200801006957"</f>
        <v>200801006957</v>
      </c>
    </row>
    <row r="28114" spans="1:2" x14ac:dyDescent="0.25">
      <c r="A28114" s="2">
        <v>28109</v>
      </c>
      <c r="B28114" s="3" t="str">
        <f>"200801006958"</f>
        <v>200801006958</v>
      </c>
    </row>
    <row r="28115" spans="1:2" x14ac:dyDescent="0.25">
      <c r="A28115" s="2">
        <v>28110</v>
      </c>
      <c r="B28115" s="3" t="str">
        <f>"200801006976"</f>
        <v>200801006976</v>
      </c>
    </row>
    <row r="28116" spans="1:2" x14ac:dyDescent="0.25">
      <c r="A28116" s="2">
        <v>28111</v>
      </c>
      <c r="B28116" s="3" t="str">
        <f>"200801007015"</f>
        <v>200801007015</v>
      </c>
    </row>
    <row r="28117" spans="1:2" x14ac:dyDescent="0.25">
      <c r="A28117" s="2">
        <v>28112</v>
      </c>
      <c r="B28117" s="3" t="str">
        <f>"200801007018"</f>
        <v>200801007018</v>
      </c>
    </row>
    <row r="28118" spans="1:2" x14ac:dyDescent="0.25">
      <c r="A28118" s="2">
        <v>28113</v>
      </c>
      <c r="B28118" s="3" t="str">
        <f>"200801007066"</f>
        <v>200801007066</v>
      </c>
    </row>
    <row r="28119" spans="1:2" x14ac:dyDescent="0.25">
      <c r="A28119" s="2">
        <v>28114</v>
      </c>
      <c r="B28119" s="3" t="str">
        <f>"200801007075"</f>
        <v>200801007075</v>
      </c>
    </row>
    <row r="28120" spans="1:2" x14ac:dyDescent="0.25">
      <c r="A28120" s="2">
        <v>28115</v>
      </c>
      <c r="B28120" s="3" t="str">
        <f>"200801007085"</f>
        <v>200801007085</v>
      </c>
    </row>
    <row r="28121" spans="1:2" x14ac:dyDescent="0.25">
      <c r="A28121" s="2">
        <v>28116</v>
      </c>
      <c r="B28121" s="3" t="str">
        <f>"200801007090"</f>
        <v>200801007090</v>
      </c>
    </row>
    <row r="28122" spans="1:2" x14ac:dyDescent="0.25">
      <c r="A28122" s="2">
        <v>28117</v>
      </c>
      <c r="B28122" s="3" t="str">
        <f>"200801007112"</f>
        <v>200801007112</v>
      </c>
    </row>
    <row r="28123" spans="1:2" x14ac:dyDescent="0.25">
      <c r="A28123" s="2">
        <v>28118</v>
      </c>
      <c r="B28123" s="3" t="str">
        <f>"200801007113"</f>
        <v>200801007113</v>
      </c>
    </row>
    <row r="28124" spans="1:2" x14ac:dyDescent="0.25">
      <c r="A28124" s="2">
        <v>28119</v>
      </c>
      <c r="B28124" s="3" t="str">
        <f>"200801007135"</f>
        <v>200801007135</v>
      </c>
    </row>
    <row r="28125" spans="1:2" x14ac:dyDescent="0.25">
      <c r="A28125" s="2">
        <v>28120</v>
      </c>
      <c r="B28125" s="3" t="str">
        <f>"200801007159"</f>
        <v>200801007159</v>
      </c>
    </row>
    <row r="28126" spans="1:2" x14ac:dyDescent="0.25">
      <c r="A28126" s="2">
        <v>28121</v>
      </c>
      <c r="B28126" s="3" t="str">
        <f>"200801007207"</f>
        <v>200801007207</v>
      </c>
    </row>
    <row r="28127" spans="1:2" x14ac:dyDescent="0.25">
      <c r="A28127" s="2">
        <v>28122</v>
      </c>
      <c r="B28127" s="3" t="str">
        <f>"200801007209"</f>
        <v>200801007209</v>
      </c>
    </row>
    <row r="28128" spans="1:2" x14ac:dyDescent="0.25">
      <c r="A28128" s="2">
        <v>28123</v>
      </c>
      <c r="B28128" s="3" t="str">
        <f>"200801007213"</f>
        <v>200801007213</v>
      </c>
    </row>
    <row r="28129" spans="1:2" x14ac:dyDescent="0.25">
      <c r="A28129" s="2">
        <v>28124</v>
      </c>
      <c r="B28129" s="3" t="str">
        <f>"200801007262"</f>
        <v>200801007262</v>
      </c>
    </row>
    <row r="28130" spans="1:2" x14ac:dyDescent="0.25">
      <c r="A28130" s="2">
        <v>28125</v>
      </c>
      <c r="B28130" s="3" t="str">
        <f>"200801007269"</f>
        <v>200801007269</v>
      </c>
    </row>
    <row r="28131" spans="1:2" x14ac:dyDescent="0.25">
      <c r="A28131" s="2">
        <v>28126</v>
      </c>
      <c r="B28131" s="3" t="str">
        <f>"200801007322"</f>
        <v>200801007322</v>
      </c>
    </row>
    <row r="28132" spans="1:2" x14ac:dyDescent="0.25">
      <c r="A28132" s="2">
        <v>28127</v>
      </c>
      <c r="B28132" s="3" t="str">
        <f>"200801007331"</f>
        <v>200801007331</v>
      </c>
    </row>
    <row r="28133" spans="1:2" x14ac:dyDescent="0.25">
      <c r="A28133" s="2">
        <v>28128</v>
      </c>
      <c r="B28133" s="3" t="str">
        <f>"200801007341"</f>
        <v>200801007341</v>
      </c>
    </row>
    <row r="28134" spans="1:2" x14ac:dyDescent="0.25">
      <c r="A28134" s="2">
        <v>28129</v>
      </c>
      <c r="B28134" s="3" t="str">
        <f>"200801007359"</f>
        <v>200801007359</v>
      </c>
    </row>
    <row r="28135" spans="1:2" x14ac:dyDescent="0.25">
      <c r="A28135" s="2">
        <v>28130</v>
      </c>
      <c r="B28135" s="3" t="str">
        <f>"200801007409"</f>
        <v>200801007409</v>
      </c>
    </row>
    <row r="28136" spans="1:2" x14ac:dyDescent="0.25">
      <c r="A28136" s="2">
        <v>28131</v>
      </c>
      <c r="B28136" s="3" t="str">
        <f>"200801007440"</f>
        <v>200801007440</v>
      </c>
    </row>
    <row r="28137" spans="1:2" x14ac:dyDescent="0.25">
      <c r="A28137" s="2">
        <v>28132</v>
      </c>
      <c r="B28137" s="3" t="str">
        <f>"200801007469"</f>
        <v>200801007469</v>
      </c>
    </row>
    <row r="28138" spans="1:2" x14ac:dyDescent="0.25">
      <c r="A28138" s="2">
        <v>28133</v>
      </c>
      <c r="B28138" s="3" t="str">
        <f>"200801007524"</f>
        <v>200801007524</v>
      </c>
    </row>
    <row r="28139" spans="1:2" x14ac:dyDescent="0.25">
      <c r="A28139" s="2">
        <v>28134</v>
      </c>
      <c r="B28139" s="3" t="str">
        <f>"200801007582"</f>
        <v>200801007582</v>
      </c>
    </row>
    <row r="28140" spans="1:2" x14ac:dyDescent="0.25">
      <c r="A28140" s="2">
        <v>28135</v>
      </c>
      <c r="B28140" s="3" t="str">
        <f>"200801007584"</f>
        <v>200801007584</v>
      </c>
    </row>
    <row r="28141" spans="1:2" x14ac:dyDescent="0.25">
      <c r="A28141" s="2">
        <v>28136</v>
      </c>
      <c r="B28141" s="3" t="str">
        <f>"200801007588"</f>
        <v>200801007588</v>
      </c>
    </row>
    <row r="28142" spans="1:2" x14ac:dyDescent="0.25">
      <c r="A28142" s="2">
        <v>28137</v>
      </c>
      <c r="B28142" s="3" t="str">
        <f>"200801007613"</f>
        <v>200801007613</v>
      </c>
    </row>
    <row r="28143" spans="1:2" x14ac:dyDescent="0.25">
      <c r="A28143" s="2">
        <v>28138</v>
      </c>
      <c r="B28143" s="3" t="str">
        <f>"200801007627"</f>
        <v>200801007627</v>
      </c>
    </row>
    <row r="28144" spans="1:2" x14ac:dyDescent="0.25">
      <c r="A28144" s="2">
        <v>28139</v>
      </c>
      <c r="B28144" s="3" t="str">
        <f>"200801007677"</f>
        <v>200801007677</v>
      </c>
    </row>
    <row r="28145" spans="1:2" x14ac:dyDescent="0.25">
      <c r="A28145" s="2">
        <v>28140</v>
      </c>
      <c r="B28145" s="3" t="str">
        <f>"200801007691"</f>
        <v>200801007691</v>
      </c>
    </row>
    <row r="28146" spans="1:2" x14ac:dyDescent="0.25">
      <c r="A28146" s="2">
        <v>28141</v>
      </c>
      <c r="B28146" s="3" t="str">
        <f>"200801007729"</f>
        <v>200801007729</v>
      </c>
    </row>
    <row r="28147" spans="1:2" x14ac:dyDescent="0.25">
      <c r="A28147" s="2">
        <v>28142</v>
      </c>
      <c r="B28147" s="3" t="str">
        <f>"200801007871"</f>
        <v>200801007871</v>
      </c>
    </row>
    <row r="28148" spans="1:2" x14ac:dyDescent="0.25">
      <c r="A28148" s="2">
        <v>28143</v>
      </c>
      <c r="B28148" s="3" t="str">
        <f>"200801007872"</f>
        <v>200801007872</v>
      </c>
    </row>
    <row r="28149" spans="1:2" x14ac:dyDescent="0.25">
      <c r="A28149" s="2">
        <v>28144</v>
      </c>
      <c r="B28149" s="3" t="str">
        <f>"200801007882"</f>
        <v>200801007882</v>
      </c>
    </row>
    <row r="28150" spans="1:2" x14ac:dyDescent="0.25">
      <c r="A28150" s="2">
        <v>28145</v>
      </c>
      <c r="B28150" s="3" t="str">
        <f>"200801007906"</f>
        <v>200801007906</v>
      </c>
    </row>
    <row r="28151" spans="1:2" x14ac:dyDescent="0.25">
      <c r="A28151" s="2">
        <v>28146</v>
      </c>
      <c r="B28151" s="3" t="str">
        <f>"200801008043"</f>
        <v>200801008043</v>
      </c>
    </row>
    <row r="28152" spans="1:2" x14ac:dyDescent="0.25">
      <c r="A28152" s="2">
        <v>28147</v>
      </c>
      <c r="B28152" s="3" t="str">
        <f>"200801008044"</f>
        <v>200801008044</v>
      </c>
    </row>
    <row r="28153" spans="1:2" x14ac:dyDescent="0.25">
      <c r="A28153" s="2">
        <v>28148</v>
      </c>
      <c r="B28153" s="3" t="str">
        <f>"200801008064"</f>
        <v>200801008064</v>
      </c>
    </row>
    <row r="28154" spans="1:2" x14ac:dyDescent="0.25">
      <c r="A28154" s="2">
        <v>28149</v>
      </c>
      <c r="B28154" s="3" t="str">
        <f>"200801008066"</f>
        <v>200801008066</v>
      </c>
    </row>
    <row r="28155" spans="1:2" x14ac:dyDescent="0.25">
      <c r="A28155" s="2">
        <v>28150</v>
      </c>
      <c r="B28155" s="3" t="str">
        <f>"200801008084"</f>
        <v>200801008084</v>
      </c>
    </row>
    <row r="28156" spans="1:2" x14ac:dyDescent="0.25">
      <c r="A28156" s="2">
        <v>28151</v>
      </c>
      <c r="B28156" s="3" t="str">
        <f>"200801008096"</f>
        <v>200801008096</v>
      </c>
    </row>
    <row r="28157" spans="1:2" x14ac:dyDescent="0.25">
      <c r="A28157" s="2">
        <v>28152</v>
      </c>
      <c r="B28157" s="3" t="str">
        <f>"200801008130"</f>
        <v>200801008130</v>
      </c>
    </row>
    <row r="28158" spans="1:2" x14ac:dyDescent="0.25">
      <c r="A28158" s="2">
        <v>28153</v>
      </c>
      <c r="B28158" s="3" t="str">
        <f>"200801008197"</f>
        <v>200801008197</v>
      </c>
    </row>
    <row r="28159" spans="1:2" x14ac:dyDescent="0.25">
      <c r="A28159" s="2">
        <v>28154</v>
      </c>
      <c r="B28159" s="3" t="str">
        <f>"200801008226"</f>
        <v>200801008226</v>
      </c>
    </row>
    <row r="28160" spans="1:2" x14ac:dyDescent="0.25">
      <c r="A28160" s="2">
        <v>28155</v>
      </c>
      <c r="B28160" s="3" t="str">
        <f>"200801008234"</f>
        <v>200801008234</v>
      </c>
    </row>
    <row r="28161" spans="1:2" x14ac:dyDescent="0.25">
      <c r="A28161" s="2">
        <v>28156</v>
      </c>
      <c r="B28161" s="3" t="str">
        <f>"200801008360"</f>
        <v>200801008360</v>
      </c>
    </row>
    <row r="28162" spans="1:2" x14ac:dyDescent="0.25">
      <c r="A28162" s="2">
        <v>28157</v>
      </c>
      <c r="B28162" s="3" t="str">
        <f>"200801008404"</f>
        <v>200801008404</v>
      </c>
    </row>
    <row r="28163" spans="1:2" x14ac:dyDescent="0.25">
      <c r="A28163" s="2">
        <v>28158</v>
      </c>
      <c r="B28163" s="3" t="str">
        <f>"200801008424"</f>
        <v>200801008424</v>
      </c>
    </row>
    <row r="28164" spans="1:2" x14ac:dyDescent="0.25">
      <c r="A28164" s="2">
        <v>28159</v>
      </c>
      <c r="B28164" s="3" t="str">
        <f>"200801008461"</f>
        <v>200801008461</v>
      </c>
    </row>
    <row r="28165" spans="1:2" x14ac:dyDescent="0.25">
      <c r="A28165" s="2">
        <v>28160</v>
      </c>
      <c r="B28165" s="3" t="str">
        <f>"200801008463"</f>
        <v>200801008463</v>
      </c>
    </row>
    <row r="28166" spans="1:2" x14ac:dyDescent="0.25">
      <c r="A28166" s="2">
        <v>28161</v>
      </c>
      <c r="B28166" s="3" t="str">
        <f>"200801008497"</f>
        <v>200801008497</v>
      </c>
    </row>
    <row r="28167" spans="1:2" x14ac:dyDescent="0.25">
      <c r="A28167" s="2">
        <v>28162</v>
      </c>
      <c r="B28167" s="3" t="str">
        <f>"200801008508"</f>
        <v>200801008508</v>
      </c>
    </row>
    <row r="28168" spans="1:2" x14ac:dyDescent="0.25">
      <c r="A28168" s="2">
        <v>28163</v>
      </c>
      <c r="B28168" s="3" t="str">
        <f>"200801008568"</f>
        <v>200801008568</v>
      </c>
    </row>
    <row r="28169" spans="1:2" x14ac:dyDescent="0.25">
      <c r="A28169" s="2">
        <v>28164</v>
      </c>
      <c r="B28169" s="3" t="str">
        <f>"200801008588"</f>
        <v>200801008588</v>
      </c>
    </row>
    <row r="28170" spans="1:2" x14ac:dyDescent="0.25">
      <c r="A28170" s="2">
        <v>28165</v>
      </c>
      <c r="B28170" s="3" t="str">
        <f>"200801008615"</f>
        <v>200801008615</v>
      </c>
    </row>
    <row r="28171" spans="1:2" x14ac:dyDescent="0.25">
      <c r="A28171" s="2">
        <v>28166</v>
      </c>
      <c r="B28171" s="3" t="str">
        <f>"200801008638"</f>
        <v>200801008638</v>
      </c>
    </row>
    <row r="28172" spans="1:2" x14ac:dyDescent="0.25">
      <c r="A28172" s="2">
        <v>28167</v>
      </c>
      <c r="B28172" s="3" t="str">
        <f>"200801008651"</f>
        <v>200801008651</v>
      </c>
    </row>
    <row r="28173" spans="1:2" x14ac:dyDescent="0.25">
      <c r="A28173" s="2">
        <v>28168</v>
      </c>
      <c r="B28173" s="3" t="str">
        <f>"200801008666"</f>
        <v>200801008666</v>
      </c>
    </row>
    <row r="28174" spans="1:2" x14ac:dyDescent="0.25">
      <c r="A28174" s="2">
        <v>28169</v>
      </c>
      <c r="B28174" s="3" t="str">
        <f>"200801008704"</f>
        <v>200801008704</v>
      </c>
    </row>
    <row r="28175" spans="1:2" x14ac:dyDescent="0.25">
      <c r="A28175" s="2">
        <v>28170</v>
      </c>
      <c r="B28175" s="3" t="str">
        <f>"200801008709"</f>
        <v>200801008709</v>
      </c>
    </row>
    <row r="28176" spans="1:2" x14ac:dyDescent="0.25">
      <c r="A28176" s="2">
        <v>28171</v>
      </c>
      <c r="B28176" s="3" t="str">
        <f>"200801008761"</f>
        <v>200801008761</v>
      </c>
    </row>
    <row r="28177" spans="1:2" x14ac:dyDescent="0.25">
      <c r="A28177" s="2">
        <v>28172</v>
      </c>
      <c r="B28177" s="3" t="str">
        <f>"200801008774"</f>
        <v>200801008774</v>
      </c>
    </row>
    <row r="28178" spans="1:2" x14ac:dyDescent="0.25">
      <c r="A28178" s="2">
        <v>28173</v>
      </c>
      <c r="B28178" s="3" t="str">
        <f>"200801008828"</f>
        <v>200801008828</v>
      </c>
    </row>
    <row r="28179" spans="1:2" x14ac:dyDescent="0.25">
      <c r="A28179" s="2">
        <v>28174</v>
      </c>
      <c r="B28179" s="3" t="str">
        <f>"200801008833"</f>
        <v>200801008833</v>
      </c>
    </row>
    <row r="28180" spans="1:2" x14ac:dyDescent="0.25">
      <c r="A28180" s="2">
        <v>28175</v>
      </c>
      <c r="B28180" s="3" t="str">
        <f>"200801008853"</f>
        <v>200801008853</v>
      </c>
    </row>
    <row r="28181" spans="1:2" x14ac:dyDescent="0.25">
      <c r="A28181" s="2">
        <v>28176</v>
      </c>
      <c r="B28181" s="3" t="str">
        <f>"200801008863"</f>
        <v>200801008863</v>
      </c>
    </row>
    <row r="28182" spans="1:2" x14ac:dyDescent="0.25">
      <c r="A28182" s="2">
        <v>28177</v>
      </c>
      <c r="B28182" s="3" t="str">
        <f>"200801008878"</f>
        <v>200801008878</v>
      </c>
    </row>
    <row r="28183" spans="1:2" x14ac:dyDescent="0.25">
      <c r="A28183" s="2">
        <v>28178</v>
      </c>
      <c r="B28183" s="3" t="str">
        <f>"200801008883"</f>
        <v>200801008883</v>
      </c>
    </row>
    <row r="28184" spans="1:2" x14ac:dyDescent="0.25">
      <c r="A28184" s="2">
        <v>28179</v>
      </c>
      <c r="B28184" s="3" t="str">
        <f>"200801008921"</f>
        <v>200801008921</v>
      </c>
    </row>
    <row r="28185" spans="1:2" x14ac:dyDescent="0.25">
      <c r="A28185" s="2">
        <v>28180</v>
      </c>
      <c r="B28185" s="3" t="str">
        <f>"200801008931"</f>
        <v>200801008931</v>
      </c>
    </row>
    <row r="28186" spans="1:2" x14ac:dyDescent="0.25">
      <c r="A28186" s="2">
        <v>28181</v>
      </c>
      <c r="B28186" s="3" t="str">
        <f>"200801009002"</f>
        <v>200801009002</v>
      </c>
    </row>
    <row r="28187" spans="1:2" x14ac:dyDescent="0.25">
      <c r="A28187" s="2">
        <v>28182</v>
      </c>
      <c r="B28187" s="3" t="str">
        <f>"200801009020"</f>
        <v>200801009020</v>
      </c>
    </row>
    <row r="28188" spans="1:2" x14ac:dyDescent="0.25">
      <c r="A28188" s="2">
        <v>28183</v>
      </c>
      <c r="B28188" s="3" t="str">
        <f>"200801009046"</f>
        <v>200801009046</v>
      </c>
    </row>
    <row r="28189" spans="1:2" x14ac:dyDescent="0.25">
      <c r="A28189" s="2">
        <v>28184</v>
      </c>
      <c r="B28189" s="3" t="str">
        <f>"200801009068"</f>
        <v>200801009068</v>
      </c>
    </row>
    <row r="28190" spans="1:2" x14ac:dyDescent="0.25">
      <c r="A28190" s="2">
        <v>28185</v>
      </c>
      <c r="B28190" s="3" t="str">
        <f>"200801009211"</f>
        <v>200801009211</v>
      </c>
    </row>
    <row r="28191" spans="1:2" x14ac:dyDescent="0.25">
      <c r="A28191" s="2">
        <v>28186</v>
      </c>
      <c r="B28191" s="3" t="str">
        <f>"200801009212"</f>
        <v>200801009212</v>
      </c>
    </row>
    <row r="28192" spans="1:2" x14ac:dyDescent="0.25">
      <c r="A28192" s="2">
        <v>28187</v>
      </c>
      <c r="B28192" s="3" t="str">
        <f>"200801009251"</f>
        <v>200801009251</v>
      </c>
    </row>
    <row r="28193" spans="1:2" x14ac:dyDescent="0.25">
      <c r="A28193" s="2">
        <v>28188</v>
      </c>
      <c r="B28193" s="3" t="str">
        <f>"200801009266"</f>
        <v>200801009266</v>
      </c>
    </row>
    <row r="28194" spans="1:2" x14ac:dyDescent="0.25">
      <c r="A28194" s="2">
        <v>28189</v>
      </c>
      <c r="B28194" s="3" t="str">
        <f>"200801009314"</f>
        <v>200801009314</v>
      </c>
    </row>
    <row r="28195" spans="1:2" x14ac:dyDescent="0.25">
      <c r="A28195" s="2">
        <v>28190</v>
      </c>
      <c r="B28195" s="3" t="str">
        <f>"200801009342"</f>
        <v>200801009342</v>
      </c>
    </row>
    <row r="28196" spans="1:2" x14ac:dyDescent="0.25">
      <c r="A28196" s="2">
        <v>28191</v>
      </c>
      <c r="B28196" s="3" t="str">
        <f>"200801009353"</f>
        <v>200801009353</v>
      </c>
    </row>
    <row r="28197" spans="1:2" x14ac:dyDescent="0.25">
      <c r="A28197" s="2">
        <v>28192</v>
      </c>
      <c r="B28197" s="3" t="str">
        <f>"200801009463"</f>
        <v>200801009463</v>
      </c>
    </row>
    <row r="28198" spans="1:2" x14ac:dyDescent="0.25">
      <c r="A28198" s="2">
        <v>28193</v>
      </c>
      <c r="B28198" s="3" t="str">
        <f>"200801009520"</f>
        <v>200801009520</v>
      </c>
    </row>
    <row r="28199" spans="1:2" x14ac:dyDescent="0.25">
      <c r="A28199" s="2">
        <v>28194</v>
      </c>
      <c r="B28199" s="3" t="str">
        <f>"200801009546"</f>
        <v>200801009546</v>
      </c>
    </row>
    <row r="28200" spans="1:2" x14ac:dyDescent="0.25">
      <c r="A28200" s="2">
        <v>28195</v>
      </c>
      <c r="B28200" s="3" t="str">
        <f>"200801009550"</f>
        <v>200801009550</v>
      </c>
    </row>
    <row r="28201" spans="1:2" x14ac:dyDescent="0.25">
      <c r="A28201" s="2">
        <v>28196</v>
      </c>
      <c r="B28201" s="3" t="str">
        <f>"200801009585"</f>
        <v>200801009585</v>
      </c>
    </row>
    <row r="28202" spans="1:2" x14ac:dyDescent="0.25">
      <c r="A28202" s="2">
        <v>28197</v>
      </c>
      <c r="B28202" s="3" t="str">
        <f>"200801009627"</f>
        <v>200801009627</v>
      </c>
    </row>
    <row r="28203" spans="1:2" x14ac:dyDescent="0.25">
      <c r="A28203" s="2">
        <v>28198</v>
      </c>
      <c r="B28203" s="3" t="str">
        <f>"200801009678"</f>
        <v>200801009678</v>
      </c>
    </row>
    <row r="28204" spans="1:2" x14ac:dyDescent="0.25">
      <c r="A28204" s="2">
        <v>28199</v>
      </c>
      <c r="B28204" s="3" t="str">
        <f>"200801009708"</f>
        <v>200801009708</v>
      </c>
    </row>
    <row r="28205" spans="1:2" x14ac:dyDescent="0.25">
      <c r="A28205" s="2">
        <v>28200</v>
      </c>
      <c r="B28205" s="3" t="str">
        <f>"200801009721"</f>
        <v>200801009721</v>
      </c>
    </row>
    <row r="28206" spans="1:2" x14ac:dyDescent="0.25">
      <c r="A28206" s="2">
        <v>28201</v>
      </c>
      <c r="B28206" s="3" t="str">
        <f>"200801009738"</f>
        <v>200801009738</v>
      </c>
    </row>
    <row r="28207" spans="1:2" x14ac:dyDescent="0.25">
      <c r="A28207" s="2">
        <v>28202</v>
      </c>
      <c r="B28207" s="3" t="str">
        <f>"200801009740"</f>
        <v>200801009740</v>
      </c>
    </row>
    <row r="28208" spans="1:2" x14ac:dyDescent="0.25">
      <c r="A28208" s="2">
        <v>28203</v>
      </c>
      <c r="B28208" s="3" t="str">
        <f>"200801009741"</f>
        <v>200801009741</v>
      </c>
    </row>
    <row r="28209" spans="1:2" x14ac:dyDescent="0.25">
      <c r="A28209" s="2">
        <v>28204</v>
      </c>
      <c r="B28209" s="3" t="str">
        <f>"200801009742"</f>
        <v>200801009742</v>
      </c>
    </row>
    <row r="28210" spans="1:2" x14ac:dyDescent="0.25">
      <c r="A28210" s="2">
        <v>28205</v>
      </c>
      <c r="B28210" s="3" t="str">
        <f>"200801009755"</f>
        <v>200801009755</v>
      </c>
    </row>
    <row r="28211" spans="1:2" x14ac:dyDescent="0.25">
      <c r="A28211" s="2">
        <v>28206</v>
      </c>
      <c r="B28211" s="3" t="str">
        <f>"200801009788"</f>
        <v>200801009788</v>
      </c>
    </row>
    <row r="28212" spans="1:2" x14ac:dyDescent="0.25">
      <c r="A28212" s="2">
        <v>28207</v>
      </c>
      <c r="B28212" s="3" t="str">
        <f>"200801009812"</f>
        <v>200801009812</v>
      </c>
    </row>
    <row r="28213" spans="1:2" x14ac:dyDescent="0.25">
      <c r="A28213" s="2">
        <v>28208</v>
      </c>
      <c r="B28213" s="3" t="str">
        <f>"200801009855"</f>
        <v>200801009855</v>
      </c>
    </row>
    <row r="28214" spans="1:2" x14ac:dyDescent="0.25">
      <c r="A28214" s="2">
        <v>28209</v>
      </c>
      <c r="B28214" s="3" t="str">
        <f>"200801009862"</f>
        <v>200801009862</v>
      </c>
    </row>
    <row r="28215" spans="1:2" x14ac:dyDescent="0.25">
      <c r="A28215" s="2">
        <v>28210</v>
      </c>
      <c r="B28215" s="3" t="str">
        <f>"200801009907"</f>
        <v>200801009907</v>
      </c>
    </row>
    <row r="28216" spans="1:2" x14ac:dyDescent="0.25">
      <c r="A28216" s="2">
        <v>28211</v>
      </c>
      <c r="B28216" s="3" t="str">
        <f>"200801009917"</f>
        <v>200801009917</v>
      </c>
    </row>
    <row r="28217" spans="1:2" x14ac:dyDescent="0.25">
      <c r="A28217" s="2">
        <v>28212</v>
      </c>
      <c r="B28217" s="3" t="str">
        <f>"200801010072"</f>
        <v>200801010072</v>
      </c>
    </row>
    <row r="28218" spans="1:2" x14ac:dyDescent="0.25">
      <c r="A28218" s="2">
        <v>28213</v>
      </c>
      <c r="B28218" s="3" t="str">
        <f>"200801010148"</f>
        <v>200801010148</v>
      </c>
    </row>
    <row r="28219" spans="1:2" x14ac:dyDescent="0.25">
      <c r="A28219" s="2">
        <v>28214</v>
      </c>
      <c r="B28219" s="3" t="str">
        <f>"200801010223"</f>
        <v>200801010223</v>
      </c>
    </row>
    <row r="28220" spans="1:2" x14ac:dyDescent="0.25">
      <c r="A28220" s="2">
        <v>28215</v>
      </c>
      <c r="B28220" s="3" t="str">
        <f>"200801010245"</f>
        <v>200801010245</v>
      </c>
    </row>
    <row r="28221" spans="1:2" x14ac:dyDescent="0.25">
      <c r="A28221" s="2">
        <v>28216</v>
      </c>
      <c r="B28221" s="3" t="str">
        <f>"200801010365"</f>
        <v>200801010365</v>
      </c>
    </row>
    <row r="28222" spans="1:2" x14ac:dyDescent="0.25">
      <c r="A28222" s="2">
        <v>28217</v>
      </c>
      <c r="B28222" s="3" t="str">
        <f>"200801010375"</f>
        <v>200801010375</v>
      </c>
    </row>
    <row r="28223" spans="1:2" x14ac:dyDescent="0.25">
      <c r="A28223" s="2">
        <v>28218</v>
      </c>
      <c r="B28223" s="3" t="str">
        <f>"200801010392"</f>
        <v>200801010392</v>
      </c>
    </row>
    <row r="28224" spans="1:2" x14ac:dyDescent="0.25">
      <c r="A28224" s="2">
        <v>28219</v>
      </c>
      <c r="B28224" s="3" t="str">
        <f>"200801010433"</f>
        <v>200801010433</v>
      </c>
    </row>
    <row r="28225" spans="1:2" x14ac:dyDescent="0.25">
      <c r="A28225" s="2">
        <v>28220</v>
      </c>
      <c r="B28225" s="3" t="str">
        <f>"200801010459"</f>
        <v>200801010459</v>
      </c>
    </row>
    <row r="28226" spans="1:2" x14ac:dyDescent="0.25">
      <c r="A28226" s="2">
        <v>28221</v>
      </c>
      <c r="B28226" s="3" t="str">
        <f>"200801010619"</f>
        <v>200801010619</v>
      </c>
    </row>
    <row r="28227" spans="1:2" x14ac:dyDescent="0.25">
      <c r="A28227" s="2">
        <v>28222</v>
      </c>
      <c r="B28227" s="3" t="str">
        <f>"200801010631"</f>
        <v>200801010631</v>
      </c>
    </row>
    <row r="28228" spans="1:2" x14ac:dyDescent="0.25">
      <c r="A28228" s="2">
        <v>28223</v>
      </c>
      <c r="B28228" s="3" t="str">
        <f>"200801010639"</f>
        <v>200801010639</v>
      </c>
    </row>
    <row r="28229" spans="1:2" x14ac:dyDescent="0.25">
      <c r="A28229" s="2">
        <v>28224</v>
      </c>
      <c r="B28229" s="3" t="str">
        <f>"200801010650"</f>
        <v>200801010650</v>
      </c>
    </row>
    <row r="28230" spans="1:2" x14ac:dyDescent="0.25">
      <c r="A28230" s="2">
        <v>28225</v>
      </c>
      <c r="B28230" s="3" t="str">
        <f>"200801010704"</f>
        <v>200801010704</v>
      </c>
    </row>
    <row r="28231" spans="1:2" x14ac:dyDescent="0.25">
      <c r="A28231" s="2">
        <v>28226</v>
      </c>
      <c r="B28231" s="3" t="str">
        <f>"200801010739"</f>
        <v>200801010739</v>
      </c>
    </row>
    <row r="28232" spans="1:2" x14ac:dyDescent="0.25">
      <c r="A28232" s="2">
        <v>28227</v>
      </c>
      <c r="B28232" s="3" t="str">
        <f>"200801010766"</f>
        <v>200801010766</v>
      </c>
    </row>
    <row r="28233" spans="1:2" x14ac:dyDescent="0.25">
      <c r="A28233" s="2">
        <v>28228</v>
      </c>
      <c r="B28233" s="3" t="str">
        <f>"200801010775"</f>
        <v>200801010775</v>
      </c>
    </row>
    <row r="28234" spans="1:2" x14ac:dyDescent="0.25">
      <c r="A28234" s="2">
        <v>28229</v>
      </c>
      <c r="B28234" s="3" t="str">
        <f>"200801010811"</f>
        <v>200801010811</v>
      </c>
    </row>
    <row r="28235" spans="1:2" x14ac:dyDescent="0.25">
      <c r="A28235" s="2">
        <v>28230</v>
      </c>
      <c r="B28235" s="3" t="str">
        <f>"200801010816"</f>
        <v>200801010816</v>
      </c>
    </row>
    <row r="28236" spans="1:2" x14ac:dyDescent="0.25">
      <c r="A28236" s="2">
        <v>28231</v>
      </c>
      <c r="B28236" s="3" t="str">
        <f>"200801010845"</f>
        <v>200801010845</v>
      </c>
    </row>
    <row r="28237" spans="1:2" x14ac:dyDescent="0.25">
      <c r="A28237" s="2">
        <v>28232</v>
      </c>
      <c r="B28237" s="3" t="str">
        <f>"200801010864"</f>
        <v>200801010864</v>
      </c>
    </row>
    <row r="28238" spans="1:2" x14ac:dyDescent="0.25">
      <c r="A28238" s="2">
        <v>28233</v>
      </c>
      <c r="B28238" s="3" t="str">
        <f>"200801010871"</f>
        <v>200801010871</v>
      </c>
    </row>
    <row r="28239" spans="1:2" x14ac:dyDescent="0.25">
      <c r="A28239" s="2">
        <v>28234</v>
      </c>
      <c r="B28239" s="3" t="str">
        <f>"200801010873"</f>
        <v>200801010873</v>
      </c>
    </row>
    <row r="28240" spans="1:2" x14ac:dyDescent="0.25">
      <c r="A28240" s="2">
        <v>28235</v>
      </c>
      <c r="B28240" s="3" t="str">
        <f>"200801010876"</f>
        <v>200801010876</v>
      </c>
    </row>
    <row r="28241" spans="1:2" x14ac:dyDescent="0.25">
      <c r="A28241" s="2">
        <v>28236</v>
      </c>
      <c r="B28241" s="3" t="str">
        <f>"200801010906"</f>
        <v>200801010906</v>
      </c>
    </row>
    <row r="28242" spans="1:2" x14ac:dyDescent="0.25">
      <c r="A28242" s="2">
        <v>28237</v>
      </c>
      <c r="B28242" s="3" t="str">
        <f>"200801010909"</f>
        <v>200801010909</v>
      </c>
    </row>
    <row r="28243" spans="1:2" x14ac:dyDescent="0.25">
      <c r="A28243" s="2">
        <v>28238</v>
      </c>
      <c r="B28243" s="3" t="str">
        <f>"200801010942"</f>
        <v>200801010942</v>
      </c>
    </row>
    <row r="28244" spans="1:2" x14ac:dyDescent="0.25">
      <c r="A28244" s="2">
        <v>28239</v>
      </c>
      <c r="B28244" s="3" t="str">
        <f>"200801010992"</f>
        <v>200801010992</v>
      </c>
    </row>
    <row r="28245" spans="1:2" x14ac:dyDescent="0.25">
      <c r="A28245" s="2">
        <v>28240</v>
      </c>
      <c r="B28245" s="3" t="str">
        <f>"200801010998"</f>
        <v>200801010998</v>
      </c>
    </row>
    <row r="28246" spans="1:2" x14ac:dyDescent="0.25">
      <c r="A28246" s="2">
        <v>28241</v>
      </c>
      <c r="B28246" s="3" t="str">
        <f>"200801011004"</f>
        <v>200801011004</v>
      </c>
    </row>
    <row r="28247" spans="1:2" x14ac:dyDescent="0.25">
      <c r="A28247" s="2">
        <v>28242</v>
      </c>
      <c r="B28247" s="3" t="str">
        <f>"200801011011"</f>
        <v>200801011011</v>
      </c>
    </row>
    <row r="28248" spans="1:2" x14ac:dyDescent="0.25">
      <c r="A28248" s="2">
        <v>28243</v>
      </c>
      <c r="B28248" s="3" t="str">
        <f>"200801011095"</f>
        <v>200801011095</v>
      </c>
    </row>
    <row r="28249" spans="1:2" x14ac:dyDescent="0.25">
      <c r="A28249" s="2">
        <v>28244</v>
      </c>
      <c r="B28249" s="3" t="str">
        <f>"200801011128"</f>
        <v>200801011128</v>
      </c>
    </row>
    <row r="28250" spans="1:2" x14ac:dyDescent="0.25">
      <c r="A28250" s="2">
        <v>28245</v>
      </c>
      <c r="B28250" s="3" t="str">
        <f>"200801011141"</f>
        <v>200801011141</v>
      </c>
    </row>
    <row r="28251" spans="1:2" x14ac:dyDescent="0.25">
      <c r="A28251" s="2">
        <v>28246</v>
      </c>
      <c r="B28251" s="3" t="str">
        <f>"200801011147"</f>
        <v>200801011147</v>
      </c>
    </row>
    <row r="28252" spans="1:2" x14ac:dyDescent="0.25">
      <c r="A28252" s="2">
        <v>28247</v>
      </c>
      <c r="B28252" s="3" t="str">
        <f>"200801011149"</f>
        <v>200801011149</v>
      </c>
    </row>
    <row r="28253" spans="1:2" x14ac:dyDescent="0.25">
      <c r="A28253" s="2">
        <v>28248</v>
      </c>
      <c r="B28253" s="3" t="str">
        <f>"200801011153"</f>
        <v>200801011153</v>
      </c>
    </row>
    <row r="28254" spans="1:2" x14ac:dyDescent="0.25">
      <c r="A28254" s="2">
        <v>28249</v>
      </c>
      <c r="B28254" s="3" t="str">
        <f>"200801011174"</f>
        <v>200801011174</v>
      </c>
    </row>
    <row r="28255" spans="1:2" x14ac:dyDescent="0.25">
      <c r="A28255" s="2">
        <v>28250</v>
      </c>
      <c r="B28255" s="3" t="str">
        <f>"200801011199"</f>
        <v>200801011199</v>
      </c>
    </row>
    <row r="28256" spans="1:2" x14ac:dyDescent="0.25">
      <c r="A28256" s="2">
        <v>28251</v>
      </c>
      <c r="B28256" s="3" t="str">
        <f>"200801011210"</f>
        <v>200801011210</v>
      </c>
    </row>
    <row r="28257" spans="1:2" x14ac:dyDescent="0.25">
      <c r="A28257" s="2">
        <v>28252</v>
      </c>
      <c r="B28257" s="3" t="str">
        <f>"200801011249"</f>
        <v>200801011249</v>
      </c>
    </row>
    <row r="28258" spans="1:2" x14ac:dyDescent="0.25">
      <c r="A28258" s="2">
        <v>28253</v>
      </c>
      <c r="B28258" s="3" t="str">
        <f>"200801011354"</f>
        <v>200801011354</v>
      </c>
    </row>
    <row r="28259" spans="1:2" x14ac:dyDescent="0.25">
      <c r="A28259" s="2">
        <v>28254</v>
      </c>
      <c r="B28259" s="3" t="str">
        <f>"200801011389"</f>
        <v>200801011389</v>
      </c>
    </row>
    <row r="28260" spans="1:2" x14ac:dyDescent="0.25">
      <c r="A28260" s="2">
        <v>28255</v>
      </c>
      <c r="B28260" s="3" t="str">
        <f>"200801011399"</f>
        <v>200801011399</v>
      </c>
    </row>
    <row r="28261" spans="1:2" x14ac:dyDescent="0.25">
      <c r="A28261" s="2">
        <v>28256</v>
      </c>
      <c r="B28261" s="3" t="str">
        <f>"200801011410"</f>
        <v>200801011410</v>
      </c>
    </row>
    <row r="28262" spans="1:2" x14ac:dyDescent="0.25">
      <c r="A28262" s="2">
        <v>28257</v>
      </c>
      <c r="B28262" s="3" t="str">
        <f>"200801011429"</f>
        <v>200801011429</v>
      </c>
    </row>
    <row r="28263" spans="1:2" x14ac:dyDescent="0.25">
      <c r="A28263" s="2">
        <v>28258</v>
      </c>
      <c r="B28263" s="3" t="str">
        <f>"200801011483"</f>
        <v>200801011483</v>
      </c>
    </row>
    <row r="28264" spans="1:2" x14ac:dyDescent="0.25">
      <c r="A28264" s="2">
        <v>28259</v>
      </c>
      <c r="B28264" s="3" t="str">
        <f>"200801011520"</f>
        <v>200801011520</v>
      </c>
    </row>
    <row r="28265" spans="1:2" x14ac:dyDescent="0.25">
      <c r="A28265" s="2">
        <v>28260</v>
      </c>
      <c r="B28265" s="3" t="str">
        <f>"200801011552"</f>
        <v>200801011552</v>
      </c>
    </row>
    <row r="28266" spans="1:2" x14ac:dyDescent="0.25">
      <c r="A28266" s="2">
        <v>28261</v>
      </c>
      <c r="B28266" s="3" t="str">
        <f>"200801011571"</f>
        <v>200801011571</v>
      </c>
    </row>
    <row r="28267" spans="1:2" x14ac:dyDescent="0.25">
      <c r="A28267" s="2">
        <v>28262</v>
      </c>
      <c r="B28267" s="3" t="str">
        <f>"200801011588"</f>
        <v>200801011588</v>
      </c>
    </row>
    <row r="28268" spans="1:2" x14ac:dyDescent="0.25">
      <c r="A28268" s="2">
        <v>28263</v>
      </c>
      <c r="B28268" s="3" t="str">
        <f>"200801011603"</f>
        <v>200801011603</v>
      </c>
    </row>
    <row r="28269" spans="1:2" x14ac:dyDescent="0.25">
      <c r="A28269" s="2">
        <v>28264</v>
      </c>
      <c r="B28269" s="3" t="str">
        <f>"200801011609"</f>
        <v>200801011609</v>
      </c>
    </row>
    <row r="28270" spans="1:2" x14ac:dyDescent="0.25">
      <c r="A28270" s="2">
        <v>28265</v>
      </c>
      <c r="B28270" s="3" t="str">
        <f>"200801011651"</f>
        <v>200801011651</v>
      </c>
    </row>
    <row r="28271" spans="1:2" x14ac:dyDescent="0.25">
      <c r="A28271" s="2">
        <v>28266</v>
      </c>
      <c r="B28271" s="3" t="str">
        <f>"200801011734"</f>
        <v>200801011734</v>
      </c>
    </row>
    <row r="28272" spans="1:2" x14ac:dyDescent="0.25">
      <c r="A28272" s="2">
        <v>28267</v>
      </c>
      <c r="B28272" s="3" t="str">
        <f>"200801011737"</f>
        <v>200801011737</v>
      </c>
    </row>
    <row r="28273" spans="1:2" x14ac:dyDescent="0.25">
      <c r="A28273" s="2">
        <v>28268</v>
      </c>
      <c r="B28273" s="3" t="str">
        <f>"200801011803"</f>
        <v>200801011803</v>
      </c>
    </row>
    <row r="28274" spans="1:2" x14ac:dyDescent="0.25">
      <c r="A28274" s="2">
        <v>28269</v>
      </c>
      <c r="B28274" s="3" t="str">
        <f>"200801011816"</f>
        <v>200801011816</v>
      </c>
    </row>
    <row r="28275" spans="1:2" x14ac:dyDescent="0.25">
      <c r="A28275" s="2">
        <v>28270</v>
      </c>
      <c r="B28275" s="3" t="str">
        <f>"200801011823"</f>
        <v>200801011823</v>
      </c>
    </row>
    <row r="28276" spans="1:2" x14ac:dyDescent="0.25">
      <c r="A28276" s="2">
        <v>28271</v>
      </c>
      <c r="B28276" s="3" t="str">
        <f>"200801011845"</f>
        <v>200801011845</v>
      </c>
    </row>
    <row r="28277" spans="1:2" x14ac:dyDescent="0.25">
      <c r="A28277" s="2">
        <v>28272</v>
      </c>
      <c r="B28277" s="3" t="str">
        <f>"200801011877"</f>
        <v>200801011877</v>
      </c>
    </row>
    <row r="28278" spans="1:2" x14ac:dyDescent="0.25">
      <c r="A28278" s="2">
        <v>28273</v>
      </c>
      <c r="B28278" s="3" t="str">
        <f>"200801011879"</f>
        <v>200801011879</v>
      </c>
    </row>
    <row r="28279" spans="1:2" x14ac:dyDescent="0.25">
      <c r="A28279" s="2">
        <v>28274</v>
      </c>
      <c r="B28279" s="3" t="str">
        <f>"200802000027"</f>
        <v>200802000027</v>
      </c>
    </row>
    <row r="28280" spans="1:2" x14ac:dyDescent="0.25">
      <c r="A28280" s="2">
        <v>28275</v>
      </c>
      <c r="B28280" s="3" t="str">
        <f>"200802000069"</f>
        <v>200802000069</v>
      </c>
    </row>
    <row r="28281" spans="1:2" x14ac:dyDescent="0.25">
      <c r="A28281" s="2">
        <v>28276</v>
      </c>
      <c r="B28281" s="3" t="str">
        <f>"200802000080"</f>
        <v>200802000080</v>
      </c>
    </row>
    <row r="28282" spans="1:2" x14ac:dyDescent="0.25">
      <c r="A28282" s="2">
        <v>28277</v>
      </c>
      <c r="B28282" s="3" t="str">
        <f>"200802000118"</f>
        <v>200802000118</v>
      </c>
    </row>
    <row r="28283" spans="1:2" x14ac:dyDescent="0.25">
      <c r="A28283" s="2">
        <v>28278</v>
      </c>
      <c r="B28283" s="3" t="str">
        <f>"200802000181"</f>
        <v>200802000181</v>
      </c>
    </row>
    <row r="28284" spans="1:2" x14ac:dyDescent="0.25">
      <c r="A28284" s="2">
        <v>28279</v>
      </c>
      <c r="B28284" s="3" t="str">
        <f>"200802000202"</f>
        <v>200802000202</v>
      </c>
    </row>
    <row r="28285" spans="1:2" x14ac:dyDescent="0.25">
      <c r="A28285" s="2">
        <v>28280</v>
      </c>
      <c r="B28285" s="3" t="str">
        <f>"200802000253"</f>
        <v>200802000253</v>
      </c>
    </row>
    <row r="28286" spans="1:2" x14ac:dyDescent="0.25">
      <c r="A28286" s="2">
        <v>28281</v>
      </c>
      <c r="B28286" s="3" t="str">
        <f>"200802000257"</f>
        <v>200802000257</v>
      </c>
    </row>
    <row r="28287" spans="1:2" x14ac:dyDescent="0.25">
      <c r="A28287" s="2">
        <v>28282</v>
      </c>
      <c r="B28287" s="3" t="str">
        <f>"200802000266"</f>
        <v>200802000266</v>
      </c>
    </row>
    <row r="28288" spans="1:2" x14ac:dyDescent="0.25">
      <c r="A28288" s="2">
        <v>28283</v>
      </c>
      <c r="B28288" s="3" t="str">
        <f>"200802000288"</f>
        <v>200802000288</v>
      </c>
    </row>
    <row r="28289" spans="1:2" x14ac:dyDescent="0.25">
      <c r="A28289" s="2">
        <v>28284</v>
      </c>
      <c r="B28289" s="3" t="str">
        <f>"200802000295"</f>
        <v>200802000295</v>
      </c>
    </row>
    <row r="28290" spans="1:2" x14ac:dyDescent="0.25">
      <c r="A28290" s="2">
        <v>28285</v>
      </c>
      <c r="B28290" s="3" t="str">
        <f>"200802000347"</f>
        <v>200802000347</v>
      </c>
    </row>
    <row r="28291" spans="1:2" x14ac:dyDescent="0.25">
      <c r="A28291" s="2">
        <v>28286</v>
      </c>
      <c r="B28291" s="3" t="str">
        <f>"200802000407"</f>
        <v>200802000407</v>
      </c>
    </row>
    <row r="28292" spans="1:2" x14ac:dyDescent="0.25">
      <c r="A28292" s="2">
        <v>28287</v>
      </c>
      <c r="B28292" s="3" t="str">
        <f>"200802000427"</f>
        <v>200802000427</v>
      </c>
    </row>
    <row r="28293" spans="1:2" x14ac:dyDescent="0.25">
      <c r="A28293" s="2">
        <v>28288</v>
      </c>
      <c r="B28293" s="3" t="str">
        <f>"200802000429"</f>
        <v>200802000429</v>
      </c>
    </row>
    <row r="28294" spans="1:2" x14ac:dyDescent="0.25">
      <c r="A28294" s="2">
        <v>28289</v>
      </c>
      <c r="B28294" s="3" t="str">
        <f>"200802000434"</f>
        <v>200802000434</v>
      </c>
    </row>
    <row r="28295" spans="1:2" x14ac:dyDescent="0.25">
      <c r="A28295" s="2">
        <v>28290</v>
      </c>
      <c r="B28295" s="3" t="str">
        <f>"200802000448"</f>
        <v>200802000448</v>
      </c>
    </row>
    <row r="28296" spans="1:2" x14ac:dyDescent="0.25">
      <c r="A28296" s="2">
        <v>28291</v>
      </c>
      <c r="B28296" s="3" t="str">
        <f>"200802000484"</f>
        <v>200802000484</v>
      </c>
    </row>
    <row r="28297" spans="1:2" x14ac:dyDescent="0.25">
      <c r="A28297" s="2">
        <v>28292</v>
      </c>
      <c r="B28297" s="3" t="str">
        <f>"200802000532"</f>
        <v>200802000532</v>
      </c>
    </row>
    <row r="28298" spans="1:2" x14ac:dyDescent="0.25">
      <c r="A28298" s="2">
        <v>28293</v>
      </c>
      <c r="B28298" s="3" t="str">
        <f>"200802000558"</f>
        <v>200802000558</v>
      </c>
    </row>
    <row r="28299" spans="1:2" x14ac:dyDescent="0.25">
      <c r="A28299" s="2">
        <v>28294</v>
      </c>
      <c r="B28299" s="3" t="str">
        <f>"200802000576"</f>
        <v>200802000576</v>
      </c>
    </row>
    <row r="28300" spans="1:2" x14ac:dyDescent="0.25">
      <c r="A28300" s="2">
        <v>28295</v>
      </c>
      <c r="B28300" s="3" t="str">
        <f>"200802000621"</f>
        <v>200802000621</v>
      </c>
    </row>
    <row r="28301" spans="1:2" x14ac:dyDescent="0.25">
      <c r="A28301" s="2">
        <v>28296</v>
      </c>
      <c r="B28301" s="3" t="str">
        <f>"200802000638"</f>
        <v>200802000638</v>
      </c>
    </row>
    <row r="28302" spans="1:2" x14ac:dyDescent="0.25">
      <c r="A28302" s="2">
        <v>28297</v>
      </c>
      <c r="B28302" s="3" t="str">
        <f>"200802000664"</f>
        <v>200802000664</v>
      </c>
    </row>
    <row r="28303" spans="1:2" x14ac:dyDescent="0.25">
      <c r="A28303" s="2">
        <v>28298</v>
      </c>
      <c r="B28303" s="3" t="str">
        <f>"200802000672"</f>
        <v>200802000672</v>
      </c>
    </row>
    <row r="28304" spans="1:2" x14ac:dyDescent="0.25">
      <c r="A28304" s="2">
        <v>28299</v>
      </c>
      <c r="B28304" s="3" t="str">
        <f>"200802000744"</f>
        <v>200802000744</v>
      </c>
    </row>
    <row r="28305" spans="1:2" x14ac:dyDescent="0.25">
      <c r="A28305" s="2">
        <v>28300</v>
      </c>
      <c r="B28305" s="3" t="str">
        <f>"200802000771"</f>
        <v>200802000771</v>
      </c>
    </row>
    <row r="28306" spans="1:2" x14ac:dyDescent="0.25">
      <c r="A28306" s="2">
        <v>28301</v>
      </c>
      <c r="B28306" s="3" t="str">
        <f>"200802000809"</f>
        <v>200802000809</v>
      </c>
    </row>
    <row r="28307" spans="1:2" x14ac:dyDescent="0.25">
      <c r="A28307" s="2">
        <v>28302</v>
      </c>
      <c r="B28307" s="3" t="str">
        <f>"200802001005"</f>
        <v>200802001005</v>
      </c>
    </row>
    <row r="28308" spans="1:2" x14ac:dyDescent="0.25">
      <c r="A28308" s="2">
        <v>28303</v>
      </c>
      <c r="B28308" s="3" t="str">
        <f>"200802001054"</f>
        <v>200802001054</v>
      </c>
    </row>
    <row r="28309" spans="1:2" x14ac:dyDescent="0.25">
      <c r="A28309" s="2">
        <v>28304</v>
      </c>
      <c r="B28309" s="3" t="str">
        <f>"200802001057"</f>
        <v>200802001057</v>
      </c>
    </row>
    <row r="28310" spans="1:2" x14ac:dyDescent="0.25">
      <c r="A28310" s="2">
        <v>28305</v>
      </c>
      <c r="B28310" s="3" t="str">
        <f>"200802001061"</f>
        <v>200802001061</v>
      </c>
    </row>
    <row r="28311" spans="1:2" x14ac:dyDescent="0.25">
      <c r="A28311" s="2">
        <v>28306</v>
      </c>
      <c r="B28311" s="3" t="str">
        <f>"200802001081"</f>
        <v>200802001081</v>
      </c>
    </row>
    <row r="28312" spans="1:2" x14ac:dyDescent="0.25">
      <c r="A28312" s="2">
        <v>28307</v>
      </c>
      <c r="B28312" s="3" t="str">
        <f>"200802001098"</f>
        <v>200802001098</v>
      </c>
    </row>
    <row r="28313" spans="1:2" x14ac:dyDescent="0.25">
      <c r="A28313" s="2">
        <v>28308</v>
      </c>
      <c r="B28313" s="3" t="str">
        <f>"200802001191"</f>
        <v>200802001191</v>
      </c>
    </row>
    <row r="28314" spans="1:2" x14ac:dyDescent="0.25">
      <c r="A28314" s="2">
        <v>28309</v>
      </c>
      <c r="B28314" s="3" t="str">
        <f>"200802001194"</f>
        <v>200802001194</v>
      </c>
    </row>
    <row r="28315" spans="1:2" x14ac:dyDescent="0.25">
      <c r="A28315" s="2">
        <v>28310</v>
      </c>
      <c r="B28315" s="3" t="str">
        <f>"200802001229"</f>
        <v>200802001229</v>
      </c>
    </row>
    <row r="28316" spans="1:2" x14ac:dyDescent="0.25">
      <c r="A28316" s="2">
        <v>28311</v>
      </c>
      <c r="B28316" s="3" t="str">
        <f>"200802001245"</f>
        <v>200802001245</v>
      </c>
    </row>
    <row r="28317" spans="1:2" x14ac:dyDescent="0.25">
      <c r="A28317" s="2">
        <v>28312</v>
      </c>
      <c r="B28317" s="3" t="str">
        <f>"200802001266"</f>
        <v>200802001266</v>
      </c>
    </row>
    <row r="28318" spans="1:2" x14ac:dyDescent="0.25">
      <c r="A28318" s="2">
        <v>28313</v>
      </c>
      <c r="B28318" s="3" t="str">
        <f>"200802001295"</f>
        <v>200802001295</v>
      </c>
    </row>
    <row r="28319" spans="1:2" x14ac:dyDescent="0.25">
      <c r="A28319" s="2">
        <v>28314</v>
      </c>
      <c r="B28319" s="3" t="str">
        <f>"200802001401"</f>
        <v>200802001401</v>
      </c>
    </row>
    <row r="28320" spans="1:2" x14ac:dyDescent="0.25">
      <c r="A28320" s="2">
        <v>28315</v>
      </c>
      <c r="B28320" s="3" t="str">
        <f>"200802001409"</f>
        <v>200802001409</v>
      </c>
    </row>
    <row r="28321" spans="1:2" x14ac:dyDescent="0.25">
      <c r="A28321" s="2">
        <v>28316</v>
      </c>
      <c r="B28321" s="3" t="str">
        <f>"200802001437"</f>
        <v>200802001437</v>
      </c>
    </row>
    <row r="28322" spans="1:2" x14ac:dyDescent="0.25">
      <c r="A28322" s="2">
        <v>28317</v>
      </c>
      <c r="B28322" s="3" t="str">
        <f>"200802001472"</f>
        <v>200802001472</v>
      </c>
    </row>
    <row r="28323" spans="1:2" x14ac:dyDescent="0.25">
      <c r="A28323" s="2">
        <v>28318</v>
      </c>
      <c r="B28323" s="3" t="str">
        <f>"200802001501"</f>
        <v>200802001501</v>
      </c>
    </row>
    <row r="28324" spans="1:2" x14ac:dyDescent="0.25">
      <c r="A28324" s="2">
        <v>28319</v>
      </c>
      <c r="B28324" s="3" t="str">
        <f>"200802001511"</f>
        <v>200802001511</v>
      </c>
    </row>
    <row r="28325" spans="1:2" x14ac:dyDescent="0.25">
      <c r="A28325" s="2">
        <v>28320</v>
      </c>
      <c r="B28325" s="3" t="str">
        <f>"200802001518"</f>
        <v>200802001518</v>
      </c>
    </row>
    <row r="28326" spans="1:2" x14ac:dyDescent="0.25">
      <c r="A28326" s="2">
        <v>28321</v>
      </c>
      <c r="B28326" s="3" t="str">
        <f>"200802001545"</f>
        <v>200802001545</v>
      </c>
    </row>
    <row r="28327" spans="1:2" x14ac:dyDescent="0.25">
      <c r="A28327" s="2">
        <v>28322</v>
      </c>
      <c r="B28327" s="3" t="str">
        <f>"200802001553"</f>
        <v>200802001553</v>
      </c>
    </row>
    <row r="28328" spans="1:2" x14ac:dyDescent="0.25">
      <c r="A28328" s="2">
        <v>28323</v>
      </c>
      <c r="B28328" s="3" t="str">
        <f>"200802001566"</f>
        <v>200802001566</v>
      </c>
    </row>
    <row r="28329" spans="1:2" x14ac:dyDescent="0.25">
      <c r="A28329" s="2">
        <v>28324</v>
      </c>
      <c r="B28329" s="3" t="str">
        <f>"200802001598"</f>
        <v>200802001598</v>
      </c>
    </row>
    <row r="28330" spans="1:2" x14ac:dyDescent="0.25">
      <c r="A28330" s="2">
        <v>28325</v>
      </c>
      <c r="B28330" s="3" t="str">
        <f>"200802001641"</f>
        <v>200802001641</v>
      </c>
    </row>
    <row r="28331" spans="1:2" x14ac:dyDescent="0.25">
      <c r="A28331" s="2">
        <v>28326</v>
      </c>
      <c r="B28331" s="3" t="str">
        <f>"200802001654"</f>
        <v>200802001654</v>
      </c>
    </row>
    <row r="28332" spans="1:2" x14ac:dyDescent="0.25">
      <c r="A28332" s="2">
        <v>28327</v>
      </c>
      <c r="B28332" s="3" t="str">
        <f>"200802001680"</f>
        <v>200802001680</v>
      </c>
    </row>
    <row r="28333" spans="1:2" x14ac:dyDescent="0.25">
      <c r="A28333" s="2">
        <v>28328</v>
      </c>
      <c r="B28333" s="3" t="str">
        <f>"200802001695"</f>
        <v>200802001695</v>
      </c>
    </row>
    <row r="28334" spans="1:2" x14ac:dyDescent="0.25">
      <c r="A28334" s="2">
        <v>28329</v>
      </c>
      <c r="B28334" s="3" t="str">
        <f>"200802001730"</f>
        <v>200802001730</v>
      </c>
    </row>
    <row r="28335" spans="1:2" x14ac:dyDescent="0.25">
      <c r="A28335" s="2">
        <v>28330</v>
      </c>
      <c r="B28335" s="3" t="str">
        <f>"200802001762"</f>
        <v>200802001762</v>
      </c>
    </row>
    <row r="28336" spans="1:2" x14ac:dyDescent="0.25">
      <c r="A28336" s="2">
        <v>28331</v>
      </c>
      <c r="B28336" s="3" t="str">
        <f>"200802001794"</f>
        <v>200802001794</v>
      </c>
    </row>
    <row r="28337" spans="1:2" x14ac:dyDescent="0.25">
      <c r="A28337" s="2">
        <v>28332</v>
      </c>
      <c r="B28337" s="3" t="str">
        <f>"200802001847"</f>
        <v>200802001847</v>
      </c>
    </row>
    <row r="28338" spans="1:2" x14ac:dyDescent="0.25">
      <c r="A28338" s="2">
        <v>28333</v>
      </c>
      <c r="B28338" s="3" t="str">
        <f>"200802001929"</f>
        <v>200802001929</v>
      </c>
    </row>
    <row r="28339" spans="1:2" x14ac:dyDescent="0.25">
      <c r="A28339" s="2">
        <v>28334</v>
      </c>
      <c r="B28339" s="3" t="str">
        <f>"200802001957"</f>
        <v>200802001957</v>
      </c>
    </row>
    <row r="28340" spans="1:2" x14ac:dyDescent="0.25">
      <c r="A28340" s="2">
        <v>28335</v>
      </c>
      <c r="B28340" s="3" t="str">
        <f>"200802001958"</f>
        <v>200802001958</v>
      </c>
    </row>
    <row r="28341" spans="1:2" x14ac:dyDescent="0.25">
      <c r="A28341" s="2">
        <v>28336</v>
      </c>
      <c r="B28341" s="3" t="str">
        <f>"200802001979"</f>
        <v>200802001979</v>
      </c>
    </row>
    <row r="28342" spans="1:2" x14ac:dyDescent="0.25">
      <c r="A28342" s="2">
        <v>28337</v>
      </c>
      <c r="B28342" s="3" t="str">
        <f>"200802002005"</f>
        <v>200802002005</v>
      </c>
    </row>
    <row r="28343" spans="1:2" x14ac:dyDescent="0.25">
      <c r="A28343" s="2">
        <v>28338</v>
      </c>
      <c r="B28343" s="3" t="str">
        <f>"200802002020"</f>
        <v>200802002020</v>
      </c>
    </row>
    <row r="28344" spans="1:2" x14ac:dyDescent="0.25">
      <c r="A28344" s="2">
        <v>28339</v>
      </c>
      <c r="B28344" s="3" t="str">
        <f>"200802002114"</f>
        <v>200802002114</v>
      </c>
    </row>
    <row r="28345" spans="1:2" x14ac:dyDescent="0.25">
      <c r="A28345" s="2">
        <v>28340</v>
      </c>
      <c r="B28345" s="3" t="str">
        <f>"200802002129"</f>
        <v>200802002129</v>
      </c>
    </row>
    <row r="28346" spans="1:2" x14ac:dyDescent="0.25">
      <c r="A28346" s="2">
        <v>28341</v>
      </c>
      <c r="B28346" s="3" t="str">
        <f>"200802002175"</f>
        <v>200802002175</v>
      </c>
    </row>
    <row r="28347" spans="1:2" x14ac:dyDescent="0.25">
      <c r="A28347" s="2">
        <v>28342</v>
      </c>
      <c r="B28347" s="3" t="str">
        <f>"200802002181"</f>
        <v>200802002181</v>
      </c>
    </row>
    <row r="28348" spans="1:2" x14ac:dyDescent="0.25">
      <c r="A28348" s="2">
        <v>28343</v>
      </c>
      <c r="B28348" s="3" t="str">
        <f>"200802002224"</f>
        <v>200802002224</v>
      </c>
    </row>
    <row r="28349" spans="1:2" x14ac:dyDescent="0.25">
      <c r="A28349" s="2">
        <v>28344</v>
      </c>
      <c r="B28349" s="3" t="str">
        <f>"200802002226"</f>
        <v>200802002226</v>
      </c>
    </row>
    <row r="28350" spans="1:2" x14ac:dyDescent="0.25">
      <c r="A28350" s="2">
        <v>28345</v>
      </c>
      <c r="B28350" s="3" t="str">
        <f>"200802002257"</f>
        <v>200802002257</v>
      </c>
    </row>
    <row r="28351" spans="1:2" x14ac:dyDescent="0.25">
      <c r="A28351" s="2">
        <v>28346</v>
      </c>
      <c r="B28351" s="3" t="str">
        <f>"200802002265"</f>
        <v>200802002265</v>
      </c>
    </row>
    <row r="28352" spans="1:2" x14ac:dyDescent="0.25">
      <c r="A28352" s="2">
        <v>28347</v>
      </c>
      <c r="B28352" s="3" t="str">
        <f>"200802002269"</f>
        <v>200802002269</v>
      </c>
    </row>
    <row r="28353" spans="1:2" x14ac:dyDescent="0.25">
      <c r="A28353" s="2">
        <v>28348</v>
      </c>
      <c r="B28353" s="3" t="str">
        <f>"200802002299"</f>
        <v>200802002299</v>
      </c>
    </row>
    <row r="28354" spans="1:2" x14ac:dyDescent="0.25">
      <c r="A28354" s="2">
        <v>28349</v>
      </c>
      <c r="B28354" s="3" t="str">
        <f>"200802002386"</f>
        <v>200802002386</v>
      </c>
    </row>
    <row r="28355" spans="1:2" x14ac:dyDescent="0.25">
      <c r="A28355" s="2">
        <v>28350</v>
      </c>
      <c r="B28355" s="3" t="str">
        <f>"200802002400"</f>
        <v>200802002400</v>
      </c>
    </row>
    <row r="28356" spans="1:2" x14ac:dyDescent="0.25">
      <c r="A28356" s="2">
        <v>28351</v>
      </c>
      <c r="B28356" s="3" t="str">
        <f>"200802002426"</f>
        <v>200802002426</v>
      </c>
    </row>
    <row r="28357" spans="1:2" x14ac:dyDescent="0.25">
      <c r="A28357" s="2">
        <v>28352</v>
      </c>
      <c r="B28357" s="3" t="str">
        <f>"200802002438"</f>
        <v>200802002438</v>
      </c>
    </row>
    <row r="28358" spans="1:2" x14ac:dyDescent="0.25">
      <c r="A28358" s="2">
        <v>28353</v>
      </c>
      <c r="B28358" s="3" t="str">
        <f>"200802002448"</f>
        <v>200802002448</v>
      </c>
    </row>
    <row r="28359" spans="1:2" x14ac:dyDescent="0.25">
      <c r="A28359" s="2">
        <v>28354</v>
      </c>
      <c r="B28359" s="3" t="str">
        <f>"200802002502"</f>
        <v>200802002502</v>
      </c>
    </row>
    <row r="28360" spans="1:2" x14ac:dyDescent="0.25">
      <c r="A28360" s="2">
        <v>28355</v>
      </c>
      <c r="B28360" s="3" t="str">
        <f>"200802002552"</f>
        <v>200802002552</v>
      </c>
    </row>
    <row r="28361" spans="1:2" x14ac:dyDescent="0.25">
      <c r="A28361" s="2">
        <v>28356</v>
      </c>
      <c r="B28361" s="3" t="str">
        <f>"200802002608"</f>
        <v>200802002608</v>
      </c>
    </row>
    <row r="28362" spans="1:2" x14ac:dyDescent="0.25">
      <c r="A28362" s="2">
        <v>28357</v>
      </c>
      <c r="B28362" s="3" t="str">
        <f>"200802002670"</f>
        <v>200802002670</v>
      </c>
    </row>
    <row r="28363" spans="1:2" x14ac:dyDescent="0.25">
      <c r="A28363" s="2">
        <v>28358</v>
      </c>
      <c r="B28363" s="3" t="str">
        <f>"200802002706"</f>
        <v>200802002706</v>
      </c>
    </row>
    <row r="28364" spans="1:2" x14ac:dyDescent="0.25">
      <c r="A28364" s="2">
        <v>28359</v>
      </c>
      <c r="B28364" s="3" t="str">
        <f>"200802002803"</f>
        <v>200802002803</v>
      </c>
    </row>
    <row r="28365" spans="1:2" x14ac:dyDescent="0.25">
      <c r="A28365" s="2">
        <v>28360</v>
      </c>
      <c r="B28365" s="3" t="str">
        <f>"200802002823"</f>
        <v>200802002823</v>
      </c>
    </row>
    <row r="28366" spans="1:2" x14ac:dyDescent="0.25">
      <c r="A28366" s="2">
        <v>28361</v>
      </c>
      <c r="B28366" s="3" t="str">
        <f>"200802002833"</f>
        <v>200802002833</v>
      </c>
    </row>
    <row r="28367" spans="1:2" x14ac:dyDescent="0.25">
      <c r="A28367" s="2">
        <v>28362</v>
      </c>
      <c r="B28367" s="3" t="str">
        <f>"200802002866"</f>
        <v>200802002866</v>
      </c>
    </row>
    <row r="28368" spans="1:2" x14ac:dyDescent="0.25">
      <c r="A28368" s="2">
        <v>28363</v>
      </c>
      <c r="B28368" s="3" t="str">
        <f>"200802002867"</f>
        <v>200802002867</v>
      </c>
    </row>
    <row r="28369" spans="1:2" x14ac:dyDescent="0.25">
      <c r="A28369" s="2">
        <v>28364</v>
      </c>
      <c r="B28369" s="3" t="str">
        <f>"200802002875"</f>
        <v>200802002875</v>
      </c>
    </row>
    <row r="28370" spans="1:2" x14ac:dyDescent="0.25">
      <c r="A28370" s="2">
        <v>28365</v>
      </c>
      <c r="B28370" s="3" t="str">
        <f>"200802002893"</f>
        <v>200802002893</v>
      </c>
    </row>
    <row r="28371" spans="1:2" x14ac:dyDescent="0.25">
      <c r="A28371" s="2">
        <v>28366</v>
      </c>
      <c r="B28371" s="3" t="str">
        <f>"200802002894"</f>
        <v>200802002894</v>
      </c>
    </row>
    <row r="28372" spans="1:2" x14ac:dyDescent="0.25">
      <c r="A28372" s="2">
        <v>28367</v>
      </c>
      <c r="B28372" s="3" t="str">
        <f>"200802002973"</f>
        <v>200802002973</v>
      </c>
    </row>
    <row r="28373" spans="1:2" x14ac:dyDescent="0.25">
      <c r="A28373" s="2">
        <v>28368</v>
      </c>
      <c r="B28373" s="3" t="str">
        <f>"200802002980"</f>
        <v>200802002980</v>
      </c>
    </row>
    <row r="28374" spans="1:2" x14ac:dyDescent="0.25">
      <c r="A28374" s="2">
        <v>28369</v>
      </c>
      <c r="B28374" s="3" t="str">
        <f>"200802003035"</f>
        <v>200802003035</v>
      </c>
    </row>
    <row r="28375" spans="1:2" x14ac:dyDescent="0.25">
      <c r="A28375" s="2">
        <v>28370</v>
      </c>
      <c r="B28375" s="3" t="str">
        <f>"200802003043"</f>
        <v>200802003043</v>
      </c>
    </row>
    <row r="28376" spans="1:2" x14ac:dyDescent="0.25">
      <c r="A28376" s="2">
        <v>28371</v>
      </c>
      <c r="B28376" s="3" t="str">
        <f>"200802003058"</f>
        <v>200802003058</v>
      </c>
    </row>
    <row r="28377" spans="1:2" x14ac:dyDescent="0.25">
      <c r="A28377" s="2">
        <v>28372</v>
      </c>
      <c r="B28377" s="3" t="str">
        <f>"200802003085"</f>
        <v>200802003085</v>
      </c>
    </row>
    <row r="28378" spans="1:2" x14ac:dyDescent="0.25">
      <c r="A28378" s="2">
        <v>28373</v>
      </c>
      <c r="B28378" s="3" t="str">
        <f>"200802003088"</f>
        <v>200802003088</v>
      </c>
    </row>
    <row r="28379" spans="1:2" x14ac:dyDescent="0.25">
      <c r="A28379" s="2">
        <v>28374</v>
      </c>
      <c r="B28379" s="3" t="str">
        <f>"200802003093"</f>
        <v>200802003093</v>
      </c>
    </row>
    <row r="28380" spans="1:2" x14ac:dyDescent="0.25">
      <c r="A28380" s="2">
        <v>28375</v>
      </c>
      <c r="B28380" s="3" t="str">
        <f>"200802003105"</f>
        <v>200802003105</v>
      </c>
    </row>
    <row r="28381" spans="1:2" x14ac:dyDescent="0.25">
      <c r="A28381" s="2">
        <v>28376</v>
      </c>
      <c r="B28381" s="3" t="str">
        <f>"200802003164"</f>
        <v>200802003164</v>
      </c>
    </row>
    <row r="28382" spans="1:2" x14ac:dyDescent="0.25">
      <c r="A28382" s="2">
        <v>28377</v>
      </c>
      <c r="B28382" s="3" t="str">
        <f>"200802003182"</f>
        <v>200802003182</v>
      </c>
    </row>
    <row r="28383" spans="1:2" x14ac:dyDescent="0.25">
      <c r="A28383" s="2">
        <v>28378</v>
      </c>
      <c r="B28383" s="3" t="str">
        <f>"200802003183"</f>
        <v>200802003183</v>
      </c>
    </row>
    <row r="28384" spans="1:2" x14ac:dyDescent="0.25">
      <c r="A28384" s="2">
        <v>28379</v>
      </c>
      <c r="B28384" s="3" t="str">
        <f>"200802003206"</f>
        <v>200802003206</v>
      </c>
    </row>
    <row r="28385" spans="1:2" x14ac:dyDescent="0.25">
      <c r="A28385" s="2">
        <v>28380</v>
      </c>
      <c r="B28385" s="3" t="str">
        <f>"200802003213"</f>
        <v>200802003213</v>
      </c>
    </row>
    <row r="28386" spans="1:2" x14ac:dyDescent="0.25">
      <c r="A28386" s="2">
        <v>28381</v>
      </c>
      <c r="B28386" s="3" t="str">
        <f>"200802003218"</f>
        <v>200802003218</v>
      </c>
    </row>
    <row r="28387" spans="1:2" x14ac:dyDescent="0.25">
      <c r="A28387" s="2">
        <v>28382</v>
      </c>
      <c r="B28387" s="3" t="str">
        <f>"200802003234"</f>
        <v>200802003234</v>
      </c>
    </row>
    <row r="28388" spans="1:2" x14ac:dyDescent="0.25">
      <c r="A28388" s="2">
        <v>28383</v>
      </c>
      <c r="B28388" s="3" t="str">
        <f>"200802003243"</f>
        <v>200802003243</v>
      </c>
    </row>
    <row r="28389" spans="1:2" x14ac:dyDescent="0.25">
      <c r="A28389" s="2">
        <v>28384</v>
      </c>
      <c r="B28389" s="3" t="str">
        <f>"200802003335"</f>
        <v>200802003335</v>
      </c>
    </row>
    <row r="28390" spans="1:2" x14ac:dyDescent="0.25">
      <c r="A28390" s="2">
        <v>28385</v>
      </c>
      <c r="B28390" s="3" t="str">
        <f>"200802003355"</f>
        <v>200802003355</v>
      </c>
    </row>
    <row r="28391" spans="1:2" x14ac:dyDescent="0.25">
      <c r="A28391" s="2">
        <v>28386</v>
      </c>
      <c r="B28391" s="3" t="str">
        <f>"200802003419"</f>
        <v>200802003419</v>
      </c>
    </row>
    <row r="28392" spans="1:2" x14ac:dyDescent="0.25">
      <c r="A28392" s="2">
        <v>28387</v>
      </c>
      <c r="B28392" s="3" t="str">
        <f>"200802003435"</f>
        <v>200802003435</v>
      </c>
    </row>
    <row r="28393" spans="1:2" x14ac:dyDescent="0.25">
      <c r="A28393" s="2">
        <v>28388</v>
      </c>
      <c r="B28393" s="3" t="str">
        <f>"200802003457"</f>
        <v>200802003457</v>
      </c>
    </row>
    <row r="28394" spans="1:2" x14ac:dyDescent="0.25">
      <c r="A28394" s="2">
        <v>28389</v>
      </c>
      <c r="B28394" s="3" t="str">
        <f>"200802003473"</f>
        <v>200802003473</v>
      </c>
    </row>
    <row r="28395" spans="1:2" x14ac:dyDescent="0.25">
      <c r="A28395" s="2">
        <v>28390</v>
      </c>
      <c r="B28395" s="3" t="str">
        <f>"200802003481"</f>
        <v>200802003481</v>
      </c>
    </row>
    <row r="28396" spans="1:2" x14ac:dyDescent="0.25">
      <c r="A28396" s="2">
        <v>28391</v>
      </c>
      <c r="B28396" s="3" t="str">
        <f>"200802003541"</f>
        <v>200802003541</v>
      </c>
    </row>
    <row r="28397" spans="1:2" x14ac:dyDescent="0.25">
      <c r="A28397" s="2">
        <v>28392</v>
      </c>
      <c r="B28397" s="3" t="str">
        <f>"200802003598"</f>
        <v>200802003598</v>
      </c>
    </row>
    <row r="28398" spans="1:2" x14ac:dyDescent="0.25">
      <c r="A28398" s="2">
        <v>28393</v>
      </c>
      <c r="B28398" s="3" t="str">
        <f>"200802003611"</f>
        <v>200802003611</v>
      </c>
    </row>
    <row r="28399" spans="1:2" x14ac:dyDescent="0.25">
      <c r="A28399" s="2">
        <v>28394</v>
      </c>
      <c r="B28399" s="3" t="str">
        <f>"200802003629"</f>
        <v>200802003629</v>
      </c>
    </row>
    <row r="28400" spans="1:2" x14ac:dyDescent="0.25">
      <c r="A28400" s="2">
        <v>28395</v>
      </c>
      <c r="B28400" s="3" t="str">
        <f>"200802003632"</f>
        <v>200802003632</v>
      </c>
    </row>
    <row r="28401" spans="1:2" x14ac:dyDescent="0.25">
      <c r="A28401" s="2">
        <v>28396</v>
      </c>
      <c r="B28401" s="3" t="str">
        <f>"200802003634"</f>
        <v>200802003634</v>
      </c>
    </row>
    <row r="28402" spans="1:2" x14ac:dyDescent="0.25">
      <c r="A28402" s="2">
        <v>28397</v>
      </c>
      <c r="B28402" s="3" t="str">
        <f>"200802003654"</f>
        <v>200802003654</v>
      </c>
    </row>
    <row r="28403" spans="1:2" x14ac:dyDescent="0.25">
      <c r="A28403" s="2">
        <v>28398</v>
      </c>
      <c r="B28403" s="3" t="str">
        <f>"200802003700"</f>
        <v>200802003700</v>
      </c>
    </row>
    <row r="28404" spans="1:2" x14ac:dyDescent="0.25">
      <c r="A28404" s="2">
        <v>28399</v>
      </c>
      <c r="B28404" s="3" t="str">
        <f>"200802003747"</f>
        <v>200802003747</v>
      </c>
    </row>
    <row r="28405" spans="1:2" x14ac:dyDescent="0.25">
      <c r="A28405" s="2">
        <v>28400</v>
      </c>
      <c r="B28405" s="3" t="str">
        <f>"200802003761"</f>
        <v>200802003761</v>
      </c>
    </row>
    <row r="28406" spans="1:2" x14ac:dyDescent="0.25">
      <c r="A28406" s="2">
        <v>28401</v>
      </c>
      <c r="B28406" s="3" t="str">
        <f>"200802003768"</f>
        <v>200802003768</v>
      </c>
    </row>
    <row r="28407" spans="1:2" x14ac:dyDescent="0.25">
      <c r="A28407" s="2">
        <v>28402</v>
      </c>
      <c r="B28407" s="3" t="str">
        <f>"200802003807"</f>
        <v>200802003807</v>
      </c>
    </row>
    <row r="28408" spans="1:2" x14ac:dyDescent="0.25">
      <c r="A28408" s="2">
        <v>28403</v>
      </c>
      <c r="B28408" s="3" t="str">
        <f>"200802003887"</f>
        <v>200802003887</v>
      </c>
    </row>
    <row r="28409" spans="1:2" x14ac:dyDescent="0.25">
      <c r="A28409" s="2">
        <v>28404</v>
      </c>
      <c r="B28409" s="3" t="str">
        <f>"200802003911"</f>
        <v>200802003911</v>
      </c>
    </row>
    <row r="28410" spans="1:2" x14ac:dyDescent="0.25">
      <c r="A28410" s="2">
        <v>28405</v>
      </c>
      <c r="B28410" s="3" t="str">
        <f>"200802003956"</f>
        <v>200802003956</v>
      </c>
    </row>
    <row r="28411" spans="1:2" x14ac:dyDescent="0.25">
      <c r="A28411" s="2">
        <v>28406</v>
      </c>
      <c r="B28411" s="3" t="str">
        <f>"200802003982"</f>
        <v>200802003982</v>
      </c>
    </row>
    <row r="28412" spans="1:2" x14ac:dyDescent="0.25">
      <c r="A28412" s="2">
        <v>28407</v>
      </c>
      <c r="B28412" s="3" t="str">
        <f>"200802004225"</f>
        <v>200802004225</v>
      </c>
    </row>
    <row r="28413" spans="1:2" x14ac:dyDescent="0.25">
      <c r="A28413" s="2">
        <v>28408</v>
      </c>
      <c r="B28413" s="3" t="str">
        <f>"200802004244"</f>
        <v>200802004244</v>
      </c>
    </row>
    <row r="28414" spans="1:2" x14ac:dyDescent="0.25">
      <c r="A28414" s="2">
        <v>28409</v>
      </c>
      <c r="B28414" s="3" t="str">
        <f>"200802004260"</f>
        <v>200802004260</v>
      </c>
    </row>
    <row r="28415" spans="1:2" x14ac:dyDescent="0.25">
      <c r="A28415" s="2">
        <v>28410</v>
      </c>
      <c r="B28415" s="3" t="str">
        <f>"200802004357"</f>
        <v>200802004357</v>
      </c>
    </row>
    <row r="28416" spans="1:2" x14ac:dyDescent="0.25">
      <c r="A28416" s="2">
        <v>28411</v>
      </c>
      <c r="B28416" s="3" t="str">
        <f>"200802004378"</f>
        <v>200802004378</v>
      </c>
    </row>
    <row r="28417" spans="1:2" x14ac:dyDescent="0.25">
      <c r="A28417" s="2">
        <v>28412</v>
      </c>
      <c r="B28417" s="3" t="str">
        <f>"200802004441"</f>
        <v>200802004441</v>
      </c>
    </row>
    <row r="28418" spans="1:2" x14ac:dyDescent="0.25">
      <c r="A28418" s="2">
        <v>28413</v>
      </c>
      <c r="B28418" s="3" t="str">
        <f>"200802004444"</f>
        <v>200802004444</v>
      </c>
    </row>
    <row r="28419" spans="1:2" x14ac:dyDescent="0.25">
      <c r="A28419" s="2">
        <v>28414</v>
      </c>
      <c r="B28419" s="3" t="str">
        <f>"200802004445"</f>
        <v>200802004445</v>
      </c>
    </row>
    <row r="28420" spans="1:2" x14ac:dyDescent="0.25">
      <c r="A28420" s="2">
        <v>28415</v>
      </c>
      <c r="B28420" s="3" t="str">
        <f>"200802004495"</f>
        <v>200802004495</v>
      </c>
    </row>
    <row r="28421" spans="1:2" x14ac:dyDescent="0.25">
      <c r="A28421" s="2">
        <v>28416</v>
      </c>
      <c r="B28421" s="3" t="str">
        <f>"200802004561"</f>
        <v>200802004561</v>
      </c>
    </row>
    <row r="28422" spans="1:2" x14ac:dyDescent="0.25">
      <c r="A28422" s="2">
        <v>28417</v>
      </c>
      <c r="B28422" s="3" t="str">
        <f>"200802004563"</f>
        <v>200802004563</v>
      </c>
    </row>
    <row r="28423" spans="1:2" x14ac:dyDescent="0.25">
      <c r="A28423" s="2">
        <v>28418</v>
      </c>
      <c r="B28423" s="3" t="str">
        <f>"200802004575"</f>
        <v>200802004575</v>
      </c>
    </row>
    <row r="28424" spans="1:2" x14ac:dyDescent="0.25">
      <c r="A28424" s="2">
        <v>28419</v>
      </c>
      <c r="B28424" s="3" t="str">
        <f>"200802004596"</f>
        <v>200802004596</v>
      </c>
    </row>
    <row r="28425" spans="1:2" x14ac:dyDescent="0.25">
      <c r="A28425" s="2">
        <v>28420</v>
      </c>
      <c r="B28425" s="3" t="str">
        <f>"200802004598"</f>
        <v>200802004598</v>
      </c>
    </row>
    <row r="28426" spans="1:2" x14ac:dyDescent="0.25">
      <c r="A28426" s="2">
        <v>28421</v>
      </c>
      <c r="B28426" s="3" t="str">
        <f>"200802004607"</f>
        <v>200802004607</v>
      </c>
    </row>
    <row r="28427" spans="1:2" x14ac:dyDescent="0.25">
      <c r="A28427" s="2">
        <v>28422</v>
      </c>
      <c r="B28427" s="3" t="str">
        <f>"200802004630"</f>
        <v>200802004630</v>
      </c>
    </row>
    <row r="28428" spans="1:2" x14ac:dyDescent="0.25">
      <c r="A28428" s="2">
        <v>28423</v>
      </c>
      <c r="B28428" s="3" t="str">
        <f>"200802004683"</f>
        <v>200802004683</v>
      </c>
    </row>
    <row r="28429" spans="1:2" x14ac:dyDescent="0.25">
      <c r="A28429" s="2">
        <v>28424</v>
      </c>
      <c r="B28429" s="3" t="str">
        <f>"200802004745"</f>
        <v>200802004745</v>
      </c>
    </row>
    <row r="28430" spans="1:2" x14ac:dyDescent="0.25">
      <c r="A28430" s="2">
        <v>28425</v>
      </c>
      <c r="B28430" s="3" t="str">
        <f>"200802004752"</f>
        <v>200802004752</v>
      </c>
    </row>
    <row r="28431" spans="1:2" x14ac:dyDescent="0.25">
      <c r="A28431" s="2">
        <v>28426</v>
      </c>
      <c r="B28431" s="3" t="str">
        <f>"200802004764"</f>
        <v>200802004764</v>
      </c>
    </row>
    <row r="28432" spans="1:2" x14ac:dyDescent="0.25">
      <c r="A28432" s="2">
        <v>28427</v>
      </c>
      <c r="B28432" s="3" t="str">
        <f>"200802004770"</f>
        <v>200802004770</v>
      </c>
    </row>
    <row r="28433" spans="1:2" x14ac:dyDescent="0.25">
      <c r="A28433" s="2">
        <v>28428</v>
      </c>
      <c r="B28433" s="3" t="str">
        <f>"200802004785"</f>
        <v>200802004785</v>
      </c>
    </row>
    <row r="28434" spans="1:2" x14ac:dyDescent="0.25">
      <c r="A28434" s="2">
        <v>28429</v>
      </c>
      <c r="B28434" s="3" t="str">
        <f>"200802004840"</f>
        <v>200802004840</v>
      </c>
    </row>
    <row r="28435" spans="1:2" x14ac:dyDescent="0.25">
      <c r="A28435" s="2">
        <v>28430</v>
      </c>
      <c r="B28435" s="3" t="str">
        <f>"200802004841"</f>
        <v>200802004841</v>
      </c>
    </row>
    <row r="28436" spans="1:2" x14ac:dyDescent="0.25">
      <c r="A28436" s="2">
        <v>28431</v>
      </c>
      <c r="B28436" s="3" t="str">
        <f>"200802004936"</f>
        <v>200802004936</v>
      </c>
    </row>
    <row r="28437" spans="1:2" x14ac:dyDescent="0.25">
      <c r="A28437" s="2">
        <v>28432</v>
      </c>
      <c r="B28437" s="3" t="str">
        <f>"200802004949"</f>
        <v>200802004949</v>
      </c>
    </row>
    <row r="28438" spans="1:2" x14ac:dyDescent="0.25">
      <c r="A28438" s="2">
        <v>28433</v>
      </c>
      <c r="B28438" s="3" t="str">
        <f>"200802005093"</f>
        <v>200802005093</v>
      </c>
    </row>
    <row r="28439" spans="1:2" x14ac:dyDescent="0.25">
      <c r="A28439" s="2">
        <v>28434</v>
      </c>
      <c r="B28439" s="3" t="str">
        <f>"200802005105"</f>
        <v>200802005105</v>
      </c>
    </row>
    <row r="28440" spans="1:2" x14ac:dyDescent="0.25">
      <c r="A28440" s="2">
        <v>28435</v>
      </c>
      <c r="B28440" s="3" t="str">
        <f>"200802005237"</f>
        <v>200802005237</v>
      </c>
    </row>
    <row r="28441" spans="1:2" x14ac:dyDescent="0.25">
      <c r="A28441" s="2">
        <v>28436</v>
      </c>
      <c r="B28441" s="3" t="str">
        <f>"200802005288"</f>
        <v>200802005288</v>
      </c>
    </row>
    <row r="28442" spans="1:2" x14ac:dyDescent="0.25">
      <c r="A28442" s="2">
        <v>28437</v>
      </c>
      <c r="B28442" s="3" t="str">
        <f>"200802005338"</f>
        <v>200802005338</v>
      </c>
    </row>
    <row r="28443" spans="1:2" x14ac:dyDescent="0.25">
      <c r="A28443" s="2">
        <v>28438</v>
      </c>
      <c r="B28443" s="3" t="str">
        <f>"200802005461"</f>
        <v>200802005461</v>
      </c>
    </row>
    <row r="28444" spans="1:2" x14ac:dyDescent="0.25">
      <c r="A28444" s="2">
        <v>28439</v>
      </c>
      <c r="B28444" s="3" t="str">
        <f>"200802005500"</f>
        <v>200802005500</v>
      </c>
    </row>
    <row r="28445" spans="1:2" x14ac:dyDescent="0.25">
      <c r="A28445" s="2">
        <v>28440</v>
      </c>
      <c r="B28445" s="3" t="str">
        <f>"200802005613"</f>
        <v>200802005613</v>
      </c>
    </row>
    <row r="28446" spans="1:2" x14ac:dyDescent="0.25">
      <c r="A28446" s="2">
        <v>28441</v>
      </c>
      <c r="B28446" s="3" t="str">
        <f>"200802005633"</f>
        <v>200802005633</v>
      </c>
    </row>
    <row r="28447" spans="1:2" x14ac:dyDescent="0.25">
      <c r="A28447" s="2">
        <v>28442</v>
      </c>
      <c r="B28447" s="3" t="str">
        <f>"200802005745"</f>
        <v>200802005745</v>
      </c>
    </row>
    <row r="28448" spans="1:2" x14ac:dyDescent="0.25">
      <c r="A28448" s="2">
        <v>28443</v>
      </c>
      <c r="B28448" s="3" t="str">
        <f>"200802005755"</f>
        <v>200802005755</v>
      </c>
    </row>
    <row r="28449" spans="1:2" x14ac:dyDescent="0.25">
      <c r="A28449" s="2">
        <v>28444</v>
      </c>
      <c r="B28449" s="3" t="str">
        <f>"200802005788"</f>
        <v>200802005788</v>
      </c>
    </row>
    <row r="28450" spans="1:2" x14ac:dyDescent="0.25">
      <c r="A28450" s="2">
        <v>28445</v>
      </c>
      <c r="B28450" s="3" t="str">
        <f>"200802005843"</f>
        <v>200802005843</v>
      </c>
    </row>
    <row r="28451" spans="1:2" x14ac:dyDescent="0.25">
      <c r="A28451" s="2">
        <v>28446</v>
      </c>
      <c r="B28451" s="3" t="str">
        <f>"200802005889"</f>
        <v>200802005889</v>
      </c>
    </row>
    <row r="28452" spans="1:2" x14ac:dyDescent="0.25">
      <c r="A28452" s="2">
        <v>28447</v>
      </c>
      <c r="B28452" s="3" t="str">
        <f>"200802005939"</f>
        <v>200802005939</v>
      </c>
    </row>
    <row r="28453" spans="1:2" x14ac:dyDescent="0.25">
      <c r="A28453" s="2">
        <v>28448</v>
      </c>
      <c r="B28453" s="3" t="str">
        <f>"200802005958"</f>
        <v>200802005958</v>
      </c>
    </row>
    <row r="28454" spans="1:2" x14ac:dyDescent="0.25">
      <c r="A28454" s="2">
        <v>28449</v>
      </c>
      <c r="B28454" s="3" t="str">
        <f>"200802005960"</f>
        <v>200802005960</v>
      </c>
    </row>
    <row r="28455" spans="1:2" x14ac:dyDescent="0.25">
      <c r="A28455" s="2">
        <v>28450</v>
      </c>
      <c r="B28455" s="3" t="str">
        <f>"200802005977"</f>
        <v>200802005977</v>
      </c>
    </row>
    <row r="28456" spans="1:2" x14ac:dyDescent="0.25">
      <c r="A28456" s="2">
        <v>28451</v>
      </c>
      <c r="B28456" s="3" t="str">
        <f>"200802005982"</f>
        <v>200802005982</v>
      </c>
    </row>
    <row r="28457" spans="1:2" x14ac:dyDescent="0.25">
      <c r="A28457" s="2">
        <v>28452</v>
      </c>
      <c r="B28457" s="3" t="str">
        <f>"200802005999"</f>
        <v>200802005999</v>
      </c>
    </row>
    <row r="28458" spans="1:2" x14ac:dyDescent="0.25">
      <c r="A28458" s="2">
        <v>28453</v>
      </c>
      <c r="B28458" s="3" t="str">
        <f>"200802006010"</f>
        <v>200802006010</v>
      </c>
    </row>
    <row r="28459" spans="1:2" x14ac:dyDescent="0.25">
      <c r="A28459" s="2">
        <v>28454</v>
      </c>
      <c r="B28459" s="3" t="str">
        <f>"200802006077"</f>
        <v>200802006077</v>
      </c>
    </row>
    <row r="28460" spans="1:2" x14ac:dyDescent="0.25">
      <c r="A28460" s="2">
        <v>28455</v>
      </c>
      <c r="B28460" s="3" t="str">
        <f>"200802006136"</f>
        <v>200802006136</v>
      </c>
    </row>
    <row r="28461" spans="1:2" x14ac:dyDescent="0.25">
      <c r="A28461" s="2">
        <v>28456</v>
      </c>
      <c r="B28461" s="3" t="str">
        <f>"200802006162"</f>
        <v>200802006162</v>
      </c>
    </row>
    <row r="28462" spans="1:2" x14ac:dyDescent="0.25">
      <c r="A28462" s="2">
        <v>28457</v>
      </c>
      <c r="B28462" s="3" t="str">
        <f>"200802006167"</f>
        <v>200802006167</v>
      </c>
    </row>
    <row r="28463" spans="1:2" x14ac:dyDescent="0.25">
      <c r="A28463" s="2">
        <v>28458</v>
      </c>
      <c r="B28463" s="3" t="str">
        <f>"200802006251"</f>
        <v>200802006251</v>
      </c>
    </row>
    <row r="28464" spans="1:2" x14ac:dyDescent="0.25">
      <c r="A28464" s="2">
        <v>28459</v>
      </c>
      <c r="B28464" s="3" t="str">
        <f>"200802006275"</f>
        <v>200802006275</v>
      </c>
    </row>
    <row r="28465" spans="1:2" x14ac:dyDescent="0.25">
      <c r="A28465" s="2">
        <v>28460</v>
      </c>
      <c r="B28465" s="3" t="str">
        <f>"200802006289"</f>
        <v>200802006289</v>
      </c>
    </row>
    <row r="28466" spans="1:2" x14ac:dyDescent="0.25">
      <c r="A28466" s="2">
        <v>28461</v>
      </c>
      <c r="B28466" s="3" t="str">
        <f>"200802006361"</f>
        <v>200802006361</v>
      </c>
    </row>
    <row r="28467" spans="1:2" x14ac:dyDescent="0.25">
      <c r="A28467" s="2">
        <v>28462</v>
      </c>
      <c r="B28467" s="3" t="str">
        <f>"200802006422"</f>
        <v>200802006422</v>
      </c>
    </row>
    <row r="28468" spans="1:2" x14ac:dyDescent="0.25">
      <c r="A28468" s="2">
        <v>28463</v>
      </c>
      <c r="B28468" s="3" t="str">
        <f>"200802006442"</f>
        <v>200802006442</v>
      </c>
    </row>
    <row r="28469" spans="1:2" x14ac:dyDescent="0.25">
      <c r="A28469" s="2">
        <v>28464</v>
      </c>
      <c r="B28469" s="3" t="str">
        <f>"200802006507"</f>
        <v>200802006507</v>
      </c>
    </row>
    <row r="28470" spans="1:2" x14ac:dyDescent="0.25">
      <c r="A28470" s="2">
        <v>28465</v>
      </c>
      <c r="B28470" s="3" t="str">
        <f>"200802006532"</f>
        <v>200802006532</v>
      </c>
    </row>
    <row r="28471" spans="1:2" x14ac:dyDescent="0.25">
      <c r="A28471" s="2">
        <v>28466</v>
      </c>
      <c r="B28471" s="3" t="str">
        <f>"200802006619"</f>
        <v>200802006619</v>
      </c>
    </row>
    <row r="28472" spans="1:2" x14ac:dyDescent="0.25">
      <c r="A28472" s="2">
        <v>28467</v>
      </c>
      <c r="B28472" s="3" t="str">
        <f>"200802006674"</f>
        <v>200802006674</v>
      </c>
    </row>
    <row r="28473" spans="1:2" x14ac:dyDescent="0.25">
      <c r="A28473" s="2">
        <v>28468</v>
      </c>
      <c r="B28473" s="3" t="str">
        <f>"200802006684"</f>
        <v>200802006684</v>
      </c>
    </row>
    <row r="28474" spans="1:2" x14ac:dyDescent="0.25">
      <c r="A28474" s="2">
        <v>28469</v>
      </c>
      <c r="B28474" s="3" t="str">
        <f>"200802006709"</f>
        <v>200802006709</v>
      </c>
    </row>
    <row r="28475" spans="1:2" x14ac:dyDescent="0.25">
      <c r="A28475" s="2">
        <v>28470</v>
      </c>
      <c r="B28475" s="3" t="str">
        <f>"200802006761"</f>
        <v>200802006761</v>
      </c>
    </row>
    <row r="28476" spans="1:2" x14ac:dyDescent="0.25">
      <c r="A28476" s="2">
        <v>28471</v>
      </c>
      <c r="B28476" s="3" t="str">
        <f>"200802006802"</f>
        <v>200802006802</v>
      </c>
    </row>
    <row r="28477" spans="1:2" x14ac:dyDescent="0.25">
      <c r="A28477" s="2">
        <v>28472</v>
      </c>
      <c r="B28477" s="3" t="str">
        <f>"200802006804"</f>
        <v>200802006804</v>
      </c>
    </row>
    <row r="28478" spans="1:2" x14ac:dyDescent="0.25">
      <c r="A28478" s="2">
        <v>28473</v>
      </c>
      <c r="B28478" s="3" t="str">
        <f>"200802006810"</f>
        <v>200802006810</v>
      </c>
    </row>
    <row r="28479" spans="1:2" x14ac:dyDescent="0.25">
      <c r="A28479" s="2">
        <v>28474</v>
      </c>
      <c r="B28479" s="3" t="str">
        <f>"200802006852"</f>
        <v>200802006852</v>
      </c>
    </row>
    <row r="28480" spans="1:2" x14ac:dyDescent="0.25">
      <c r="A28480" s="2">
        <v>28475</v>
      </c>
      <c r="B28480" s="3" t="str">
        <f>"200802006936"</f>
        <v>200802006936</v>
      </c>
    </row>
    <row r="28481" spans="1:2" x14ac:dyDescent="0.25">
      <c r="A28481" s="2">
        <v>28476</v>
      </c>
      <c r="B28481" s="3" t="str">
        <f>"200802007017"</f>
        <v>200802007017</v>
      </c>
    </row>
    <row r="28482" spans="1:2" x14ac:dyDescent="0.25">
      <c r="A28482" s="2">
        <v>28477</v>
      </c>
      <c r="B28482" s="3" t="str">
        <f>"200802007027"</f>
        <v>200802007027</v>
      </c>
    </row>
    <row r="28483" spans="1:2" x14ac:dyDescent="0.25">
      <c r="A28483" s="2">
        <v>28478</v>
      </c>
      <c r="B28483" s="3" t="str">
        <f>"200802007081"</f>
        <v>200802007081</v>
      </c>
    </row>
    <row r="28484" spans="1:2" x14ac:dyDescent="0.25">
      <c r="A28484" s="2">
        <v>28479</v>
      </c>
      <c r="B28484" s="3" t="str">
        <f>"200802007365"</f>
        <v>200802007365</v>
      </c>
    </row>
    <row r="28485" spans="1:2" x14ac:dyDescent="0.25">
      <c r="A28485" s="2">
        <v>28480</v>
      </c>
      <c r="B28485" s="3" t="str">
        <f>"200802007375"</f>
        <v>200802007375</v>
      </c>
    </row>
    <row r="28486" spans="1:2" x14ac:dyDescent="0.25">
      <c r="A28486" s="2">
        <v>28481</v>
      </c>
      <c r="B28486" s="3" t="str">
        <f>"200802007385"</f>
        <v>200802007385</v>
      </c>
    </row>
    <row r="28487" spans="1:2" x14ac:dyDescent="0.25">
      <c r="A28487" s="2">
        <v>28482</v>
      </c>
      <c r="B28487" s="3" t="str">
        <f>"200802007405"</f>
        <v>200802007405</v>
      </c>
    </row>
    <row r="28488" spans="1:2" x14ac:dyDescent="0.25">
      <c r="A28488" s="2">
        <v>28483</v>
      </c>
      <c r="B28488" s="3" t="str">
        <f>"200802007407"</f>
        <v>200802007407</v>
      </c>
    </row>
    <row r="28489" spans="1:2" x14ac:dyDescent="0.25">
      <c r="A28489" s="2">
        <v>28484</v>
      </c>
      <c r="B28489" s="3" t="str">
        <f>"200802007457"</f>
        <v>200802007457</v>
      </c>
    </row>
    <row r="28490" spans="1:2" x14ac:dyDescent="0.25">
      <c r="A28490" s="2">
        <v>28485</v>
      </c>
      <c r="B28490" s="3" t="str">
        <f>"200802007459"</f>
        <v>200802007459</v>
      </c>
    </row>
    <row r="28491" spans="1:2" x14ac:dyDescent="0.25">
      <c r="A28491" s="2">
        <v>28486</v>
      </c>
      <c r="B28491" s="3" t="str">
        <f>"200802007466"</f>
        <v>200802007466</v>
      </c>
    </row>
    <row r="28492" spans="1:2" x14ac:dyDescent="0.25">
      <c r="A28492" s="2">
        <v>28487</v>
      </c>
      <c r="B28492" s="3" t="str">
        <f>"200802007508"</f>
        <v>200802007508</v>
      </c>
    </row>
    <row r="28493" spans="1:2" x14ac:dyDescent="0.25">
      <c r="A28493" s="2">
        <v>28488</v>
      </c>
      <c r="B28493" s="3" t="str">
        <f>"200802007530"</f>
        <v>200802007530</v>
      </c>
    </row>
    <row r="28494" spans="1:2" x14ac:dyDescent="0.25">
      <c r="A28494" s="2">
        <v>28489</v>
      </c>
      <c r="B28494" s="3" t="str">
        <f>"200802007564"</f>
        <v>200802007564</v>
      </c>
    </row>
    <row r="28495" spans="1:2" x14ac:dyDescent="0.25">
      <c r="A28495" s="2">
        <v>28490</v>
      </c>
      <c r="B28495" s="3" t="str">
        <f>"200802007644"</f>
        <v>200802007644</v>
      </c>
    </row>
    <row r="28496" spans="1:2" x14ac:dyDescent="0.25">
      <c r="A28496" s="2">
        <v>28491</v>
      </c>
      <c r="B28496" s="3" t="str">
        <f>"200802007730"</f>
        <v>200802007730</v>
      </c>
    </row>
    <row r="28497" spans="1:2" x14ac:dyDescent="0.25">
      <c r="A28497" s="2">
        <v>28492</v>
      </c>
      <c r="B28497" s="3" t="str">
        <f>"200802007743"</f>
        <v>200802007743</v>
      </c>
    </row>
    <row r="28498" spans="1:2" x14ac:dyDescent="0.25">
      <c r="A28498" s="2">
        <v>28493</v>
      </c>
      <c r="B28498" s="3" t="str">
        <f>"200802007804"</f>
        <v>200802007804</v>
      </c>
    </row>
    <row r="28499" spans="1:2" x14ac:dyDescent="0.25">
      <c r="A28499" s="2">
        <v>28494</v>
      </c>
      <c r="B28499" s="3" t="str">
        <f>"200802007817"</f>
        <v>200802007817</v>
      </c>
    </row>
    <row r="28500" spans="1:2" x14ac:dyDescent="0.25">
      <c r="A28500" s="2">
        <v>28495</v>
      </c>
      <c r="B28500" s="3" t="str">
        <f>"200802007852"</f>
        <v>200802007852</v>
      </c>
    </row>
    <row r="28501" spans="1:2" x14ac:dyDescent="0.25">
      <c r="A28501" s="2">
        <v>28496</v>
      </c>
      <c r="B28501" s="3" t="str">
        <f>"200802007870"</f>
        <v>200802007870</v>
      </c>
    </row>
    <row r="28502" spans="1:2" x14ac:dyDescent="0.25">
      <c r="A28502" s="2">
        <v>28497</v>
      </c>
      <c r="B28502" s="3" t="str">
        <f>"200802007894"</f>
        <v>200802007894</v>
      </c>
    </row>
    <row r="28503" spans="1:2" x14ac:dyDescent="0.25">
      <c r="A28503" s="2">
        <v>28498</v>
      </c>
      <c r="B28503" s="3" t="str">
        <f>"200802007899"</f>
        <v>200802007899</v>
      </c>
    </row>
    <row r="28504" spans="1:2" x14ac:dyDescent="0.25">
      <c r="A28504" s="2">
        <v>28499</v>
      </c>
      <c r="B28504" s="3" t="str">
        <f>"200802007900"</f>
        <v>200802007900</v>
      </c>
    </row>
    <row r="28505" spans="1:2" x14ac:dyDescent="0.25">
      <c r="A28505" s="2">
        <v>28500</v>
      </c>
      <c r="B28505" s="3" t="str">
        <f>"200802007901"</f>
        <v>200802007901</v>
      </c>
    </row>
    <row r="28506" spans="1:2" x14ac:dyDescent="0.25">
      <c r="A28506" s="2">
        <v>28501</v>
      </c>
      <c r="B28506" s="3" t="str">
        <f>"200802007922"</f>
        <v>200802007922</v>
      </c>
    </row>
    <row r="28507" spans="1:2" x14ac:dyDescent="0.25">
      <c r="A28507" s="2">
        <v>28502</v>
      </c>
      <c r="B28507" s="3" t="str">
        <f>"200802007925"</f>
        <v>200802007925</v>
      </c>
    </row>
    <row r="28508" spans="1:2" x14ac:dyDescent="0.25">
      <c r="A28508" s="2">
        <v>28503</v>
      </c>
      <c r="B28508" s="3" t="str">
        <f>"200802007993"</f>
        <v>200802007993</v>
      </c>
    </row>
    <row r="28509" spans="1:2" x14ac:dyDescent="0.25">
      <c r="A28509" s="2">
        <v>28504</v>
      </c>
      <c r="B28509" s="3" t="str">
        <f>"200802007998"</f>
        <v>200802007998</v>
      </c>
    </row>
    <row r="28510" spans="1:2" x14ac:dyDescent="0.25">
      <c r="A28510" s="2">
        <v>28505</v>
      </c>
      <c r="B28510" s="3" t="str">
        <f>"200802008038"</f>
        <v>200802008038</v>
      </c>
    </row>
    <row r="28511" spans="1:2" x14ac:dyDescent="0.25">
      <c r="A28511" s="2">
        <v>28506</v>
      </c>
      <c r="B28511" s="3" t="str">
        <f>"200802008156"</f>
        <v>200802008156</v>
      </c>
    </row>
    <row r="28512" spans="1:2" x14ac:dyDescent="0.25">
      <c r="A28512" s="2">
        <v>28507</v>
      </c>
      <c r="B28512" s="3" t="str">
        <f>"200802008212"</f>
        <v>200802008212</v>
      </c>
    </row>
    <row r="28513" spans="1:2" x14ac:dyDescent="0.25">
      <c r="A28513" s="2">
        <v>28508</v>
      </c>
      <c r="B28513" s="3" t="str">
        <f>"200802008251"</f>
        <v>200802008251</v>
      </c>
    </row>
    <row r="28514" spans="1:2" x14ac:dyDescent="0.25">
      <c r="A28514" s="2">
        <v>28509</v>
      </c>
      <c r="B28514" s="3" t="str">
        <f>"200802008331"</f>
        <v>200802008331</v>
      </c>
    </row>
    <row r="28515" spans="1:2" x14ac:dyDescent="0.25">
      <c r="A28515" s="2">
        <v>28510</v>
      </c>
      <c r="B28515" s="3" t="str">
        <f>"200802008341"</f>
        <v>200802008341</v>
      </c>
    </row>
    <row r="28516" spans="1:2" x14ac:dyDescent="0.25">
      <c r="A28516" s="2">
        <v>28511</v>
      </c>
      <c r="B28516" s="3" t="str">
        <f>"200802008349"</f>
        <v>200802008349</v>
      </c>
    </row>
    <row r="28517" spans="1:2" x14ac:dyDescent="0.25">
      <c r="A28517" s="2">
        <v>28512</v>
      </c>
      <c r="B28517" s="3" t="str">
        <f>"200802008351"</f>
        <v>200802008351</v>
      </c>
    </row>
    <row r="28518" spans="1:2" x14ac:dyDescent="0.25">
      <c r="A28518" s="2">
        <v>28513</v>
      </c>
      <c r="B28518" s="3" t="str">
        <f>"200802008437"</f>
        <v>200802008437</v>
      </c>
    </row>
    <row r="28519" spans="1:2" x14ac:dyDescent="0.25">
      <c r="A28519" s="2">
        <v>28514</v>
      </c>
      <c r="B28519" s="3" t="str">
        <f>"200802008451"</f>
        <v>200802008451</v>
      </c>
    </row>
    <row r="28520" spans="1:2" x14ac:dyDescent="0.25">
      <c r="A28520" s="2">
        <v>28515</v>
      </c>
      <c r="B28520" s="3" t="str">
        <f>"200802008466"</f>
        <v>200802008466</v>
      </c>
    </row>
    <row r="28521" spans="1:2" x14ac:dyDescent="0.25">
      <c r="A28521" s="2">
        <v>28516</v>
      </c>
      <c r="B28521" s="3" t="str">
        <f>"200802008470"</f>
        <v>200802008470</v>
      </c>
    </row>
    <row r="28522" spans="1:2" x14ac:dyDescent="0.25">
      <c r="A28522" s="2">
        <v>28517</v>
      </c>
      <c r="B28522" s="3" t="str">
        <f>"200802008483"</f>
        <v>200802008483</v>
      </c>
    </row>
    <row r="28523" spans="1:2" x14ac:dyDescent="0.25">
      <c r="A28523" s="2">
        <v>28518</v>
      </c>
      <c r="B28523" s="3" t="str">
        <f>"200802008485"</f>
        <v>200802008485</v>
      </c>
    </row>
    <row r="28524" spans="1:2" x14ac:dyDescent="0.25">
      <c r="A28524" s="2">
        <v>28519</v>
      </c>
      <c r="B28524" s="3" t="str">
        <f>"200802008513"</f>
        <v>200802008513</v>
      </c>
    </row>
    <row r="28525" spans="1:2" x14ac:dyDescent="0.25">
      <c r="A28525" s="2">
        <v>28520</v>
      </c>
      <c r="B28525" s="3" t="str">
        <f>"200802008578"</f>
        <v>200802008578</v>
      </c>
    </row>
    <row r="28526" spans="1:2" x14ac:dyDescent="0.25">
      <c r="A28526" s="2">
        <v>28521</v>
      </c>
      <c r="B28526" s="3" t="str">
        <f>"200802008642"</f>
        <v>200802008642</v>
      </c>
    </row>
    <row r="28527" spans="1:2" x14ac:dyDescent="0.25">
      <c r="A28527" s="2">
        <v>28522</v>
      </c>
      <c r="B28527" s="3" t="str">
        <f>"200802008765"</f>
        <v>200802008765</v>
      </c>
    </row>
    <row r="28528" spans="1:2" x14ac:dyDescent="0.25">
      <c r="A28528" s="2">
        <v>28523</v>
      </c>
      <c r="B28528" s="3" t="str">
        <f>"200802008792"</f>
        <v>200802008792</v>
      </c>
    </row>
    <row r="28529" spans="1:2" x14ac:dyDescent="0.25">
      <c r="A28529" s="2">
        <v>28524</v>
      </c>
      <c r="B28529" s="3" t="str">
        <f>"200802008817"</f>
        <v>200802008817</v>
      </c>
    </row>
    <row r="28530" spans="1:2" x14ac:dyDescent="0.25">
      <c r="A28530" s="2">
        <v>28525</v>
      </c>
      <c r="B28530" s="3" t="str">
        <f>"200802008876"</f>
        <v>200802008876</v>
      </c>
    </row>
    <row r="28531" spans="1:2" x14ac:dyDescent="0.25">
      <c r="A28531" s="2">
        <v>28526</v>
      </c>
      <c r="B28531" s="3" t="str">
        <f>"200802008996"</f>
        <v>200802008996</v>
      </c>
    </row>
    <row r="28532" spans="1:2" x14ac:dyDescent="0.25">
      <c r="A28532" s="2">
        <v>28527</v>
      </c>
      <c r="B28532" s="3" t="str">
        <f>"200802009090"</f>
        <v>200802009090</v>
      </c>
    </row>
    <row r="28533" spans="1:2" x14ac:dyDescent="0.25">
      <c r="A28533" s="2">
        <v>28528</v>
      </c>
      <c r="B28533" s="3" t="str">
        <f>"200802009107"</f>
        <v>200802009107</v>
      </c>
    </row>
    <row r="28534" spans="1:2" x14ac:dyDescent="0.25">
      <c r="A28534" s="2">
        <v>28529</v>
      </c>
      <c r="B28534" s="3" t="str">
        <f>"200802009121"</f>
        <v>200802009121</v>
      </c>
    </row>
    <row r="28535" spans="1:2" x14ac:dyDescent="0.25">
      <c r="A28535" s="2">
        <v>28530</v>
      </c>
      <c r="B28535" s="3" t="str">
        <f>"200802009185"</f>
        <v>200802009185</v>
      </c>
    </row>
    <row r="28536" spans="1:2" x14ac:dyDescent="0.25">
      <c r="A28536" s="2">
        <v>28531</v>
      </c>
      <c r="B28536" s="3" t="str">
        <f>"200802009216"</f>
        <v>200802009216</v>
      </c>
    </row>
    <row r="28537" spans="1:2" x14ac:dyDescent="0.25">
      <c r="A28537" s="2">
        <v>28532</v>
      </c>
      <c r="B28537" s="3" t="str">
        <f>"200802009247"</f>
        <v>200802009247</v>
      </c>
    </row>
    <row r="28538" spans="1:2" x14ac:dyDescent="0.25">
      <c r="A28538" s="2">
        <v>28533</v>
      </c>
      <c r="B28538" s="3" t="str">
        <f>"200802009331"</f>
        <v>200802009331</v>
      </c>
    </row>
    <row r="28539" spans="1:2" x14ac:dyDescent="0.25">
      <c r="A28539" s="2">
        <v>28534</v>
      </c>
      <c r="B28539" s="3" t="str">
        <f>"200802009378"</f>
        <v>200802009378</v>
      </c>
    </row>
    <row r="28540" spans="1:2" x14ac:dyDescent="0.25">
      <c r="A28540" s="2">
        <v>28535</v>
      </c>
      <c r="B28540" s="3" t="str">
        <f>"200802009430"</f>
        <v>200802009430</v>
      </c>
    </row>
    <row r="28541" spans="1:2" x14ac:dyDescent="0.25">
      <c r="A28541" s="2">
        <v>28536</v>
      </c>
      <c r="B28541" s="3" t="str">
        <f>"200802009441"</f>
        <v>200802009441</v>
      </c>
    </row>
    <row r="28542" spans="1:2" x14ac:dyDescent="0.25">
      <c r="A28542" s="2">
        <v>28537</v>
      </c>
      <c r="B28542" s="3" t="str">
        <f>"200802009445"</f>
        <v>200802009445</v>
      </c>
    </row>
    <row r="28543" spans="1:2" x14ac:dyDescent="0.25">
      <c r="A28543" s="2">
        <v>28538</v>
      </c>
      <c r="B28543" s="3" t="str">
        <f>"200802009501"</f>
        <v>200802009501</v>
      </c>
    </row>
    <row r="28544" spans="1:2" x14ac:dyDescent="0.25">
      <c r="A28544" s="2">
        <v>28539</v>
      </c>
      <c r="B28544" s="3" t="str">
        <f>"200802009503"</f>
        <v>200802009503</v>
      </c>
    </row>
    <row r="28545" spans="1:2" x14ac:dyDescent="0.25">
      <c r="A28545" s="2">
        <v>28540</v>
      </c>
      <c r="B28545" s="3" t="str">
        <f>"200802009517"</f>
        <v>200802009517</v>
      </c>
    </row>
    <row r="28546" spans="1:2" x14ac:dyDescent="0.25">
      <c r="A28546" s="2">
        <v>28541</v>
      </c>
      <c r="B28546" s="3" t="str">
        <f>"200802009548"</f>
        <v>200802009548</v>
      </c>
    </row>
    <row r="28547" spans="1:2" x14ac:dyDescent="0.25">
      <c r="A28547" s="2">
        <v>28542</v>
      </c>
      <c r="B28547" s="3" t="str">
        <f>"200802009659"</f>
        <v>200802009659</v>
      </c>
    </row>
    <row r="28548" spans="1:2" x14ac:dyDescent="0.25">
      <c r="A28548" s="2">
        <v>28543</v>
      </c>
      <c r="B28548" s="3" t="str">
        <f>"200802009764"</f>
        <v>200802009764</v>
      </c>
    </row>
    <row r="28549" spans="1:2" x14ac:dyDescent="0.25">
      <c r="A28549" s="2">
        <v>28544</v>
      </c>
      <c r="B28549" s="3" t="str">
        <f>"200802009767"</f>
        <v>200802009767</v>
      </c>
    </row>
    <row r="28550" spans="1:2" x14ac:dyDescent="0.25">
      <c r="A28550" s="2">
        <v>28545</v>
      </c>
      <c r="B28550" s="3" t="str">
        <f>"200802009808"</f>
        <v>200802009808</v>
      </c>
    </row>
    <row r="28551" spans="1:2" x14ac:dyDescent="0.25">
      <c r="A28551" s="2">
        <v>28546</v>
      </c>
      <c r="B28551" s="3" t="str">
        <f>"200802009841"</f>
        <v>200802009841</v>
      </c>
    </row>
    <row r="28552" spans="1:2" x14ac:dyDescent="0.25">
      <c r="A28552" s="2">
        <v>28547</v>
      </c>
      <c r="B28552" s="3" t="str">
        <f>"200802009910"</f>
        <v>200802009910</v>
      </c>
    </row>
    <row r="28553" spans="1:2" x14ac:dyDescent="0.25">
      <c r="A28553" s="2">
        <v>28548</v>
      </c>
      <c r="B28553" s="3" t="str">
        <f>"200802009916"</f>
        <v>200802009916</v>
      </c>
    </row>
    <row r="28554" spans="1:2" x14ac:dyDescent="0.25">
      <c r="A28554" s="2">
        <v>28549</v>
      </c>
      <c r="B28554" s="3" t="str">
        <f>"200802009974"</f>
        <v>200802009974</v>
      </c>
    </row>
    <row r="28555" spans="1:2" x14ac:dyDescent="0.25">
      <c r="A28555" s="2">
        <v>28550</v>
      </c>
      <c r="B28555" s="3" t="str">
        <f>"200802010005"</f>
        <v>200802010005</v>
      </c>
    </row>
    <row r="28556" spans="1:2" x14ac:dyDescent="0.25">
      <c r="A28556" s="2">
        <v>28551</v>
      </c>
      <c r="B28556" s="3" t="str">
        <f>"200802010103"</f>
        <v>200802010103</v>
      </c>
    </row>
    <row r="28557" spans="1:2" x14ac:dyDescent="0.25">
      <c r="A28557" s="2">
        <v>28552</v>
      </c>
      <c r="B28557" s="3" t="str">
        <f>"200802010125"</f>
        <v>200802010125</v>
      </c>
    </row>
    <row r="28558" spans="1:2" x14ac:dyDescent="0.25">
      <c r="A28558" s="2">
        <v>28553</v>
      </c>
      <c r="B28558" s="3" t="str">
        <f>"200802010250"</f>
        <v>200802010250</v>
      </c>
    </row>
    <row r="28559" spans="1:2" x14ac:dyDescent="0.25">
      <c r="A28559" s="2">
        <v>28554</v>
      </c>
      <c r="B28559" s="3" t="str">
        <f>"200802010291"</f>
        <v>200802010291</v>
      </c>
    </row>
    <row r="28560" spans="1:2" x14ac:dyDescent="0.25">
      <c r="A28560" s="2">
        <v>28555</v>
      </c>
      <c r="B28560" s="3" t="str">
        <f>"200802010368"</f>
        <v>200802010368</v>
      </c>
    </row>
    <row r="28561" spans="1:2" x14ac:dyDescent="0.25">
      <c r="A28561" s="2">
        <v>28556</v>
      </c>
      <c r="B28561" s="3" t="str">
        <f>"200802010433"</f>
        <v>200802010433</v>
      </c>
    </row>
    <row r="28562" spans="1:2" x14ac:dyDescent="0.25">
      <c r="A28562" s="2">
        <v>28557</v>
      </c>
      <c r="B28562" s="3" t="str">
        <f>"200802010460"</f>
        <v>200802010460</v>
      </c>
    </row>
    <row r="28563" spans="1:2" x14ac:dyDescent="0.25">
      <c r="A28563" s="2">
        <v>28558</v>
      </c>
      <c r="B28563" s="3" t="str">
        <f>"200802010484"</f>
        <v>200802010484</v>
      </c>
    </row>
    <row r="28564" spans="1:2" x14ac:dyDescent="0.25">
      <c r="A28564" s="2">
        <v>28559</v>
      </c>
      <c r="B28564" s="3" t="str">
        <f>"200802010560"</f>
        <v>200802010560</v>
      </c>
    </row>
    <row r="28565" spans="1:2" x14ac:dyDescent="0.25">
      <c r="A28565" s="2">
        <v>28560</v>
      </c>
      <c r="B28565" s="3" t="str">
        <f>"200802010585"</f>
        <v>200802010585</v>
      </c>
    </row>
    <row r="28566" spans="1:2" x14ac:dyDescent="0.25">
      <c r="A28566" s="2">
        <v>28561</v>
      </c>
      <c r="B28566" s="3" t="str">
        <f>"200802010601"</f>
        <v>200802010601</v>
      </c>
    </row>
    <row r="28567" spans="1:2" x14ac:dyDescent="0.25">
      <c r="A28567" s="2">
        <v>28562</v>
      </c>
      <c r="B28567" s="3" t="str">
        <f>"200802010663"</f>
        <v>200802010663</v>
      </c>
    </row>
    <row r="28568" spans="1:2" x14ac:dyDescent="0.25">
      <c r="A28568" s="2">
        <v>28563</v>
      </c>
      <c r="B28568" s="3" t="str">
        <f>"200802010743"</f>
        <v>200802010743</v>
      </c>
    </row>
    <row r="28569" spans="1:2" x14ac:dyDescent="0.25">
      <c r="A28569" s="2">
        <v>28564</v>
      </c>
      <c r="B28569" s="3" t="str">
        <f>"200802010774"</f>
        <v>200802010774</v>
      </c>
    </row>
    <row r="28570" spans="1:2" x14ac:dyDescent="0.25">
      <c r="A28570" s="2">
        <v>28565</v>
      </c>
      <c r="B28570" s="3" t="str">
        <f>"200802010779"</f>
        <v>200802010779</v>
      </c>
    </row>
    <row r="28571" spans="1:2" x14ac:dyDescent="0.25">
      <c r="A28571" s="2">
        <v>28566</v>
      </c>
      <c r="B28571" s="3" t="str">
        <f>"200802010969"</f>
        <v>200802010969</v>
      </c>
    </row>
    <row r="28572" spans="1:2" x14ac:dyDescent="0.25">
      <c r="A28572" s="2">
        <v>28567</v>
      </c>
      <c r="B28572" s="3" t="str">
        <f>"200802010970"</f>
        <v>200802010970</v>
      </c>
    </row>
    <row r="28573" spans="1:2" x14ac:dyDescent="0.25">
      <c r="A28573" s="2">
        <v>28568</v>
      </c>
      <c r="B28573" s="3" t="str">
        <f>"200802010994"</f>
        <v>200802010994</v>
      </c>
    </row>
    <row r="28574" spans="1:2" x14ac:dyDescent="0.25">
      <c r="A28574" s="2">
        <v>28569</v>
      </c>
      <c r="B28574" s="3" t="str">
        <f>"200802011076"</f>
        <v>200802011076</v>
      </c>
    </row>
    <row r="28575" spans="1:2" x14ac:dyDescent="0.25">
      <c r="A28575" s="2">
        <v>28570</v>
      </c>
      <c r="B28575" s="3" t="str">
        <f>"200802011108"</f>
        <v>200802011108</v>
      </c>
    </row>
    <row r="28576" spans="1:2" x14ac:dyDescent="0.25">
      <c r="A28576" s="2">
        <v>28571</v>
      </c>
      <c r="B28576" s="3" t="str">
        <f>"200802011152"</f>
        <v>200802011152</v>
      </c>
    </row>
    <row r="28577" spans="1:2" x14ac:dyDescent="0.25">
      <c r="A28577" s="2">
        <v>28572</v>
      </c>
      <c r="B28577" s="3" t="str">
        <f>"200802011156"</f>
        <v>200802011156</v>
      </c>
    </row>
    <row r="28578" spans="1:2" x14ac:dyDescent="0.25">
      <c r="A28578" s="2">
        <v>28573</v>
      </c>
      <c r="B28578" s="3" t="str">
        <f>"200802011246"</f>
        <v>200802011246</v>
      </c>
    </row>
    <row r="28579" spans="1:2" x14ac:dyDescent="0.25">
      <c r="A28579" s="2">
        <v>28574</v>
      </c>
      <c r="B28579" s="3" t="str">
        <f>"200802011272"</f>
        <v>200802011272</v>
      </c>
    </row>
    <row r="28580" spans="1:2" x14ac:dyDescent="0.25">
      <c r="A28580" s="2">
        <v>28575</v>
      </c>
      <c r="B28580" s="3" t="str">
        <f>"200802011285"</f>
        <v>200802011285</v>
      </c>
    </row>
    <row r="28581" spans="1:2" x14ac:dyDescent="0.25">
      <c r="A28581" s="2">
        <v>28576</v>
      </c>
      <c r="B28581" s="3" t="str">
        <f>"200802011307"</f>
        <v>200802011307</v>
      </c>
    </row>
    <row r="28582" spans="1:2" x14ac:dyDescent="0.25">
      <c r="A28582" s="2">
        <v>28577</v>
      </c>
      <c r="B28582" s="3" t="str">
        <f>"200802011309"</f>
        <v>200802011309</v>
      </c>
    </row>
    <row r="28583" spans="1:2" x14ac:dyDescent="0.25">
      <c r="A28583" s="2">
        <v>28578</v>
      </c>
      <c r="B28583" s="3" t="str">
        <f>"200802011399"</f>
        <v>200802011399</v>
      </c>
    </row>
    <row r="28584" spans="1:2" x14ac:dyDescent="0.25">
      <c r="A28584" s="2">
        <v>28579</v>
      </c>
      <c r="B28584" s="3" t="str">
        <f>"200802011407"</f>
        <v>200802011407</v>
      </c>
    </row>
    <row r="28585" spans="1:2" x14ac:dyDescent="0.25">
      <c r="A28585" s="2">
        <v>28580</v>
      </c>
      <c r="B28585" s="3" t="str">
        <f>"200802011424"</f>
        <v>200802011424</v>
      </c>
    </row>
    <row r="28586" spans="1:2" x14ac:dyDescent="0.25">
      <c r="A28586" s="2">
        <v>28581</v>
      </c>
      <c r="B28586" s="3" t="str">
        <f>"200802011509"</f>
        <v>200802011509</v>
      </c>
    </row>
    <row r="28587" spans="1:2" x14ac:dyDescent="0.25">
      <c r="A28587" s="2">
        <v>28582</v>
      </c>
      <c r="B28587" s="3" t="str">
        <f>"200802011536"</f>
        <v>200802011536</v>
      </c>
    </row>
    <row r="28588" spans="1:2" x14ac:dyDescent="0.25">
      <c r="A28588" s="2">
        <v>28583</v>
      </c>
      <c r="B28588" s="3" t="str">
        <f>"200802011543"</f>
        <v>200802011543</v>
      </c>
    </row>
    <row r="28589" spans="1:2" x14ac:dyDescent="0.25">
      <c r="A28589" s="2">
        <v>28584</v>
      </c>
      <c r="B28589" s="3" t="str">
        <f>"200802011571"</f>
        <v>200802011571</v>
      </c>
    </row>
    <row r="28590" spans="1:2" x14ac:dyDescent="0.25">
      <c r="A28590" s="2">
        <v>28585</v>
      </c>
      <c r="B28590" s="3" t="str">
        <f>"200802011605"</f>
        <v>200802011605</v>
      </c>
    </row>
    <row r="28591" spans="1:2" x14ac:dyDescent="0.25">
      <c r="A28591" s="2">
        <v>28586</v>
      </c>
      <c r="B28591" s="3" t="str">
        <f>"200802011873"</f>
        <v>200802011873</v>
      </c>
    </row>
    <row r="28592" spans="1:2" x14ac:dyDescent="0.25">
      <c r="A28592" s="2">
        <v>28587</v>
      </c>
      <c r="B28592" s="3" t="str">
        <f>"200802012015"</f>
        <v>200802012015</v>
      </c>
    </row>
    <row r="28593" spans="1:2" x14ac:dyDescent="0.25">
      <c r="A28593" s="2">
        <v>28588</v>
      </c>
      <c r="B28593" s="3" t="str">
        <f>"200802012020"</f>
        <v>200802012020</v>
      </c>
    </row>
    <row r="28594" spans="1:2" x14ac:dyDescent="0.25">
      <c r="A28594" s="2">
        <v>28589</v>
      </c>
      <c r="B28594" s="3" t="str">
        <f>"200802012037"</f>
        <v>200802012037</v>
      </c>
    </row>
    <row r="28595" spans="1:2" x14ac:dyDescent="0.25">
      <c r="A28595" s="2">
        <v>28590</v>
      </c>
      <c r="B28595" s="3" t="str">
        <f>"200802012069"</f>
        <v>200802012069</v>
      </c>
    </row>
    <row r="28596" spans="1:2" x14ac:dyDescent="0.25">
      <c r="A28596" s="2">
        <v>28591</v>
      </c>
      <c r="B28596" s="3" t="str">
        <f>"200802012123"</f>
        <v>200802012123</v>
      </c>
    </row>
    <row r="28597" spans="1:2" x14ac:dyDescent="0.25">
      <c r="A28597" s="2">
        <v>28592</v>
      </c>
      <c r="B28597" s="3" t="str">
        <f>"200802012214"</f>
        <v>200802012214</v>
      </c>
    </row>
    <row r="28598" spans="1:2" x14ac:dyDescent="0.25">
      <c r="A28598" s="2">
        <v>28593</v>
      </c>
      <c r="B28598" s="3" t="str">
        <f>"200802012256"</f>
        <v>200802012256</v>
      </c>
    </row>
    <row r="28599" spans="1:2" x14ac:dyDescent="0.25">
      <c r="A28599" s="2">
        <v>28594</v>
      </c>
      <c r="B28599" s="3" t="str">
        <f>"200803000046"</f>
        <v>200803000046</v>
      </c>
    </row>
    <row r="28600" spans="1:2" x14ac:dyDescent="0.25">
      <c r="A28600" s="2">
        <v>28595</v>
      </c>
      <c r="B28600" s="3" t="str">
        <f>"200803000053"</f>
        <v>200803000053</v>
      </c>
    </row>
    <row r="28601" spans="1:2" x14ac:dyDescent="0.25">
      <c r="A28601" s="2">
        <v>28596</v>
      </c>
      <c r="B28601" s="3" t="str">
        <f>"200803000059"</f>
        <v>200803000059</v>
      </c>
    </row>
    <row r="28602" spans="1:2" x14ac:dyDescent="0.25">
      <c r="A28602" s="2">
        <v>28597</v>
      </c>
      <c r="B28602" s="3" t="str">
        <f>"200803000090"</f>
        <v>200803000090</v>
      </c>
    </row>
    <row r="28603" spans="1:2" x14ac:dyDescent="0.25">
      <c r="A28603" s="2">
        <v>28598</v>
      </c>
      <c r="B28603" s="3" t="str">
        <f>"200803000234"</f>
        <v>200803000234</v>
      </c>
    </row>
    <row r="28604" spans="1:2" x14ac:dyDescent="0.25">
      <c r="A28604" s="2">
        <v>28599</v>
      </c>
      <c r="B28604" s="3" t="str">
        <f>"200803000255"</f>
        <v>200803000255</v>
      </c>
    </row>
    <row r="28605" spans="1:2" x14ac:dyDescent="0.25">
      <c r="A28605" s="2">
        <v>28600</v>
      </c>
      <c r="B28605" s="3" t="str">
        <f>"200803000269"</f>
        <v>200803000269</v>
      </c>
    </row>
    <row r="28606" spans="1:2" x14ac:dyDescent="0.25">
      <c r="A28606" s="2">
        <v>28601</v>
      </c>
      <c r="B28606" s="3" t="str">
        <f>"200803000328"</f>
        <v>200803000328</v>
      </c>
    </row>
    <row r="28607" spans="1:2" x14ac:dyDescent="0.25">
      <c r="A28607" s="2">
        <v>28602</v>
      </c>
      <c r="B28607" s="3" t="str">
        <f>"200803000343"</f>
        <v>200803000343</v>
      </c>
    </row>
    <row r="28608" spans="1:2" x14ac:dyDescent="0.25">
      <c r="A28608" s="2">
        <v>28603</v>
      </c>
      <c r="B28608" s="3" t="str">
        <f>"200803000355"</f>
        <v>200803000355</v>
      </c>
    </row>
    <row r="28609" spans="1:2" x14ac:dyDescent="0.25">
      <c r="A28609" s="2">
        <v>28604</v>
      </c>
      <c r="B28609" s="3" t="str">
        <f>"200803000429"</f>
        <v>200803000429</v>
      </c>
    </row>
    <row r="28610" spans="1:2" x14ac:dyDescent="0.25">
      <c r="A28610" s="2">
        <v>28605</v>
      </c>
      <c r="B28610" s="3" t="str">
        <f>"200803000444"</f>
        <v>200803000444</v>
      </c>
    </row>
    <row r="28611" spans="1:2" x14ac:dyDescent="0.25">
      <c r="A28611" s="2">
        <v>28606</v>
      </c>
      <c r="B28611" s="3" t="str">
        <f>"200803000452"</f>
        <v>200803000452</v>
      </c>
    </row>
    <row r="28612" spans="1:2" x14ac:dyDescent="0.25">
      <c r="A28612" s="2">
        <v>28607</v>
      </c>
      <c r="B28612" s="3" t="str">
        <f>"200803000544"</f>
        <v>200803000544</v>
      </c>
    </row>
    <row r="28613" spans="1:2" x14ac:dyDescent="0.25">
      <c r="A28613" s="2">
        <v>28608</v>
      </c>
      <c r="B28613" s="3" t="str">
        <f>"200803000573"</f>
        <v>200803000573</v>
      </c>
    </row>
    <row r="28614" spans="1:2" x14ac:dyDescent="0.25">
      <c r="A28614" s="2">
        <v>28609</v>
      </c>
      <c r="B28614" s="3" t="str">
        <f>"200803000646"</f>
        <v>200803000646</v>
      </c>
    </row>
    <row r="28615" spans="1:2" x14ac:dyDescent="0.25">
      <c r="A28615" s="2">
        <v>28610</v>
      </c>
      <c r="B28615" s="3" t="str">
        <f>"200803000741"</f>
        <v>200803000741</v>
      </c>
    </row>
    <row r="28616" spans="1:2" x14ac:dyDescent="0.25">
      <c r="A28616" s="2">
        <v>28611</v>
      </c>
      <c r="B28616" s="3" t="str">
        <f>"200803000762"</f>
        <v>200803000762</v>
      </c>
    </row>
    <row r="28617" spans="1:2" x14ac:dyDescent="0.25">
      <c r="A28617" s="2">
        <v>28612</v>
      </c>
      <c r="B28617" s="3" t="str">
        <f>"200803000774"</f>
        <v>200803000774</v>
      </c>
    </row>
    <row r="28618" spans="1:2" x14ac:dyDescent="0.25">
      <c r="A28618" s="2">
        <v>28613</v>
      </c>
      <c r="B28618" s="3" t="str">
        <f>"200803000785"</f>
        <v>200803000785</v>
      </c>
    </row>
    <row r="28619" spans="1:2" x14ac:dyDescent="0.25">
      <c r="A28619" s="2">
        <v>28614</v>
      </c>
      <c r="B28619" s="3" t="str">
        <f>"200803000804"</f>
        <v>200803000804</v>
      </c>
    </row>
    <row r="28620" spans="1:2" x14ac:dyDescent="0.25">
      <c r="A28620" s="2">
        <v>28615</v>
      </c>
      <c r="B28620" s="3" t="str">
        <f>"200803000836"</f>
        <v>200803000836</v>
      </c>
    </row>
    <row r="28621" spans="1:2" x14ac:dyDescent="0.25">
      <c r="A28621" s="2">
        <v>28616</v>
      </c>
      <c r="B28621" s="3" t="str">
        <f>"200803000859"</f>
        <v>200803000859</v>
      </c>
    </row>
    <row r="28622" spans="1:2" x14ac:dyDescent="0.25">
      <c r="A28622" s="2">
        <v>28617</v>
      </c>
      <c r="B28622" s="3" t="str">
        <f>"200803000880"</f>
        <v>200803000880</v>
      </c>
    </row>
    <row r="28623" spans="1:2" x14ac:dyDescent="0.25">
      <c r="A28623" s="2">
        <v>28618</v>
      </c>
      <c r="B28623" s="3" t="str">
        <f>"200803000899"</f>
        <v>200803000899</v>
      </c>
    </row>
    <row r="28624" spans="1:2" x14ac:dyDescent="0.25">
      <c r="A28624" s="2">
        <v>28619</v>
      </c>
      <c r="B28624" s="3" t="str">
        <f>"200803000907"</f>
        <v>200803000907</v>
      </c>
    </row>
    <row r="28625" spans="1:2" x14ac:dyDescent="0.25">
      <c r="A28625" s="2">
        <v>28620</v>
      </c>
      <c r="B28625" s="3" t="str">
        <f>"200803000927"</f>
        <v>200803000927</v>
      </c>
    </row>
    <row r="28626" spans="1:2" x14ac:dyDescent="0.25">
      <c r="A28626" s="2">
        <v>28621</v>
      </c>
      <c r="B28626" s="3" t="str">
        <f>"200803000932"</f>
        <v>200803000932</v>
      </c>
    </row>
    <row r="28627" spans="1:2" x14ac:dyDescent="0.25">
      <c r="A28627" s="2">
        <v>28622</v>
      </c>
      <c r="B28627" s="3" t="str">
        <f>"200803000982"</f>
        <v>200803000982</v>
      </c>
    </row>
    <row r="28628" spans="1:2" x14ac:dyDescent="0.25">
      <c r="A28628" s="2">
        <v>28623</v>
      </c>
      <c r="B28628" s="3" t="str">
        <f>"200803001000"</f>
        <v>200803001000</v>
      </c>
    </row>
    <row r="28629" spans="1:2" x14ac:dyDescent="0.25">
      <c r="A28629" s="2">
        <v>28624</v>
      </c>
      <c r="B28629" s="3" t="str">
        <f>"200803001096"</f>
        <v>200803001096</v>
      </c>
    </row>
    <row r="28630" spans="1:2" x14ac:dyDescent="0.25">
      <c r="A28630" s="2">
        <v>28625</v>
      </c>
      <c r="B28630" s="3" t="str">
        <f>"200804000022"</f>
        <v>200804000022</v>
      </c>
    </row>
    <row r="28631" spans="1:2" x14ac:dyDescent="0.25">
      <c r="A28631" s="2">
        <v>28626</v>
      </c>
      <c r="B28631" s="3" t="str">
        <f>"200804000033"</f>
        <v>200804000033</v>
      </c>
    </row>
    <row r="28632" spans="1:2" x14ac:dyDescent="0.25">
      <c r="A28632" s="2">
        <v>28627</v>
      </c>
      <c r="B28632" s="3" t="str">
        <f>"200804000070"</f>
        <v>200804000070</v>
      </c>
    </row>
    <row r="28633" spans="1:2" x14ac:dyDescent="0.25">
      <c r="A28633" s="2">
        <v>28628</v>
      </c>
      <c r="B28633" s="3" t="str">
        <f>"200804000093"</f>
        <v>200804000093</v>
      </c>
    </row>
    <row r="28634" spans="1:2" x14ac:dyDescent="0.25">
      <c r="A28634" s="2">
        <v>28629</v>
      </c>
      <c r="B28634" s="3" t="str">
        <f>"200804000181"</f>
        <v>200804000181</v>
      </c>
    </row>
    <row r="28635" spans="1:2" x14ac:dyDescent="0.25">
      <c r="A28635" s="2">
        <v>28630</v>
      </c>
      <c r="B28635" s="3" t="str">
        <f>"200804000188"</f>
        <v>200804000188</v>
      </c>
    </row>
    <row r="28636" spans="1:2" x14ac:dyDescent="0.25">
      <c r="A28636" s="2">
        <v>28631</v>
      </c>
      <c r="B28636" s="3" t="str">
        <f>"200804000222"</f>
        <v>200804000222</v>
      </c>
    </row>
    <row r="28637" spans="1:2" x14ac:dyDescent="0.25">
      <c r="A28637" s="2">
        <v>28632</v>
      </c>
      <c r="B28637" s="3" t="str">
        <f>"200804000312"</f>
        <v>200804000312</v>
      </c>
    </row>
    <row r="28638" spans="1:2" x14ac:dyDescent="0.25">
      <c r="A28638" s="2">
        <v>28633</v>
      </c>
      <c r="B28638" s="3" t="str">
        <f>"200804000336"</f>
        <v>200804000336</v>
      </c>
    </row>
    <row r="28639" spans="1:2" x14ac:dyDescent="0.25">
      <c r="A28639" s="2">
        <v>28634</v>
      </c>
      <c r="B28639" s="3" t="str">
        <f>"200804000341"</f>
        <v>200804000341</v>
      </c>
    </row>
    <row r="28640" spans="1:2" x14ac:dyDescent="0.25">
      <c r="A28640" s="2">
        <v>28635</v>
      </c>
      <c r="B28640" s="3" t="str">
        <f>"200804000429"</f>
        <v>200804000429</v>
      </c>
    </row>
    <row r="28641" spans="1:2" x14ac:dyDescent="0.25">
      <c r="A28641" s="2">
        <v>28636</v>
      </c>
      <c r="B28641" s="3" t="str">
        <f>"200804000505"</f>
        <v>200804000505</v>
      </c>
    </row>
    <row r="28642" spans="1:2" x14ac:dyDescent="0.25">
      <c r="A28642" s="2">
        <v>28637</v>
      </c>
      <c r="B28642" s="3" t="str">
        <f>"200804000531"</f>
        <v>200804000531</v>
      </c>
    </row>
    <row r="28643" spans="1:2" x14ac:dyDescent="0.25">
      <c r="A28643" s="2">
        <v>28638</v>
      </c>
      <c r="B28643" s="3" t="str">
        <f>"200804000532"</f>
        <v>200804000532</v>
      </c>
    </row>
    <row r="28644" spans="1:2" x14ac:dyDescent="0.25">
      <c r="A28644" s="2">
        <v>28639</v>
      </c>
      <c r="B28644" s="3" t="str">
        <f>"200804000597"</f>
        <v>200804000597</v>
      </c>
    </row>
    <row r="28645" spans="1:2" x14ac:dyDescent="0.25">
      <c r="A28645" s="2">
        <v>28640</v>
      </c>
      <c r="B28645" s="3" t="str">
        <f>"200804000625"</f>
        <v>200804000625</v>
      </c>
    </row>
    <row r="28646" spans="1:2" x14ac:dyDescent="0.25">
      <c r="A28646" s="2">
        <v>28641</v>
      </c>
      <c r="B28646" s="3" t="str">
        <f>"200804000637"</f>
        <v>200804000637</v>
      </c>
    </row>
    <row r="28647" spans="1:2" x14ac:dyDescent="0.25">
      <c r="A28647" s="2">
        <v>28642</v>
      </c>
      <c r="B28647" s="3" t="str">
        <f>"200804000645"</f>
        <v>200804000645</v>
      </c>
    </row>
    <row r="28648" spans="1:2" x14ac:dyDescent="0.25">
      <c r="A28648" s="2">
        <v>28643</v>
      </c>
      <c r="B28648" s="3" t="str">
        <f>"200804000671"</f>
        <v>200804000671</v>
      </c>
    </row>
    <row r="28649" spans="1:2" x14ac:dyDescent="0.25">
      <c r="A28649" s="2">
        <v>28644</v>
      </c>
      <c r="B28649" s="3" t="str">
        <f>"200804000736"</f>
        <v>200804000736</v>
      </c>
    </row>
    <row r="28650" spans="1:2" x14ac:dyDescent="0.25">
      <c r="A28650" s="2">
        <v>28645</v>
      </c>
      <c r="B28650" s="3" t="str">
        <f>"200804000746"</f>
        <v>200804000746</v>
      </c>
    </row>
    <row r="28651" spans="1:2" x14ac:dyDescent="0.25">
      <c r="A28651" s="2">
        <v>28646</v>
      </c>
      <c r="B28651" s="3" t="str">
        <f>"200804000789"</f>
        <v>200804000789</v>
      </c>
    </row>
    <row r="28652" spans="1:2" x14ac:dyDescent="0.25">
      <c r="A28652" s="2">
        <v>28647</v>
      </c>
      <c r="B28652" s="3" t="str">
        <f>"200804000793"</f>
        <v>200804000793</v>
      </c>
    </row>
    <row r="28653" spans="1:2" x14ac:dyDescent="0.25">
      <c r="A28653" s="2">
        <v>28648</v>
      </c>
      <c r="B28653" s="3" t="str">
        <f>"200804000797"</f>
        <v>200804000797</v>
      </c>
    </row>
    <row r="28654" spans="1:2" x14ac:dyDescent="0.25">
      <c r="A28654" s="2">
        <v>28649</v>
      </c>
      <c r="B28654" s="3" t="str">
        <f>"200804000845"</f>
        <v>200804000845</v>
      </c>
    </row>
    <row r="28655" spans="1:2" x14ac:dyDescent="0.25">
      <c r="A28655" s="2">
        <v>28650</v>
      </c>
      <c r="B28655" s="3" t="str">
        <f>"200804000849"</f>
        <v>200804000849</v>
      </c>
    </row>
    <row r="28656" spans="1:2" x14ac:dyDescent="0.25">
      <c r="A28656" s="2">
        <v>28651</v>
      </c>
      <c r="B28656" s="3" t="str">
        <f>"200804000887"</f>
        <v>200804000887</v>
      </c>
    </row>
    <row r="28657" spans="1:2" x14ac:dyDescent="0.25">
      <c r="A28657" s="2">
        <v>28652</v>
      </c>
      <c r="B28657" s="3" t="str">
        <f>"200804000910"</f>
        <v>200804000910</v>
      </c>
    </row>
    <row r="28658" spans="1:2" x14ac:dyDescent="0.25">
      <c r="A28658" s="2">
        <v>28653</v>
      </c>
      <c r="B28658" s="3" t="str">
        <f>"200804000912"</f>
        <v>200804000912</v>
      </c>
    </row>
    <row r="28659" spans="1:2" x14ac:dyDescent="0.25">
      <c r="A28659" s="2">
        <v>28654</v>
      </c>
      <c r="B28659" s="3" t="str">
        <f>"200804000939"</f>
        <v>200804000939</v>
      </c>
    </row>
    <row r="28660" spans="1:2" x14ac:dyDescent="0.25">
      <c r="A28660" s="2">
        <v>28655</v>
      </c>
      <c r="B28660" s="3" t="str">
        <f>"200804000948"</f>
        <v>200804000948</v>
      </c>
    </row>
    <row r="28661" spans="1:2" x14ac:dyDescent="0.25">
      <c r="A28661" s="2">
        <v>28656</v>
      </c>
      <c r="B28661" s="3" t="str">
        <f>"200804000963"</f>
        <v>200804000963</v>
      </c>
    </row>
    <row r="28662" spans="1:2" x14ac:dyDescent="0.25">
      <c r="A28662" s="2">
        <v>28657</v>
      </c>
      <c r="B28662" s="3" t="str">
        <f>"200804000985"</f>
        <v>200804000985</v>
      </c>
    </row>
    <row r="28663" spans="1:2" x14ac:dyDescent="0.25">
      <c r="A28663" s="2">
        <v>28658</v>
      </c>
      <c r="B28663" s="3" t="str">
        <f>"200804001014"</f>
        <v>200804001014</v>
      </c>
    </row>
    <row r="28664" spans="1:2" x14ac:dyDescent="0.25">
      <c r="A28664" s="2">
        <v>28659</v>
      </c>
      <c r="B28664" s="3" t="str">
        <f>"200805000001"</f>
        <v>200805000001</v>
      </c>
    </row>
    <row r="28665" spans="1:2" x14ac:dyDescent="0.25">
      <c r="A28665" s="2">
        <v>28660</v>
      </c>
      <c r="B28665" s="3" t="str">
        <f>"200805000009"</f>
        <v>200805000009</v>
      </c>
    </row>
    <row r="28666" spans="1:2" x14ac:dyDescent="0.25">
      <c r="A28666" s="2">
        <v>28661</v>
      </c>
      <c r="B28666" s="3" t="str">
        <f>"200805000041"</f>
        <v>200805000041</v>
      </c>
    </row>
    <row r="28667" spans="1:2" x14ac:dyDescent="0.25">
      <c r="A28667" s="2">
        <v>28662</v>
      </c>
      <c r="B28667" s="3" t="str">
        <f>"200805000048"</f>
        <v>200805000048</v>
      </c>
    </row>
    <row r="28668" spans="1:2" x14ac:dyDescent="0.25">
      <c r="A28668" s="2">
        <v>28663</v>
      </c>
      <c r="B28668" s="3" t="str">
        <f>"200805000059"</f>
        <v>200805000059</v>
      </c>
    </row>
    <row r="28669" spans="1:2" x14ac:dyDescent="0.25">
      <c r="A28669" s="2">
        <v>28664</v>
      </c>
      <c r="B28669" s="3" t="str">
        <f>"200805000074"</f>
        <v>200805000074</v>
      </c>
    </row>
    <row r="28670" spans="1:2" x14ac:dyDescent="0.25">
      <c r="A28670" s="2">
        <v>28665</v>
      </c>
      <c r="B28670" s="3" t="str">
        <f>"200805000133"</f>
        <v>200805000133</v>
      </c>
    </row>
    <row r="28671" spans="1:2" x14ac:dyDescent="0.25">
      <c r="A28671" s="2">
        <v>28666</v>
      </c>
      <c r="B28671" s="3" t="str">
        <f>"200805000168"</f>
        <v>200805000168</v>
      </c>
    </row>
    <row r="28672" spans="1:2" x14ac:dyDescent="0.25">
      <c r="A28672" s="2">
        <v>28667</v>
      </c>
      <c r="B28672" s="3" t="str">
        <f>"200805000180"</f>
        <v>200805000180</v>
      </c>
    </row>
    <row r="28673" spans="1:2" x14ac:dyDescent="0.25">
      <c r="A28673" s="2">
        <v>28668</v>
      </c>
      <c r="B28673" s="3" t="str">
        <f>"200805000185"</f>
        <v>200805000185</v>
      </c>
    </row>
    <row r="28674" spans="1:2" x14ac:dyDescent="0.25">
      <c r="A28674" s="2">
        <v>28669</v>
      </c>
      <c r="B28674" s="3" t="str">
        <f>"200805000195"</f>
        <v>200805000195</v>
      </c>
    </row>
    <row r="28675" spans="1:2" x14ac:dyDescent="0.25">
      <c r="A28675" s="2">
        <v>28670</v>
      </c>
      <c r="B28675" s="3" t="str">
        <f>"200805000219"</f>
        <v>200805000219</v>
      </c>
    </row>
    <row r="28676" spans="1:2" x14ac:dyDescent="0.25">
      <c r="A28676" s="2">
        <v>28671</v>
      </c>
      <c r="B28676" s="3" t="str">
        <f>"200805000220"</f>
        <v>200805000220</v>
      </c>
    </row>
    <row r="28677" spans="1:2" x14ac:dyDescent="0.25">
      <c r="A28677" s="2">
        <v>28672</v>
      </c>
      <c r="B28677" s="3" t="str">
        <f>"200805000240"</f>
        <v>200805000240</v>
      </c>
    </row>
    <row r="28678" spans="1:2" x14ac:dyDescent="0.25">
      <c r="A28678" s="2">
        <v>28673</v>
      </c>
      <c r="B28678" s="3" t="str">
        <f>"200805000415"</f>
        <v>200805000415</v>
      </c>
    </row>
    <row r="28679" spans="1:2" x14ac:dyDescent="0.25">
      <c r="A28679" s="2">
        <v>28674</v>
      </c>
      <c r="B28679" s="3" t="str">
        <f>"200805000422"</f>
        <v>200805000422</v>
      </c>
    </row>
    <row r="28680" spans="1:2" x14ac:dyDescent="0.25">
      <c r="A28680" s="2">
        <v>28675</v>
      </c>
      <c r="B28680" s="3" t="str">
        <f>"200805000450"</f>
        <v>200805000450</v>
      </c>
    </row>
    <row r="28681" spans="1:2" x14ac:dyDescent="0.25">
      <c r="A28681" s="2">
        <v>28676</v>
      </c>
      <c r="B28681" s="3" t="str">
        <f>"200805000492"</f>
        <v>200805000492</v>
      </c>
    </row>
    <row r="28682" spans="1:2" x14ac:dyDescent="0.25">
      <c r="A28682" s="2">
        <v>28677</v>
      </c>
      <c r="B28682" s="3" t="str">
        <f>"200805000524"</f>
        <v>200805000524</v>
      </c>
    </row>
    <row r="28683" spans="1:2" x14ac:dyDescent="0.25">
      <c r="A28683" s="2">
        <v>28678</v>
      </c>
      <c r="B28683" s="3" t="str">
        <f>"200805000567"</f>
        <v>200805000567</v>
      </c>
    </row>
    <row r="28684" spans="1:2" x14ac:dyDescent="0.25">
      <c r="A28684" s="2">
        <v>28679</v>
      </c>
      <c r="B28684" s="3" t="str">
        <f>"200805000569"</f>
        <v>200805000569</v>
      </c>
    </row>
    <row r="28685" spans="1:2" x14ac:dyDescent="0.25">
      <c r="A28685" s="2">
        <v>28680</v>
      </c>
      <c r="B28685" s="3" t="str">
        <f>"200805000604"</f>
        <v>200805000604</v>
      </c>
    </row>
    <row r="28686" spans="1:2" x14ac:dyDescent="0.25">
      <c r="A28686" s="2">
        <v>28681</v>
      </c>
      <c r="B28686" s="3" t="str">
        <f>"200805000625"</f>
        <v>200805000625</v>
      </c>
    </row>
    <row r="28687" spans="1:2" x14ac:dyDescent="0.25">
      <c r="A28687" s="2">
        <v>28682</v>
      </c>
      <c r="B28687" s="3" t="str">
        <f>"200805000646"</f>
        <v>200805000646</v>
      </c>
    </row>
    <row r="28688" spans="1:2" x14ac:dyDescent="0.25">
      <c r="A28688" s="2">
        <v>28683</v>
      </c>
      <c r="B28688" s="3" t="str">
        <f>"200805000680"</f>
        <v>200805000680</v>
      </c>
    </row>
    <row r="28689" spans="1:2" x14ac:dyDescent="0.25">
      <c r="A28689" s="2">
        <v>28684</v>
      </c>
      <c r="B28689" s="3" t="str">
        <f>"200805000748"</f>
        <v>200805000748</v>
      </c>
    </row>
    <row r="28690" spans="1:2" x14ac:dyDescent="0.25">
      <c r="A28690" s="2">
        <v>28685</v>
      </c>
      <c r="B28690" s="3" t="str">
        <f>"200805000799"</f>
        <v>200805000799</v>
      </c>
    </row>
    <row r="28691" spans="1:2" x14ac:dyDescent="0.25">
      <c r="A28691" s="2">
        <v>28686</v>
      </c>
      <c r="B28691" s="3" t="str">
        <f>"200805000800"</f>
        <v>200805000800</v>
      </c>
    </row>
    <row r="28692" spans="1:2" x14ac:dyDescent="0.25">
      <c r="A28692" s="2">
        <v>28687</v>
      </c>
      <c r="B28692" s="3" t="str">
        <f>"200805000833"</f>
        <v>200805000833</v>
      </c>
    </row>
    <row r="28693" spans="1:2" x14ac:dyDescent="0.25">
      <c r="A28693" s="2">
        <v>28688</v>
      </c>
      <c r="B28693" s="3" t="str">
        <f>"200805000842"</f>
        <v>200805000842</v>
      </c>
    </row>
    <row r="28694" spans="1:2" x14ac:dyDescent="0.25">
      <c r="A28694" s="2">
        <v>28689</v>
      </c>
      <c r="B28694" s="3" t="str">
        <f>"200805000845"</f>
        <v>200805000845</v>
      </c>
    </row>
    <row r="28695" spans="1:2" x14ac:dyDescent="0.25">
      <c r="A28695" s="2">
        <v>28690</v>
      </c>
      <c r="B28695" s="3" t="str">
        <f>"200805000858"</f>
        <v>200805000858</v>
      </c>
    </row>
    <row r="28696" spans="1:2" x14ac:dyDescent="0.25">
      <c r="A28696" s="2">
        <v>28691</v>
      </c>
      <c r="B28696" s="3" t="str">
        <f>"200805000876"</f>
        <v>200805000876</v>
      </c>
    </row>
    <row r="28697" spans="1:2" x14ac:dyDescent="0.25">
      <c r="A28697" s="2">
        <v>28692</v>
      </c>
      <c r="B28697" s="3" t="str">
        <f>"200805000894"</f>
        <v>200805000894</v>
      </c>
    </row>
    <row r="28698" spans="1:2" x14ac:dyDescent="0.25">
      <c r="A28698" s="2">
        <v>28693</v>
      </c>
      <c r="B28698" s="3" t="str">
        <f>"200805000916"</f>
        <v>200805000916</v>
      </c>
    </row>
    <row r="28699" spans="1:2" x14ac:dyDescent="0.25">
      <c r="A28699" s="2">
        <v>28694</v>
      </c>
      <c r="B28699" s="3" t="str">
        <f>"200805000946"</f>
        <v>200805000946</v>
      </c>
    </row>
    <row r="28700" spans="1:2" x14ac:dyDescent="0.25">
      <c r="A28700" s="2">
        <v>28695</v>
      </c>
      <c r="B28700" s="3" t="str">
        <f>"200805000964"</f>
        <v>200805000964</v>
      </c>
    </row>
    <row r="28701" spans="1:2" x14ac:dyDescent="0.25">
      <c r="A28701" s="2">
        <v>28696</v>
      </c>
      <c r="B28701" s="3" t="str">
        <f>"200805000976"</f>
        <v>200805000976</v>
      </c>
    </row>
    <row r="28702" spans="1:2" x14ac:dyDescent="0.25">
      <c r="A28702" s="2">
        <v>28697</v>
      </c>
      <c r="B28702" s="3" t="str">
        <f>"200805000986"</f>
        <v>200805000986</v>
      </c>
    </row>
    <row r="28703" spans="1:2" x14ac:dyDescent="0.25">
      <c r="A28703" s="2">
        <v>28698</v>
      </c>
      <c r="B28703" s="3" t="str">
        <f>"200805001019"</f>
        <v>200805001019</v>
      </c>
    </row>
    <row r="28704" spans="1:2" x14ac:dyDescent="0.25">
      <c r="A28704" s="2">
        <v>28699</v>
      </c>
      <c r="B28704" s="3" t="str">
        <f>"200805001050"</f>
        <v>200805001050</v>
      </c>
    </row>
    <row r="28705" spans="1:2" x14ac:dyDescent="0.25">
      <c r="A28705" s="2">
        <v>28700</v>
      </c>
      <c r="B28705" s="3" t="str">
        <f>"200805001068"</f>
        <v>200805001068</v>
      </c>
    </row>
    <row r="28706" spans="1:2" x14ac:dyDescent="0.25">
      <c r="A28706" s="2">
        <v>28701</v>
      </c>
      <c r="B28706" s="3" t="str">
        <f>"200805001071"</f>
        <v>200805001071</v>
      </c>
    </row>
    <row r="28707" spans="1:2" x14ac:dyDescent="0.25">
      <c r="A28707" s="2">
        <v>28702</v>
      </c>
      <c r="B28707" s="3" t="str">
        <f>"200805001122"</f>
        <v>200805001122</v>
      </c>
    </row>
    <row r="28708" spans="1:2" x14ac:dyDescent="0.25">
      <c r="A28708" s="2">
        <v>28703</v>
      </c>
      <c r="B28708" s="3" t="str">
        <f>"200805001182"</f>
        <v>200805001182</v>
      </c>
    </row>
    <row r="28709" spans="1:2" x14ac:dyDescent="0.25">
      <c r="A28709" s="2">
        <v>28704</v>
      </c>
      <c r="B28709" s="3" t="str">
        <f>"200805001216"</f>
        <v>200805001216</v>
      </c>
    </row>
    <row r="28710" spans="1:2" x14ac:dyDescent="0.25">
      <c r="A28710" s="2">
        <v>28705</v>
      </c>
      <c r="B28710" s="3" t="str">
        <f>"200805001233"</f>
        <v>200805001233</v>
      </c>
    </row>
    <row r="28711" spans="1:2" x14ac:dyDescent="0.25">
      <c r="A28711" s="2">
        <v>28706</v>
      </c>
      <c r="B28711" s="3" t="str">
        <f>"200805001252"</f>
        <v>200805001252</v>
      </c>
    </row>
    <row r="28712" spans="1:2" x14ac:dyDescent="0.25">
      <c r="A28712" s="2">
        <v>28707</v>
      </c>
      <c r="B28712" s="3" t="str">
        <f>"200805001261"</f>
        <v>200805001261</v>
      </c>
    </row>
    <row r="28713" spans="1:2" x14ac:dyDescent="0.25">
      <c r="A28713" s="2">
        <v>28708</v>
      </c>
      <c r="B28713" s="3" t="str">
        <f>"200805001267"</f>
        <v>200805001267</v>
      </c>
    </row>
    <row r="28714" spans="1:2" x14ac:dyDescent="0.25">
      <c r="A28714" s="2">
        <v>28709</v>
      </c>
      <c r="B28714" s="3" t="str">
        <f>"200805001311"</f>
        <v>200805001311</v>
      </c>
    </row>
    <row r="28715" spans="1:2" x14ac:dyDescent="0.25">
      <c r="A28715" s="2">
        <v>28710</v>
      </c>
      <c r="B28715" s="3" t="str">
        <f>"200805001318"</f>
        <v>200805001318</v>
      </c>
    </row>
    <row r="28716" spans="1:2" x14ac:dyDescent="0.25">
      <c r="A28716" s="2">
        <v>28711</v>
      </c>
      <c r="B28716" s="3" t="str">
        <f>"200805001331"</f>
        <v>200805001331</v>
      </c>
    </row>
    <row r="28717" spans="1:2" x14ac:dyDescent="0.25">
      <c r="A28717" s="2">
        <v>28712</v>
      </c>
      <c r="B28717" s="3" t="str">
        <f>"200805001344"</f>
        <v>200805001344</v>
      </c>
    </row>
    <row r="28718" spans="1:2" x14ac:dyDescent="0.25">
      <c r="A28718" s="2">
        <v>28713</v>
      </c>
      <c r="B28718" s="3" t="str">
        <f>"200805001399"</f>
        <v>200805001399</v>
      </c>
    </row>
    <row r="28719" spans="1:2" x14ac:dyDescent="0.25">
      <c r="A28719" s="2">
        <v>28714</v>
      </c>
      <c r="B28719" s="3" t="str">
        <f>"200806000004"</f>
        <v>200806000004</v>
      </c>
    </row>
    <row r="28720" spans="1:2" x14ac:dyDescent="0.25">
      <c r="A28720" s="2">
        <v>28715</v>
      </c>
      <c r="B28720" s="3" t="str">
        <f>"200806000009"</f>
        <v>200806000009</v>
      </c>
    </row>
    <row r="28721" spans="1:2" x14ac:dyDescent="0.25">
      <c r="A28721" s="2">
        <v>28716</v>
      </c>
      <c r="B28721" s="3" t="str">
        <f>"200806000066"</f>
        <v>200806000066</v>
      </c>
    </row>
    <row r="28722" spans="1:2" x14ac:dyDescent="0.25">
      <c r="A28722" s="2">
        <v>28717</v>
      </c>
      <c r="B28722" s="3" t="str">
        <f>"200806000146"</f>
        <v>200806000146</v>
      </c>
    </row>
    <row r="28723" spans="1:2" x14ac:dyDescent="0.25">
      <c r="A28723" s="2">
        <v>28718</v>
      </c>
      <c r="B28723" s="3" t="str">
        <f>"200806000184"</f>
        <v>200806000184</v>
      </c>
    </row>
    <row r="28724" spans="1:2" x14ac:dyDescent="0.25">
      <c r="A28724" s="2">
        <v>28719</v>
      </c>
      <c r="B28724" s="3" t="str">
        <f>"200806000208"</f>
        <v>200806000208</v>
      </c>
    </row>
    <row r="28725" spans="1:2" x14ac:dyDescent="0.25">
      <c r="A28725" s="2">
        <v>28720</v>
      </c>
      <c r="B28725" s="3" t="str">
        <f>"200806000235"</f>
        <v>200806000235</v>
      </c>
    </row>
    <row r="28726" spans="1:2" x14ac:dyDescent="0.25">
      <c r="A28726" s="2">
        <v>28721</v>
      </c>
      <c r="B28726" s="3" t="str">
        <f>"200806000246"</f>
        <v>200806000246</v>
      </c>
    </row>
    <row r="28727" spans="1:2" x14ac:dyDescent="0.25">
      <c r="A28727" s="2">
        <v>28722</v>
      </c>
      <c r="B28727" s="3" t="str">
        <f>"200806000251"</f>
        <v>200806000251</v>
      </c>
    </row>
    <row r="28728" spans="1:2" x14ac:dyDescent="0.25">
      <c r="A28728" s="2">
        <v>28723</v>
      </c>
      <c r="B28728" s="3" t="str">
        <f>"200806000252"</f>
        <v>200806000252</v>
      </c>
    </row>
    <row r="28729" spans="1:2" x14ac:dyDescent="0.25">
      <c r="A28729" s="2">
        <v>28724</v>
      </c>
      <c r="B28729" s="3" t="str">
        <f>"200806000291"</f>
        <v>200806000291</v>
      </c>
    </row>
    <row r="28730" spans="1:2" x14ac:dyDescent="0.25">
      <c r="A28730" s="2">
        <v>28725</v>
      </c>
      <c r="B28730" s="3" t="str">
        <f>"200806000294"</f>
        <v>200806000294</v>
      </c>
    </row>
    <row r="28731" spans="1:2" x14ac:dyDescent="0.25">
      <c r="A28731" s="2">
        <v>28726</v>
      </c>
      <c r="B28731" s="3" t="str">
        <f>"200806000332"</f>
        <v>200806000332</v>
      </c>
    </row>
    <row r="28732" spans="1:2" x14ac:dyDescent="0.25">
      <c r="A28732" s="2">
        <v>28727</v>
      </c>
      <c r="B28732" s="3" t="str">
        <f>"200806000352"</f>
        <v>200806000352</v>
      </c>
    </row>
    <row r="28733" spans="1:2" x14ac:dyDescent="0.25">
      <c r="A28733" s="2">
        <v>28728</v>
      </c>
      <c r="B28733" s="3" t="str">
        <f>"200806000423"</f>
        <v>200806000423</v>
      </c>
    </row>
    <row r="28734" spans="1:2" x14ac:dyDescent="0.25">
      <c r="A28734" s="2">
        <v>28729</v>
      </c>
      <c r="B28734" s="3" t="str">
        <f>"200806000452"</f>
        <v>200806000452</v>
      </c>
    </row>
    <row r="28735" spans="1:2" x14ac:dyDescent="0.25">
      <c r="A28735" s="2">
        <v>28730</v>
      </c>
      <c r="B28735" s="3" t="str">
        <f>"200806000462"</f>
        <v>200806000462</v>
      </c>
    </row>
    <row r="28736" spans="1:2" x14ac:dyDescent="0.25">
      <c r="A28736" s="2">
        <v>28731</v>
      </c>
      <c r="B28736" s="3" t="str">
        <f>"200806000476"</f>
        <v>200806000476</v>
      </c>
    </row>
    <row r="28737" spans="1:2" x14ac:dyDescent="0.25">
      <c r="A28737" s="2">
        <v>28732</v>
      </c>
      <c r="B28737" s="3" t="str">
        <f>"200806000500"</f>
        <v>200806000500</v>
      </c>
    </row>
    <row r="28738" spans="1:2" x14ac:dyDescent="0.25">
      <c r="A28738" s="2">
        <v>28733</v>
      </c>
      <c r="B28738" s="3" t="str">
        <f>"200806000672"</f>
        <v>200806000672</v>
      </c>
    </row>
    <row r="28739" spans="1:2" x14ac:dyDescent="0.25">
      <c r="A28739" s="2">
        <v>28734</v>
      </c>
      <c r="B28739" s="3" t="str">
        <f>"200806000682"</f>
        <v>200806000682</v>
      </c>
    </row>
    <row r="28740" spans="1:2" x14ac:dyDescent="0.25">
      <c r="A28740" s="2">
        <v>28735</v>
      </c>
      <c r="B28740" s="3" t="str">
        <f>"200806000790"</f>
        <v>200806000790</v>
      </c>
    </row>
    <row r="28741" spans="1:2" x14ac:dyDescent="0.25">
      <c r="A28741" s="2">
        <v>28736</v>
      </c>
      <c r="B28741" s="3" t="str">
        <f>"200806000795"</f>
        <v>200806000795</v>
      </c>
    </row>
    <row r="28742" spans="1:2" x14ac:dyDescent="0.25">
      <c r="A28742" s="2">
        <v>28737</v>
      </c>
      <c r="B28742" s="3" t="str">
        <f>"200806000836"</f>
        <v>200806000836</v>
      </c>
    </row>
    <row r="28743" spans="1:2" x14ac:dyDescent="0.25">
      <c r="A28743" s="2">
        <v>28738</v>
      </c>
      <c r="B28743" s="3" t="str">
        <f>"200806000858"</f>
        <v>200806000858</v>
      </c>
    </row>
    <row r="28744" spans="1:2" x14ac:dyDescent="0.25">
      <c r="A28744" s="2">
        <v>28739</v>
      </c>
      <c r="B28744" s="3" t="str">
        <f>"200806000865"</f>
        <v>200806000865</v>
      </c>
    </row>
    <row r="28745" spans="1:2" x14ac:dyDescent="0.25">
      <c r="A28745" s="2">
        <v>28740</v>
      </c>
      <c r="B28745" s="3" t="str">
        <f>"200806000911"</f>
        <v>200806000911</v>
      </c>
    </row>
    <row r="28746" spans="1:2" x14ac:dyDescent="0.25">
      <c r="A28746" s="2">
        <v>28741</v>
      </c>
      <c r="B28746" s="3" t="str">
        <f>"200806000972"</f>
        <v>200806000972</v>
      </c>
    </row>
    <row r="28747" spans="1:2" x14ac:dyDescent="0.25">
      <c r="A28747" s="2">
        <v>28742</v>
      </c>
      <c r="B28747" s="3" t="str">
        <f>"200807000033"</f>
        <v>200807000033</v>
      </c>
    </row>
    <row r="28748" spans="1:2" x14ac:dyDescent="0.25">
      <c r="A28748" s="2">
        <v>28743</v>
      </c>
      <c r="B28748" s="3" t="str">
        <f>"200807000035"</f>
        <v>200807000035</v>
      </c>
    </row>
    <row r="28749" spans="1:2" x14ac:dyDescent="0.25">
      <c r="A28749" s="2">
        <v>28744</v>
      </c>
      <c r="B28749" s="3" t="str">
        <f>"200807000084"</f>
        <v>200807000084</v>
      </c>
    </row>
    <row r="28750" spans="1:2" x14ac:dyDescent="0.25">
      <c r="A28750" s="2">
        <v>28745</v>
      </c>
      <c r="B28750" s="3" t="str">
        <f>"200807000161"</f>
        <v>200807000161</v>
      </c>
    </row>
    <row r="28751" spans="1:2" x14ac:dyDescent="0.25">
      <c r="A28751" s="2">
        <v>28746</v>
      </c>
      <c r="B28751" s="3" t="str">
        <f>"200807000228"</f>
        <v>200807000228</v>
      </c>
    </row>
    <row r="28752" spans="1:2" x14ac:dyDescent="0.25">
      <c r="A28752" s="2">
        <v>28747</v>
      </c>
      <c r="B28752" s="3" t="str">
        <f>"200807000262"</f>
        <v>200807000262</v>
      </c>
    </row>
    <row r="28753" spans="1:2" x14ac:dyDescent="0.25">
      <c r="A28753" s="2">
        <v>28748</v>
      </c>
      <c r="B28753" s="3" t="str">
        <f>"200807000293"</f>
        <v>200807000293</v>
      </c>
    </row>
    <row r="28754" spans="1:2" x14ac:dyDescent="0.25">
      <c r="A28754" s="2">
        <v>28749</v>
      </c>
      <c r="B28754" s="3" t="str">
        <f>"200807000335"</f>
        <v>200807000335</v>
      </c>
    </row>
    <row r="28755" spans="1:2" x14ac:dyDescent="0.25">
      <c r="A28755" s="2">
        <v>28750</v>
      </c>
      <c r="B28755" s="3" t="str">
        <f>"200807000345"</f>
        <v>200807000345</v>
      </c>
    </row>
    <row r="28756" spans="1:2" x14ac:dyDescent="0.25">
      <c r="A28756" s="2">
        <v>28751</v>
      </c>
      <c r="B28756" s="3" t="str">
        <f>"200807000468"</f>
        <v>200807000468</v>
      </c>
    </row>
    <row r="28757" spans="1:2" x14ac:dyDescent="0.25">
      <c r="A28757" s="2">
        <v>28752</v>
      </c>
      <c r="B28757" s="3" t="str">
        <f>"200807000573"</f>
        <v>200807000573</v>
      </c>
    </row>
    <row r="28758" spans="1:2" x14ac:dyDescent="0.25">
      <c r="A28758" s="2">
        <v>28753</v>
      </c>
      <c r="B28758" s="3" t="str">
        <f>"200807000592"</f>
        <v>200807000592</v>
      </c>
    </row>
    <row r="28759" spans="1:2" x14ac:dyDescent="0.25">
      <c r="A28759" s="2">
        <v>28754</v>
      </c>
      <c r="B28759" s="3" t="str">
        <f>"200807000601"</f>
        <v>200807000601</v>
      </c>
    </row>
    <row r="28760" spans="1:2" x14ac:dyDescent="0.25">
      <c r="A28760" s="2">
        <v>28755</v>
      </c>
      <c r="B28760" s="3" t="str">
        <f>"200807000636"</f>
        <v>200807000636</v>
      </c>
    </row>
    <row r="28761" spans="1:2" x14ac:dyDescent="0.25">
      <c r="A28761" s="2">
        <v>28756</v>
      </c>
      <c r="B28761" s="3" t="str">
        <f>"200807000637"</f>
        <v>200807000637</v>
      </c>
    </row>
    <row r="28762" spans="1:2" x14ac:dyDescent="0.25">
      <c r="A28762" s="2">
        <v>28757</v>
      </c>
      <c r="B28762" s="3" t="str">
        <f>"200807000638"</f>
        <v>200807000638</v>
      </c>
    </row>
    <row r="28763" spans="1:2" x14ac:dyDescent="0.25">
      <c r="A28763" s="2">
        <v>28758</v>
      </c>
      <c r="B28763" s="3" t="str">
        <f>"200807000644"</f>
        <v>200807000644</v>
      </c>
    </row>
    <row r="28764" spans="1:2" x14ac:dyDescent="0.25">
      <c r="A28764" s="2">
        <v>28759</v>
      </c>
      <c r="B28764" s="3" t="str">
        <f>"200807000651"</f>
        <v>200807000651</v>
      </c>
    </row>
    <row r="28765" spans="1:2" x14ac:dyDescent="0.25">
      <c r="A28765" s="2">
        <v>28760</v>
      </c>
      <c r="B28765" s="3" t="str">
        <f>"200807000691"</f>
        <v>200807000691</v>
      </c>
    </row>
    <row r="28766" spans="1:2" x14ac:dyDescent="0.25">
      <c r="A28766" s="2">
        <v>28761</v>
      </c>
      <c r="B28766" s="3" t="str">
        <f>"200807000729"</f>
        <v>200807000729</v>
      </c>
    </row>
    <row r="28767" spans="1:2" x14ac:dyDescent="0.25">
      <c r="A28767" s="2">
        <v>28762</v>
      </c>
      <c r="B28767" s="3" t="str">
        <f>"200807000730"</f>
        <v>200807000730</v>
      </c>
    </row>
    <row r="28768" spans="1:2" x14ac:dyDescent="0.25">
      <c r="A28768" s="2">
        <v>28763</v>
      </c>
      <c r="B28768" s="3" t="str">
        <f>"200807000733"</f>
        <v>200807000733</v>
      </c>
    </row>
    <row r="28769" spans="1:2" x14ac:dyDescent="0.25">
      <c r="A28769" s="2">
        <v>28764</v>
      </c>
      <c r="B28769" s="3" t="str">
        <f>"200807000781"</f>
        <v>200807000781</v>
      </c>
    </row>
    <row r="28770" spans="1:2" x14ac:dyDescent="0.25">
      <c r="A28770" s="2">
        <v>28765</v>
      </c>
      <c r="B28770" s="3" t="str">
        <f>"200807000841"</f>
        <v>200807000841</v>
      </c>
    </row>
    <row r="28771" spans="1:2" x14ac:dyDescent="0.25">
      <c r="A28771" s="2">
        <v>28766</v>
      </c>
      <c r="B28771" s="3" t="str">
        <f>"200807000847"</f>
        <v>200807000847</v>
      </c>
    </row>
    <row r="28772" spans="1:2" x14ac:dyDescent="0.25">
      <c r="A28772" s="2">
        <v>28767</v>
      </c>
      <c r="B28772" s="3" t="str">
        <f>"200807000884"</f>
        <v>200807000884</v>
      </c>
    </row>
    <row r="28773" spans="1:2" x14ac:dyDescent="0.25">
      <c r="A28773" s="2">
        <v>28768</v>
      </c>
      <c r="B28773" s="3" t="str">
        <f>"200807000922"</f>
        <v>200807000922</v>
      </c>
    </row>
    <row r="28774" spans="1:2" x14ac:dyDescent="0.25">
      <c r="A28774" s="2">
        <v>28769</v>
      </c>
      <c r="B28774" s="3" t="str">
        <f>"200807000935"</f>
        <v>200807000935</v>
      </c>
    </row>
    <row r="28775" spans="1:2" x14ac:dyDescent="0.25">
      <c r="A28775" s="2">
        <v>28770</v>
      </c>
      <c r="B28775" s="3" t="str">
        <f>"200808000035"</f>
        <v>200808000035</v>
      </c>
    </row>
    <row r="28776" spans="1:2" x14ac:dyDescent="0.25">
      <c r="A28776" s="2">
        <v>28771</v>
      </c>
      <c r="B28776" s="3" t="str">
        <f>"200808000040"</f>
        <v>200808000040</v>
      </c>
    </row>
    <row r="28777" spans="1:2" x14ac:dyDescent="0.25">
      <c r="A28777" s="2">
        <v>28772</v>
      </c>
      <c r="B28777" s="3" t="str">
        <f>"200808000046"</f>
        <v>200808000046</v>
      </c>
    </row>
    <row r="28778" spans="1:2" x14ac:dyDescent="0.25">
      <c r="A28778" s="2">
        <v>28773</v>
      </c>
      <c r="B28778" s="3" t="str">
        <f>"200808000076"</f>
        <v>200808000076</v>
      </c>
    </row>
    <row r="28779" spans="1:2" x14ac:dyDescent="0.25">
      <c r="A28779" s="2">
        <v>28774</v>
      </c>
      <c r="B28779" s="3" t="str">
        <f>"200808000096"</f>
        <v>200808000096</v>
      </c>
    </row>
    <row r="28780" spans="1:2" x14ac:dyDescent="0.25">
      <c r="A28780" s="2">
        <v>28775</v>
      </c>
      <c r="B28780" s="3" t="str">
        <f>"200808000113"</f>
        <v>200808000113</v>
      </c>
    </row>
    <row r="28781" spans="1:2" x14ac:dyDescent="0.25">
      <c r="A28781" s="2">
        <v>28776</v>
      </c>
      <c r="B28781" s="3" t="str">
        <f>"200808000147"</f>
        <v>200808000147</v>
      </c>
    </row>
    <row r="28782" spans="1:2" x14ac:dyDescent="0.25">
      <c r="A28782" s="2">
        <v>28777</v>
      </c>
      <c r="B28782" s="3" t="str">
        <f>"200808000165"</f>
        <v>200808000165</v>
      </c>
    </row>
    <row r="28783" spans="1:2" x14ac:dyDescent="0.25">
      <c r="A28783" s="2">
        <v>28778</v>
      </c>
      <c r="B28783" s="3" t="str">
        <f>"200808000231"</f>
        <v>200808000231</v>
      </c>
    </row>
    <row r="28784" spans="1:2" x14ac:dyDescent="0.25">
      <c r="A28784" s="2">
        <v>28779</v>
      </c>
      <c r="B28784" s="3" t="str">
        <f>"200808000250"</f>
        <v>200808000250</v>
      </c>
    </row>
    <row r="28785" spans="1:2" x14ac:dyDescent="0.25">
      <c r="A28785" s="2">
        <v>28780</v>
      </c>
      <c r="B28785" s="3" t="str">
        <f>"200808000257"</f>
        <v>200808000257</v>
      </c>
    </row>
    <row r="28786" spans="1:2" x14ac:dyDescent="0.25">
      <c r="A28786" s="2">
        <v>28781</v>
      </c>
      <c r="B28786" s="3" t="str">
        <f>"200808000275"</f>
        <v>200808000275</v>
      </c>
    </row>
    <row r="28787" spans="1:2" x14ac:dyDescent="0.25">
      <c r="A28787" s="2">
        <v>28782</v>
      </c>
      <c r="B28787" s="3" t="str">
        <f>"200808000318"</f>
        <v>200808000318</v>
      </c>
    </row>
    <row r="28788" spans="1:2" x14ac:dyDescent="0.25">
      <c r="A28788" s="2">
        <v>28783</v>
      </c>
      <c r="B28788" s="3" t="str">
        <f>"200808000343"</f>
        <v>200808000343</v>
      </c>
    </row>
    <row r="28789" spans="1:2" x14ac:dyDescent="0.25">
      <c r="A28789" s="2">
        <v>28784</v>
      </c>
      <c r="B28789" s="3" t="str">
        <f>"200808000365"</f>
        <v>200808000365</v>
      </c>
    </row>
    <row r="28790" spans="1:2" x14ac:dyDescent="0.25">
      <c r="A28790" s="2">
        <v>28785</v>
      </c>
      <c r="B28790" s="3" t="str">
        <f>"200808000377"</f>
        <v>200808000377</v>
      </c>
    </row>
    <row r="28791" spans="1:2" x14ac:dyDescent="0.25">
      <c r="A28791" s="2">
        <v>28786</v>
      </c>
      <c r="B28791" s="3" t="str">
        <f>"200808000395"</f>
        <v>200808000395</v>
      </c>
    </row>
    <row r="28792" spans="1:2" x14ac:dyDescent="0.25">
      <c r="A28792" s="2">
        <v>28787</v>
      </c>
      <c r="B28792" s="3" t="str">
        <f>"200808000439"</f>
        <v>200808000439</v>
      </c>
    </row>
    <row r="28793" spans="1:2" x14ac:dyDescent="0.25">
      <c r="A28793" s="2">
        <v>28788</v>
      </c>
      <c r="B28793" s="3" t="str">
        <f>"200808000474"</f>
        <v>200808000474</v>
      </c>
    </row>
    <row r="28794" spans="1:2" x14ac:dyDescent="0.25">
      <c r="A28794" s="2">
        <v>28789</v>
      </c>
      <c r="B28794" s="3" t="str">
        <f>"200808000478"</f>
        <v>200808000478</v>
      </c>
    </row>
    <row r="28795" spans="1:2" x14ac:dyDescent="0.25">
      <c r="A28795" s="2">
        <v>28790</v>
      </c>
      <c r="B28795" s="3" t="str">
        <f>"200808000571"</f>
        <v>200808000571</v>
      </c>
    </row>
    <row r="28796" spans="1:2" x14ac:dyDescent="0.25">
      <c r="A28796" s="2">
        <v>28791</v>
      </c>
      <c r="B28796" s="3" t="str">
        <f>"200808000606"</f>
        <v>200808000606</v>
      </c>
    </row>
    <row r="28797" spans="1:2" x14ac:dyDescent="0.25">
      <c r="A28797" s="2">
        <v>28792</v>
      </c>
      <c r="B28797" s="3" t="str">
        <f>"200808000674"</f>
        <v>200808000674</v>
      </c>
    </row>
    <row r="28798" spans="1:2" x14ac:dyDescent="0.25">
      <c r="A28798" s="2">
        <v>28793</v>
      </c>
      <c r="B28798" s="3" t="str">
        <f>"200808000730"</f>
        <v>200808000730</v>
      </c>
    </row>
    <row r="28799" spans="1:2" x14ac:dyDescent="0.25">
      <c r="A28799" s="2">
        <v>28794</v>
      </c>
      <c r="B28799" s="3" t="str">
        <f>"200808000762"</f>
        <v>200808000762</v>
      </c>
    </row>
    <row r="28800" spans="1:2" x14ac:dyDescent="0.25">
      <c r="A28800" s="2">
        <v>28795</v>
      </c>
      <c r="B28800" s="3" t="str">
        <f>"200809000038"</f>
        <v>200809000038</v>
      </c>
    </row>
    <row r="28801" spans="1:2" x14ac:dyDescent="0.25">
      <c r="A28801" s="2">
        <v>28796</v>
      </c>
      <c r="B28801" s="3" t="str">
        <f>"200809000050"</f>
        <v>200809000050</v>
      </c>
    </row>
    <row r="28802" spans="1:2" x14ac:dyDescent="0.25">
      <c r="A28802" s="2">
        <v>28797</v>
      </c>
      <c r="B28802" s="3" t="str">
        <f>"200809000114"</f>
        <v>200809000114</v>
      </c>
    </row>
    <row r="28803" spans="1:2" x14ac:dyDescent="0.25">
      <c r="A28803" s="2">
        <v>28798</v>
      </c>
      <c r="B28803" s="3" t="str">
        <f>"200809000115"</f>
        <v>200809000115</v>
      </c>
    </row>
    <row r="28804" spans="1:2" x14ac:dyDescent="0.25">
      <c r="A28804" s="2">
        <v>28799</v>
      </c>
      <c r="B28804" s="3" t="str">
        <f>"200809000126"</f>
        <v>200809000126</v>
      </c>
    </row>
    <row r="28805" spans="1:2" x14ac:dyDescent="0.25">
      <c r="A28805" s="2">
        <v>28800</v>
      </c>
      <c r="B28805" s="3" t="str">
        <f>"200809000138"</f>
        <v>200809000138</v>
      </c>
    </row>
    <row r="28806" spans="1:2" x14ac:dyDescent="0.25">
      <c r="A28806" s="2">
        <v>28801</v>
      </c>
      <c r="B28806" s="3" t="str">
        <f>"200809000173"</f>
        <v>200809000173</v>
      </c>
    </row>
    <row r="28807" spans="1:2" x14ac:dyDescent="0.25">
      <c r="A28807" s="2">
        <v>28802</v>
      </c>
      <c r="B28807" s="3" t="str">
        <f>"200809000295"</f>
        <v>200809000295</v>
      </c>
    </row>
    <row r="28808" spans="1:2" x14ac:dyDescent="0.25">
      <c r="A28808" s="2">
        <v>28803</v>
      </c>
      <c r="B28808" s="3" t="str">
        <f>"200809000438"</f>
        <v>200809000438</v>
      </c>
    </row>
    <row r="28809" spans="1:2" x14ac:dyDescent="0.25">
      <c r="A28809" s="2">
        <v>28804</v>
      </c>
      <c r="B28809" s="3" t="str">
        <f>"200809000495"</f>
        <v>200809000495</v>
      </c>
    </row>
    <row r="28810" spans="1:2" x14ac:dyDescent="0.25">
      <c r="A28810" s="2">
        <v>28805</v>
      </c>
      <c r="B28810" s="3" t="str">
        <f>"200809000499"</f>
        <v>200809000499</v>
      </c>
    </row>
    <row r="28811" spans="1:2" x14ac:dyDescent="0.25">
      <c r="A28811" s="2">
        <v>28806</v>
      </c>
      <c r="B28811" s="3" t="str">
        <f>"200809000513"</f>
        <v>200809000513</v>
      </c>
    </row>
    <row r="28812" spans="1:2" x14ac:dyDescent="0.25">
      <c r="A28812" s="2">
        <v>28807</v>
      </c>
      <c r="B28812" s="3" t="str">
        <f>"200809000635"</f>
        <v>200809000635</v>
      </c>
    </row>
    <row r="28813" spans="1:2" x14ac:dyDescent="0.25">
      <c r="A28813" s="2">
        <v>28808</v>
      </c>
      <c r="B28813" s="3" t="str">
        <f>"200809000679"</f>
        <v>200809000679</v>
      </c>
    </row>
    <row r="28814" spans="1:2" x14ac:dyDescent="0.25">
      <c r="A28814" s="2">
        <v>28809</v>
      </c>
      <c r="B28814" s="3" t="str">
        <f>"200809000706"</f>
        <v>200809000706</v>
      </c>
    </row>
    <row r="28815" spans="1:2" x14ac:dyDescent="0.25">
      <c r="A28815" s="2">
        <v>28810</v>
      </c>
      <c r="B28815" s="3" t="str">
        <f>"200809000739"</f>
        <v>200809000739</v>
      </c>
    </row>
    <row r="28816" spans="1:2" x14ac:dyDescent="0.25">
      <c r="A28816" s="2">
        <v>28811</v>
      </c>
      <c r="B28816" s="3" t="str">
        <f>"200809000750"</f>
        <v>200809000750</v>
      </c>
    </row>
    <row r="28817" spans="1:2" x14ac:dyDescent="0.25">
      <c r="A28817" s="2">
        <v>28812</v>
      </c>
      <c r="B28817" s="3" t="str">
        <f>"200809000772"</f>
        <v>200809000772</v>
      </c>
    </row>
    <row r="28818" spans="1:2" x14ac:dyDescent="0.25">
      <c r="A28818" s="2">
        <v>28813</v>
      </c>
      <c r="B28818" s="3" t="str">
        <f>"200809000780"</f>
        <v>200809000780</v>
      </c>
    </row>
    <row r="28819" spans="1:2" x14ac:dyDescent="0.25">
      <c r="A28819" s="2">
        <v>28814</v>
      </c>
      <c r="B28819" s="3" t="str">
        <f>"200809000816"</f>
        <v>200809000816</v>
      </c>
    </row>
    <row r="28820" spans="1:2" x14ac:dyDescent="0.25">
      <c r="A28820" s="2">
        <v>28815</v>
      </c>
      <c r="B28820" s="3" t="str">
        <f>"200809000850"</f>
        <v>200809000850</v>
      </c>
    </row>
    <row r="28821" spans="1:2" x14ac:dyDescent="0.25">
      <c r="A28821" s="2">
        <v>28816</v>
      </c>
      <c r="B28821" s="3" t="str">
        <f>"200809000853"</f>
        <v>200809000853</v>
      </c>
    </row>
    <row r="28822" spans="1:2" x14ac:dyDescent="0.25">
      <c r="A28822" s="2">
        <v>28817</v>
      </c>
      <c r="B28822" s="3" t="str">
        <f>"200809000921"</f>
        <v>200809000921</v>
      </c>
    </row>
    <row r="28823" spans="1:2" x14ac:dyDescent="0.25">
      <c r="A28823" s="2">
        <v>28818</v>
      </c>
      <c r="B28823" s="3" t="str">
        <f>"200809000949"</f>
        <v>200809000949</v>
      </c>
    </row>
    <row r="28824" spans="1:2" x14ac:dyDescent="0.25">
      <c r="A28824" s="2">
        <v>28819</v>
      </c>
      <c r="B28824" s="3" t="str">
        <f>"200809000953"</f>
        <v>200809000953</v>
      </c>
    </row>
    <row r="28825" spans="1:2" x14ac:dyDescent="0.25">
      <c r="A28825" s="2">
        <v>28820</v>
      </c>
      <c r="B28825" s="3" t="str">
        <f>"200809000966"</f>
        <v>200809000966</v>
      </c>
    </row>
    <row r="28826" spans="1:2" x14ac:dyDescent="0.25">
      <c r="A28826" s="2">
        <v>28821</v>
      </c>
      <c r="B28826" s="3" t="str">
        <f>"200809001027"</f>
        <v>200809001027</v>
      </c>
    </row>
    <row r="28827" spans="1:2" x14ac:dyDescent="0.25">
      <c r="A28827" s="2">
        <v>28822</v>
      </c>
      <c r="B28827" s="3" t="str">
        <f>"200809001095"</f>
        <v>200809001095</v>
      </c>
    </row>
    <row r="28828" spans="1:2" x14ac:dyDescent="0.25">
      <c r="A28828" s="2">
        <v>28823</v>
      </c>
      <c r="B28828" s="3" t="str">
        <f>"200809001107"</f>
        <v>200809001107</v>
      </c>
    </row>
    <row r="28829" spans="1:2" x14ac:dyDescent="0.25">
      <c r="A28829" s="2">
        <v>28824</v>
      </c>
      <c r="B28829" s="3" t="str">
        <f>"200809001194"</f>
        <v>200809001194</v>
      </c>
    </row>
    <row r="28830" spans="1:2" x14ac:dyDescent="0.25">
      <c r="A28830" s="2">
        <v>28825</v>
      </c>
      <c r="B28830" s="3" t="str">
        <f>"200809001204"</f>
        <v>200809001204</v>
      </c>
    </row>
    <row r="28831" spans="1:2" x14ac:dyDescent="0.25">
      <c r="A28831" s="2">
        <v>28826</v>
      </c>
      <c r="B28831" s="3" t="str">
        <f>"200809001215"</f>
        <v>200809001215</v>
      </c>
    </row>
    <row r="28832" spans="1:2" x14ac:dyDescent="0.25">
      <c r="A28832" s="2">
        <v>28827</v>
      </c>
      <c r="B28832" s="3" t="str">
        <f>"200809001225"</f>
        <v>200809001225</v>
      </c>
    </row>
    <row r="28833" spans="1:2" x14ac:dyDescent="0.25">
      <c r="A28833" s="2">
        <v>28828</v>
      </c>
      <c r="B28833" s="3" t="str">
        <f>"200810000034"</f>
        <v>200810000034</v>
      </c>
    </row>
    <row r="28834" spans="1:2" x14ac:dyDescent="0.25">
      <c r="A28834" s="2">
        <v>28829</v>
      </c>
      <c r="B28834" s="3" t="str">
        <f>"200810000074"</f>
        <v>200810000074</v>
      </c>
    </row>
    <row r="28835" spans="1:2" x14ac:dyDescent="0.25">
      <c r="A28835" s="2">
        <v>28830</v>
      </c>
      <c r="B28835" s="3" t="str">
        <f>"200810000075"</f>
        <v>200810000075</v>
      </c>
    </row>
    <row r="28836" spans="1:2" x14ac:dyDescent="0.25">
      <c r="A28836" s="2">
        <v>28831</v>
      </c>
      <c r="B28836" s="3" t="str">
        <f>"200810000077"</f>
        <v>200810000077</v>
      </c>
    </row>
    <row r="28837" spans="1:2" x14ac:dyDescent="0.25">
      <c r="A28837" s="2">
        <v>28832</v>
      </c>
      <c r="B28837" s="3" t="str">
        <f>"200810000084"</f>
        <v>200810000084</v>
      </c>
    </row>
    <row r="28838" spans="1:2" x14ac:dyDescent="0.25">
      <c r="A28838" s="2">
        <v>28833</v>
      </c>
      <c r="B28838" s="3" t="str">
        <f>"200810000086"</f>
        <v>200810000086</v>
      </c>
    </row>
    <row r="28839" spans="1:2" x14ac:dyDescent="0.25">
      <c r="A28839" s="2">
        <v>28834</v>
      </c>
      <c r="B28839" s="3" t="str">
        <f>"200810000097"</f>
        <v>200810000097</v>
      </c>
    </row>
    <row r="28840" spans="1:2" x14ac:dyDescent="0.25">
      <c r="A28840" s="2">
        <v>28835</v>
      </c>
      <c r="B28840" s="3" t="str">
        <f>"200810000237"</f>
        <v>200810000237</v>
      </c>
    </row>
    <row r="28841" spans="1:2" x14ac:dyDescent="0.25">
      <c r="A28841" s="2">
        <v>28836</v>
      </c>
      <c r="B28841" s="3" t="str">
        <f>"200810000293"</f>
        <v>200810000293</v>
      </c>
    </row>
    <row r="28842" spans="1:2" x14ac:dyDescent="0.25">
      <c r="A28842" s="2">
        <v>28837</v>
      </c>
      <c r="B28842" s="3" t="str">
        <f>"200810000319"</f>
        <v>200810000319</v>
      </c>
    </row>
    <row r="28843" spans="1:2" x14ac:dyDescent="0.25">
      <c r="A28843" s="2">
        <v>28838</v>
      </c>
      <c r="B28843" s="3" t="str">
        <f>"200810000433"</f>
        <v>200810000433</v>
      </c>
    </row>
    <row r="28844" spans="1:2" x14ac:dyDescent="0.25">
      <c r="A28844" s="2">
        <v>28839</v>
      </c>
      <c r="B28844" s="3" t="str">
        <f>"200810000441"</f>
        <v>200810000441</v>
      </c>
    </row>
    <row r="28845" spans="1:2" x14ac:dyDescent="0.25">
      <c r="A28845" s="2">
        <v>28840</v>
      </c>
      <c r="B28845" s="3" t="str">
        <f>"200810000456"</f>
        <v>200810000456</v>
      </c>
    </row>
    <row r="28846" spans="1:2" x14ac:dyDescent="0.25">
      <c r="A28846" s="2">
        <v>28841</v>
      </c>
      <c r="B28846" s="3" t="str">
        <f>"200810000484"</f>
        <v>200810000484</v>
      </c>
    </row>
    <row r="28847" spans="1:2" x14ac:dyDescent="0.25">
      <c r="A28847" s="2">
        <v>28842</v>
      </c>
      <c r="B28847" s="3" t="str">
        <f>"200810000486"</f>
        <v>200810000486</v>
      </c>
    </row>
    <row r="28848" spans="1:2" x14ac:dyDescent="0.25">
      <c r="A28848" s="2">
        <v>28843</v>
      </c>
      <c r="B28848" s="3" t="str">
        <f>"200810000522"</f>
        <v>200810000522</v>
      </c>
    </row>
    <row r="28849" spans="1:2" x14ac:dyDescent="0.25">
      <c r="A28849" s="2">
        <v>28844</v>
      </c>
      <c r="B28849" s="3" t="str">
        <f>"200810000561"</f>
        <v>200810000561</v>
      </c>
    </row>
    <row r="28850" spans="1:2" x14ac:dyDescent="0.25">
      <c r="A28850" s="2">
        <v>28845</v>
      </c>
      <c r="B28850" s="3" t="str">
        <f>"200810000587"</f>
        <v>200810000587</v>
      </c>
    </row>
    <row r="28851" spans="1:2" x14ac:dyDescent="0.25">
      <c r="A28851" s="2">
        <v>28846</v>
      </c>
      <c r="B28851" s="3" t="str">
        <f>"200810000629"</f>
        <v>200810000629</v>
      </c>
    </row>
    <row r="28852" spans="1:2" x14ac:dyDescent="0.25">
      <c r="A28852" s="2">
        <v>28847</v>
      </c>
      <c r="B28852" s="3" t="str">
        <f>"200810000652"</f>
        <v>200810000652</v>
      </c>
    </row>
    <row r="28853" spans="1:2" x14ac:dyDescent="0.25">
      <c r="A28853" s="2">
        <v>28848</v>
      </c>
      <c r="B28853" s="3" t="str">
        <f>"200810000681"</f>
        <v>200810000681</v>
      </c>
    </row>
    <row r="28854" spans="1:2" x14ac:dyDescent="0.25">
      <c r="A28854" s="2">
        <v>28849</v>
      </c>
      <c r="B28854" s="3" t="str">
        <f>"200810000744"</f>
        <v>200810000744</v>
      </c>
    </row>
    <row r="28855" spans="1:2" x14ac:dyDescent="0.25">
      <c r="A28855" s="2">
        <v>28850</v>
      </c>
      <c r="B28855" s="3" t="str">
        <f>"200810000752"</f>
        <v>200810000752</v>
      </c>
    </row>
    <row r="28856" spans="1:2" x14ac:dyDescent="0.25">
      <c r="A28856" s="2">
        <v>28851</v>
      </c>
      <c r="B28856" s="3" t="str">
        <f>"200810000802"</f>
        <v>200810000802</v>
      </c>
    </row>
    <row r="28857" spans="1:2" x14ac:dyDescent="0.25">
      <c r="A28857" s="2">
        <v>28852</v>
      </c>
      <c r="B28857" s="3" t="str">
        <f>"200810000813"</f>
        <v>200810000813</v>
      </c>
    </row>
    <row r="28858" spans="1:2" x14ac:dyDescent="0.25">
      <c r="A28858" s="2">
        <v>28853</v>
      </c>
      <c r="B28858" s="3" t="str">
        <f>"200810000837"</f>
        <v>200810000837</v>
      </c>
    </row>
    <row r="28859" spans="1:2" x14ac:dyDescent="0.25">
      <c r="A28859" s="2">
        <v>28854</v>
      </c>
      <c r="B28859" s="3" t="str">
        <f>"200810000842"</f>
        <v>200810000842</v>
      </c>
    </row>
    <row r="28860" spans="1:2" x14ac:dyDescent="0.25">
      <c r="A28860" s="2">
        <v>28855</v>
      </c>
      <c r="B28860" s="3" t="str">
        <f>"200810000867"</f>
        <v>200810000867</v>
      </c>
    </row>
    <row r="28861" spans="1:2" x14ac:dyDescent="0.25">
      <c r="A28861" s="2">
        <v>28856</v>
      </c>
      <c r="B28861" s="3" t="str">
        <f>"200810000882"</f>
        <v>200810000882</v>
      </c>
    </row>
    <row r="28862" spans="1:2" x14ac:dyDescent="0.25">
      <c r="A28862" s="2">
        <v>28857</v>
      </c>
      <c r="B28862" s="3" t="str">
        <f>"200810000884"</f>
        <v>200810000884</v>
      </c>
    </row>
    <row r="28863" spans="1:2" x14ac:dyDescent="0.25">
      <c r="A28863" s="2">
        <v>28858</v>
      </c>
      <c r="B28863" s="3" t="str">
        <f>"200810000890"</f>
        <v>200810000890</v>
      </c>
    </row>
    <row r="28864" spans="1:2" x14ac:dyDescent="0.25">
      <c r="A28864" s="2">
        <v>28859</v>
      </c>
      <c r="B28864" s="3" t="str">
        <f>"200810000920"</f>
        <v>200810000920</v>
      </c>
    </row>
    <row r="28865" spans="1:2" x14ac:dyDescent="0.25">
      <c r="A28865" s="2">
        <v>28860</v>
      </c>
      <c r="B28865" s="3" t="str">
        <f>"200810000937"</f>
        <v>200810000937</v>
      </c>
    </row>
    <row r="28866" spans="1:2" x14ac:dyDescent="0.25">
      <c r="A28866" s="2">
        <v>28861</v>
      </c>
      <c r="B28866" s="3" t="str">
        <f>"200810000988"</f>
        <v>200810000988</v>
      </c>
    </row>
    <row r="28867" spans="1:2" x14ac:dyDescent="0.25">
      <c r="A28867" s="2">
        <v>28862</v>
      </c>
      <c r="B28867" s="3" t="str">
        <f>"200810001005"</f>
        <v>200810001005</v>
      </c>
    </row>
    <row r="28868" spans="1:2" x14ac:dyDescent="0.25">
      <c r="A28868" s="2">
        <v>28863</v>
      </c>
      <c r="B28868" s="3" t="str">
        <f>"200810001041"</f>
        <v>200810001041</v>
      </c>
    </row>
    <row r="28869" spans="1:2" x14ac:dyDescent="0.25">
      <c r="A28869" s="2">
        <v>28864</v>
      </c>
      <c r="B28869" s="3" t="str">
        <f>"200810001061"</f>
        <v>200810001061</v>
      </c>
    </row>
    <row r="28870" spans="1:2" x14ac:dyDescent="0.25">
      <c r="A28870" s="2">
        <v>28865</v>
      </c>
      <c r="B28870" s="3" t="str">
        <f>"200810001093"</f>
        <v>200810001093</v>
      </c>
    </row>
    <row r="28871" spans="1:2" x14ac:dyDescent="0.25">
      <c r="A28871" s="2">
        <v>28866</v>
      </c>
      <c r="B28871" s="3" t="str">
        <f>"200810001101"</f>
        <v>200810001101</v>
      </c>
    </row>
    <row r="28872" spans="1:2" x14ac:dyDescent="0.25">
      <c r="A28872" s="2">
        <v>28867</v>
      </c>
      <c r="B28872" s="3" t="str">
        <f>"200810001114"</f>
        <v>200810001114</v>
      </c>
    </row>
    <row r="28873" spans="1:2" x14ac:dyDescent="0.25">
      <c r="A28873" s="2">
        <v>28868</v>
      </c>
      <c r="B28873" s="3" t="str">
        <f>"200810001169"</f>
        <v>200810001169</v>
      </c>
    </row>
    <row r="28874" spans="1:2" x14ac:dyDescent="0.25">
      <c r="A28874" s="2">
        <v>28869</v>
      </c>
      <c r="B28874" s="3" t="str">
        <f>"200810001173"</f>
        <v>200810001173</v>
      </c>
    </row>
    <row r="28875" spans="1:2" x14ac:dyDescent="0.25">
      <c r="A28875" s="2">
        <v>28870</v>
      </c>
      <c r="B28875" s="3" t="str">
        <f>"200810001174"</f>
        <v>200810001174</v>
      </c>
    </row>
    <row r="28876" spans="1:2" x14ac:dyDescent="0.25">
      <c r="A28876" s="2">
        <v>28871</v>
      </c>
      <c r="B28876" s="3" t="str">
        <f>"200811000081"</f>
        <v>200811000081</v>
      </c>
    </row>
    <row r="28877" spans="1:2" x14ac:dyDescent="0.25">
      <c r="A28877" s="2">
        <v>28872</v>
      </c>
      <c r="B28877" s="3" t="str">
        <f>"200811000125"</f>
        <v>200811000125</v>
      </c>
    </row>
    <row r="28878" spans="1:2" x14ac:dyDescent="0.25">
      <c r="A28878" s="2">
        <v>28873</v>
      </c>
      <c r="B28878" s="3" t="str">
        <f>"200811000163"</f>
        <v>200811000163</v>
      </c>
    </row>
    <row r="28879" spans="1:2" x14ac:dyDescent="0.25">
      <c r="A28879" s="2">
        <v>28874</v>
      </c>
      <c r="B28879" s="3" t="str">
        <f>"200811000206"</f>
        <v>200811000206</v>
      </c>
    </row>
    <row r="28880" spans="1:2" x14ac:dyDescent="0.25">
      <c r="A28880" s="2">
        <v>28875</v>
      </c>
      <c r="B28880" s="3" t="str">
        <f>"200811000210"</f>
        <v>200811000210</v>
      </c>
    </row>
    <row r="28881" spans="1:2" x14ac:dyDescent="0.25">
      <c r="A28881" s="2">
        <v>28876</v>
      </c>
      <c r="B28881" s="3" t="str">
        <f>"200811000211"</f>
        <v>200811000211</v>
      </c>
    </row>
    <row r="28882" spans="1:2" x14ac:dyDescent="0.25">
      <c r="A28882" s="2">
        <v>28877</v>
      </c>
      <c r="B28882" s="3" t="str">
        <f>"200811000245"</f>
        <v>200811000245</v>
      </c>
    </row>
    <row r="28883" spans="1:2" x14ac:dyDescent="0.25">
      <c r="A28883" s="2">
        <v>28878</v>
      </c>
      <c r="B28883" s="3" t="str">
        <f>"200811000248"</f>
        <v>200811000248</v>
      </c>
    </row>
    <row r="28884" spans="1:2" x14ac:dyDescent="0.25">
      <c r="A28884" s="2">
        <v>28879</v>
      </c>
      <c r="B28884" s="3" t="str">
        <f>"200811000304"</f>
        <v>200811000304</v>
      </c>
    </row>
    <row r="28885" spans="1:2" x14ac:dyDescent="0.25">
      <c r="A28885" s="2">
        <v>28880</v>
      </c>
      <c r="B28885" s="3" t="str">
        <f>"200811000392"</f>
        <v>200811000392</v>
      </c>
    </row>
    <row r="28886" spans="1:2" x14ac:dyDescent="0.25">
      <c r="A28886" s="2">
        <v>28881</v>
      </c>
      <c r="B28886" s="3" t="str">
        <f>"200811000411"</f>
        <v>200811000411</v>
      </c>
    </row>
    <row r="28887" spans="1:2" x14ac:dyDescent="0.25">
      <c r="A28887" s="2">
        <v>28882</v>
      </c>
      <c r="B28887" s="3" t="str">
        <f>"200811000414"</f>
        <v>200811000414</v>
      </c>
    </row>
    <row r="28888" spans="1:2" x14ac:dyDescent="0.25">
      <c r="A28888" s="2">
        <v>28883</v>
      </c>
      <c r="B28888" s="3" t="str">
        <f>"200811000418"</f>
        <v>200811000418</v>
      </c>
    </row>
    <row r="28889" spans="1:2" x14ac:dyDescent="0.25">
      <c r="A28889" s="2">
        <v>28884</v>
      </c>
      <c r="B28889" s="3" t="str">
        <f>"200811000421"</f>
        <v>200811000421</v>
      </c>
    </row>
    <row r="28890" spans="1:2" x14ac:dyDescent="0.25">
      <c r="A28890" s="2">
        <v>28885</v>
      </c>
      <c r="B28890" s="3" t="str">
        <f>"200811000441"</f>
        <v>200811000441</v>
      </c>
    </row>
    <row r="28891" spans="1:2" x14ac:dyDescent="0.25">
      <c r="A28891" s="2">
        <v>28886</v>
      </c>
      <c r="B28891" s="3" t="str">
        <f>"200811000540"</f>
        <v>200811000540</v>
      </c>
    </row>
    <row r="28892" spans="1:2" x14ac:dyDescent="0.25">
      <c r="A28892" s="2">
        <v>28887</v>
      </c>
      <c r="B28892" s="3" t="str">
        <f>"200811000541"</f>
        <v>200811000541</v>
      </c>
    </row>
    <row r="28893" spans="1:2" x14ac:dyDescent="0.25">
      <c r="A28893" s="2">
        <v>28888</v>
      </c>
      <c r="B28893" s="3" t="str">
        <f>"200811000542"</f>
        <v>200811000542</v>
      </c>
    </row>
    <row r="28894" spans="1:2" x14ac:dyDescent="0.25">
      <c r="A28894" s="2">
        <v>28889</v>
      </c>
      <c r="B28894" s="3" t="str">
        <f>"200811000556"</f>
        <v>200811000556</v>
      </c>
    </row>
    <row r="28895" spans="1:2" x14ac:dyDescent="0.25">
      <c r="A28895" s="2">
        <v>28890</v>
      </c>
      <c r="B28895" s="3" t="str">
        <f>"200811000658"</f>
        <v>200811000658</v>
      </c>
    </row>
    <row r="28896" spans="1:2" x14ac:dyDescent="0.25">
      <c r="A28896" s="2">
        <v>28891</v>
      </c>
      <c r="B28896" s="3" t="str">
        <f>"200811000679"</f>
        <v>200811000679</v>
      </c>
    </row>
    <row r="28897" spans="1:2" x14ac:dyDescent="0.25">
      <c r="A28897" s="2">
        <v>28892</v>
      </c>
      <c r="B28897" s="3" t="str">
        <f>"200811000726"</f>
        <v>200811000726</v>
      </c>
    </row>
    <row r="28898" spans="1:2" x14ac:dyDescent="0.25">
      <c r="A28898" s="2">
        <v>28893</v>
      </c>
      <c r="B28898" s="3" t="str">
        <f>"200811000742"</f>
        <v>200811000742</v>
      </c>
    </row>
    <row r="28899" spans="1:2" x14ac:dyDescent="0.25">
      <c r="A28899" s="2">
        <v>28894</v>
      </c>
      <c r="B28899" s="3" t="str">
        <f>"200811000854"</f>
        <v>200811000854</v>
      </c>
    </row>
    <row r="28900" spans="1:2" x14ac:dyDescent="0.25">
      <c r="A28900" s="2">
        <v>28895</v>
      </c>
      <c r="B28900" s="3" t="str">
        <f>"200811000863"</f>
        <v>200811000863</v>
      </c>
    </row>
    <row r="28901" spans="1:2" x14ac:dyDescent="0.25">
      <c r="A28901" s="2">
        <v>28896</v>
      </c>
      <c r="B28901" s="3" t="str">
        <f>"200811000876"</f>
        <v>200811000876</v>
      </c>
    </row>
    <row r="28902" spans="1:2" x14ac:dyDescent="0.25">
      <c r="A28902" s="2">
        <v>28897</v>
      </c>
      <c r="B28902" s="3" t="str">
        <f>"200811000891"</f>
        <v>200811000891</v>
      </c>
    </row>
    <row r="28903" spans="1:2" x14ac:dyDescent="0.25">
      <c r="A28903" s="2">
        <v>28898</v>
      </c>
      <c r="B28903" s="3" t="str">
        <f>"200811000900"</f>
        <v>200811000900</v>
      </c>
    </row>
    <row r="28904" spans="1:2" x14ac:dyDescent="0.25">
      <c r="A28904" s="2">
        <v>28899</v>
      </c>
      <c r="B28904" s="3" t="str">
        <f>"200811000951"</f>
        <v>200811000951</v>
      </c>
    </row>
    <row r="28905" spans="1:2" x14ac:dyDescent="0.25">
      <c r="A28905" s="2">
        <v>28900</v>
      </c>
      <c r="B28905" s="3" t="str">
        <f>"200811000961"</f>
        <v>200811000961</v>
      </c>
    </row>
    <row r="28906" spans="1:2" x14ac:dyDescent="0.25">
      <c r="A28906" s="2">
        <v>28901</v>
      </c>
      <c r="B28906" s="3" t="str">
        <f>"200811001054"</f>
        <v>200811001054</v>
      </c>
    </row>
    <row r="28907" spans="1:2" x14ac:dyDescent="0.25">
      <c r="A28907" s="2">
        <v>28902</v>
      </c>
      <c r="B28907" s="3" t="str">
        <f>"200811001101"</f>
        <v>200811001101</v>
      </c>
    </row>
    <row r="28908" spans="1:2" x14ac:dyDescent="0.25">
      <c r="A28908" s="2">
        <v>28903</v>
      </c>
      <c r="B28908" s="3" t="str">
        <f>"200811001132"</f>
        <v>200811001132</v>
      </c>
    </row>
    <row r="28909" spans="1:2" x14ac:dyDescent="0.25">
      <c r="A28909" s="2">
        <v>28904</v>
      </c>
      <c r="B28909" s="3" t="str">
        <f>"200811001145"</f>
        <v>200811001145</v>
      </c>
    </row>
    <row r="28910" spans="1:2" x14ac:dyDescent="0.25">
      <c r="A28910" s="2">
        <v>28905</v>
      </c>
      <c r="B28910" s="3" t="str">
        <f>"200811001148"</f>
        <v>200811001148</v>
      </c>
    </row>
    <row r="28911" spans="1:2" x14ac:dyDescent="0.25">
      <c r="A28911" s="2">
        <v>28906</v>
      </c>
      <c r="B28911" s="3" t="str">
        <f>"200811001216"</f>
        <v>200811001216</v>
      </c>
    </row>
    <row r="28912" spans="1:2" x14ac:dyDescent="0.25">
      <c r="A28912" s="2">
        <v>28907</v>
      </c>
      <c r="B28912" s="3" t="str">
        <f>"200811001268"</f>
        <v>200811001268</v>
      </c>
    </row>
    <row r="28913" spans="1:2" x14ac:dyDescent="0.25">
      <c r="A28913" s="2">
        <v>28908</v>
      </c>
      <c r="B28913" s="3" t="str">
        <f>"200811001348"</f>
        <v>200811001348</v>
      </c>
    </row>
    <row r="28914" spans="1:2" x14ac:dyDescent="0.25">
      <c r="A28914" s="2">
        <v>28909</v>
      </c>
      <c r="B28914" s="3" t="str">
        <f>"200811001410"</f>
        <v>200811001410</v>
      </c>
    </row>
    <row r="28915" spans="1:2" x14ac:dyDescent="0.25">
      <c r="A28915" s="2">
        <v>28910</v>
      </c>
      <c r="B28915" s="3" t="str">
        <f>"200811001417"</f>
        <v>200811001417</v>
      </c>
    </row>
    <row r="28916" spans="1:2" x14ac:dyDescent="0.25">
      <c r="A28916" s="2">
        <v>28911</v>
      </c>
      <c r="B28916" s="3" t="str">
        <f>"200811001445"</f>
        <v>200811001445</v>
      </c>
    </row>
    <row r="28917" spans="1:2" x14ac:dyDescent="0.25">
      <c r="A28917" s="2">
        <v>28912</v>
      </c>
      <c r="B28917" s="3" t="str">
        <f>"200811001460"</f>
        <v>200811001460</v>
      </c>
    </row>
    <row r="28918" spans="1:2" x14ac:dyDescent="0.25">
      <c r="A28918" s="2">
        <v>28913</v>
      </c>
      <c r="B28918" s="3" t="str">
        <f>"200811001495"</f>
        <v>200811001495</v>
      </c>
    </row>
    <row r="28919" spans="1:2" x14ac:dyDescent="0.25">
      <c r="A28919" s="2">
        <v>28914</v>
      </c>
      <c r="B28919" s="3" t="str">
        <f>"200811001499"</f>
        <v>200811001499</v>
      </c>
    </row>
    <row r="28920" spans="1:2" x14ac:dyDescent="0.25">
      <c r="A28920" s="2">
        <v>28915</v>
      </c>
      <c r="B28920" s="3" t="str">
        <f>"200811001523"</f>
        <v>200811001523</v>
      </c>
    </row>
    <row r="28921" spans="1:2" x14ac:dyDescent="0.25">
      <c r="A28921" s="2">
        <v>28916</v>
      </c>
      <c r="B28921" s="3" t="str">
        <f>"200811001545"</f>
        <v>200811001545</v>
      </c>
    </row>
    <row r="28922" spans="1:2" x14ac:dyDescent="0.25">
      <c r="A28922" s="2">
        <v>28917</v>
      </c>
      <c r="B28922" s="3" t="str">
        <f>"200811001570"</f>
        <v>200811001570</v>
      </c>
    </row>
    <row r="28923" spans="1:2" x14ac:dyDescent="0.25">
      <c r="A28923" s="2">
        <v>28918</v>
      </c>
      <c r="B28923" s="3" t="str">
        <f>"200811001580"</f>
        <v>200811001580</v>
      </c>
    </row>
    <row r="28924" spans="1:2" x14ac:dyDescent="0.25">
      <c r="A28924" s="2">
        <v>28919</v>
      </c>
      <c r="B28924" s="3" t="str">
        <f>"200811001671"</f>
        <v>200811001671</v>
      </c>
    </row>
    <row r="28925" spans="1:2" x14ac:dyDescent="0.25">
      <c r="A28925" s="2">
        <v>28920</v>
      </c>
      <c r="B28925" s="3" t="str">
        <f>"200811001747"</f>
        <v>200811001747</v>
      </c>
    </row>
    <row r="28926" spans="1:2" x14ac:dyDescent="0.25">
      <c r="A28926" s="2">
        <v>28921</v>
      </c>
      <c r="B28926" s="3" t="str">
        <f>"200811001751"</f>
        <v>200811001751</v>
      </c>
    </row>
    <row r="28927" spans="1:2" x14ac:dyDescent="0.25">
      <c r="A28927" s="2">
        <v>28922</v>
      </c>
      <c r="B28927" s="3" t="str">
        <f>"200811001769"</f>
        <v>200811001769</v>
      </c>
    </row>
    <row r="28928" spans="1:2" x14ac:dyDescent="0.25">
      <c r="A28928" s="2">
        <v>28923</v>
      </c>
      <c r="B28928" s="3" t="str">
        <f>"200811001790"</f>
        <v>200811001790</v>
      </c>
    </row>
    <row r="28929" spans="1:2" x14ac:dyDescent="0.25">
      <c r="A28929" s="2">
        <v>28924</v>
      </c>
      <c r="B28929" s="3" t="str">
        <f>"200812000019"</f>
        <v>200812000019</v>
      </c>
    </row>
    <row r="28930" spans="1:2" x14ac:dyDescent="0.25">
      <c r="A28930" s="2">
        <v>28925</v>
      </c>
      <c r="B28930" s="3" t="str">
        <f>"200812000071"</f>
        <v>200812000071</v>
      </c>
    </row>
    <row r="28931" spans="1:2" x14ac:dyDescent="0.25">
      <c r="A28931" s="2">
        <v>28926</v>
      </c>
      <c r="B28931" s="3" t="str">
        <f>"200812000096"</f>
        <v>200812000096</v>
      </c>
    </row>
    <row r="28932" spans="1:2" x14ac:dyDescent="0.25">
      <c r="A28932" s="2">
        <v>28927</v>
      </c>
      <c r="B28932" s="3" t="str">
        <f>"200812000104"</f>
        <v>200812000104</v>
      </c>
    </row>
    <row r="28933" spans="1:2" x14ac:dyDescent="0.25">
      <c r="A28933" s="2">
        <v>28928</v>
      </c>
      <c r="B28933" s="3" t="str">
        <f>"200812000164"</f>
        <v>200812000164</v>
      </c>
    </row>
    <row r="28934" spans="1:2" x14ac:dyDescent="0.25">
      <c r="A28934" s="2">
        <v>28929</v>
      </c>
      <c r="B28934" s="3" t="str">
        <f>"200812000168"</f>
        <v>200812000168</v>
      </c>
    </row>
    <row r="28935" spans="1:2" x14ac:dyDescent="0.25">
      <c r="A28935" s="2">
        <v>28930</v>
      </c>
      <c r="B28935" s="3" t="str">
        <f>"200812000183"</f>
        <v>200812000183</v>
      </c>
    </row>
    <row r="28936" spans="1:2" x14ac:dyDescent="0.25">
      <c r="A28936" s="2">
        <v>28931</v>
      </c>
      <c r="B28936" s="3" t="str">
        <f>"200812000195"</f>
        <v>200812000195</v>
      </c>
    </row>
    <row r="28937" spans="1:2" x14ac:dyDescent="0.25">
      <c r="A28937" s="2">
        <v>28932</v>
      </c>
      <c r="B28937" s="3" t="str">
        <f>"200812000212"</f>
        <v>200812000212</v>
      </c>
    </row>
    <row r="28938" spans="1:2" x14ac:dyDescent="0.25">
      <c r="A28938" s="2">
        <v>28933</v>
      </c>
      <c r="B28938" s="3" t="str">
        <f>"200812000231"</f>
        <v>200812000231</v>
      </c>
    </row>
    <row r="28939" spans="1:2" x14ac:dyDescent="0.25">
      <c r="A28939" s="2">
        <v>28934</v>
      </c>
      <c r="B28939" s="3" t="str">
        <f>"200812000236"</f>
        <v>200812000236</v>
      </c>
    </row>
    <row r="28940" spans="1:2" x14ac:dyDescent="0.25">
      <c r="A28940" s="2">
        <v>28935</v>
      </c>
      <c r="B28940" s="3" t="str">
        <f>"200812000237"</f>
        <v>200812000237</v>
      </c>
    </row>
    <row r="28941" spans="1:2" x14ac:dyDescent="0.25">
      <c r="A28941" s="2">
        <v>28936</v>
      </c>
      <c r="B28941" s="3" t="str">
        <f>"200812000250"</f>
        <v>200812000250</v>
      </c>
    </row>
    <row r="28942" spans="1:2" x14ac:dyDescent="0.25">
      <c r="A28942" s="2">
        <v>28937</v>
      </c>
      <c r="B28942" s="3" t="str">
        <f>"200812000315"</f>
        <v>200812000315</v>
      </c>
    </row>
    <row r="28943" spans="1:2" x14ac:dyDescent="0.25">
      <c r="A28943" s="2">
        <v>28938</v>
      </c>
      <c r="B28943" s="3" t="str">
        <f>"200812000379"</f>
        <v>200812000379</v>
      </c>
    </row>
    <row r="28944" spans="1:2" x14ac:dyDescent="0.25">
      <c r="A28944" s="2">
        <v>28939</v>
      </c>
      <c r="B28944" s="3" t="str">
        <f>"200812000389"</f>
        <v>200812000389</v>
      </c>
    </row>
    <row r="28945" spans="1:2" x14ac:dyDescent="0.25">
      <c r="A28945" s="2">
        <v>28940</v>
      </c>
      <c r="B28945" s="3" t="str">
        <f>"200812000395"</f>
        <v>200812000395</v>
      </c>
    </row>
    <row r="28946" spans="1:2" x14ac:dyDescent="0.25">
      <c r="A28946" s="2">
        <v>28941</v>
      </c>
      <c r="B28946" s="3" t="str">
        <f>"200812000416"</f>
        <v>200812000416</v>
      </c>
    </row>
    <row r="28947" spans="1:2" x14ac:dyDescent="0.25">
      <c r="A28947" s="2">
        <v>28942</v>
      </c>
      <c r="B28947" s="3" t="str">
        <f>"200812000648"</f>
        <v>200812000648</v>
      </c>
    </row>
    <row r="28948" spans="1:2" x14ac:dyDescent="0.25">
      <c r="A28948" s="2">
        <v>28943</v>
      </c>
      <c r="B28948" s="3" t="str">
        <f>"200812000652"</f>
        <v>200812000652</v>
      </c>
    </row>
    <row r="28949" spans="1:2" x14ac:dyDescent="0.25">
      <c r="A28949" s="2">
        <v>28944</v>
      </c>
      <c r="B28949" s="3" t="str">
        <f>"200812000660"</f>
        <v>200812000660</v>
      </c>
    </row>
    <row r="28950" spans="1:2" x14ac:dyDescent="0.25">
      <c r="A28950" s="2">
        <v>28945</v>
      </c>
      <c r="B28950" s="3" t="str">
        <f>"200812000682"</f>
        <v>200812000682</v>
      </c>
    </row>
    <row r="28951" spans="1:2" x14ac:dyDescent="0.25">
      <c r="A28951" s="2">
        <v>28946</v>
      </c>
      <c r="B28951" s="3" t="str">
        <f>"200812000720"</f>
        <v>200812000720</v>
      </c>
    </row>
    <row r="28952" spans="1:2" x14ac:dyDescent="0.25">
      <c r="A28952" s="2">
        <v>28947</v>
      </c>
      <c r="B28952" s="3" t="str">
        <f>"200812000727"</f>
        <v>200812000727</v>
      </c>
    </row>
    <row r="28953" spans="1:2" x14ac:dyDescent="0.25">
      <c r="A28953" s="2">
        <v>28948</v>
      </c>
      <c r="B28953" s="3" t="str">
        <f>"200812000821"</f>
        <v>200812000821</v>
      </c>
    </row>
    <row r="28954" spans="1:2" x14ac:dyDescent="0.25">
      <c r="A28954" s="2">
        <v>28949</v>
      </c>
      <c r="B28954" s="3" t="str">
        <f>"200812000853"</f>
        <v>200812000853</v>
      </c>
    </row>
    <row r="28955" spans="1:2" x14ac:dyDescent="0.25">
      <c r="A28955" s="2">
        <v>28950</v>
      </c>
      <c r="B28955" s="3" t="str">
        <f>"200812000905"</f>
        <v>200812000905</v>
      </c>
    </row>
    <row r="28956" spans="1:2" x14ac:dyDescent="0.25">
      <c r="A28956" s="2">
        <v>28951</v>
      </c>
      <c r="B28956" s="3" t="str">
        <f>"200812000950"</f>
        <v>200812000950</v>
      </c>
    </row>
    <row r="28957" spans="1:2" x14ac:dyDescent="0.25">
      <c r="A28957" s="2">
        <v>28952</v>
      </c>
      <c r="B28957" s="3" t="str">
        <f>"200812000981"</f>
        <v>200812000981</v>
      </c>
    </row>
    <row r="28958" spans="1:2" x14ac:dyDescent="0.25">
      <c r="A28958" s="2">
        <v>28953</v>
      </c>
      <c r="B28958" s="3" t="str">
        <f>"200812000991"</f>
        <v>200812000991</v>
      </c>
    </row>
    <row r="28959" spans="1:2" x14ac:dyDescent="0.25">
      <c r="A28959" s="2">
        <v>28954</v>
      </c>
      <c r="B28959" s="3" t="str">
        <f>"200812000998"</f>
        <v>200812000998</v>
      </c>
    </row>
    <row r="28960" spans="1:2" x14ac:dyDescent="0.25">
      <c r="A28960" s="2">
        <v>28955</v>
      </c>
      <c r="B28960" s="3" t="str">
        <f>"200812001013"</f>
        <v>200812001013</v>
      </c>
    </row>
    <row r="28961" spans="1:2" x14ac:dyDescent="0.25">
      <c r="A28961" s="2">
        <v>28956</v>
      </c>
      <c r="B28961" s="3" t="str">
        <f>"200812001079"</f>
        <v>200812001079</v>
      </c>
    </row>
    <row r="28962" spans="1:2" x14ac:dyDescent="0.25">
      <c r="A28962" s="2">
        <v>28957</v>
      </c>
      <c r="B28962" s="3" t="str">
        <f>"200901000030"</f>
        <v>200901000030</v>
      </c>
    </row>
    <row r="28963" spans="1:2" x14ac:dyDescent="0.25">
      <c r="A28963" s="2">
        <v>28958</v>
      </c>
      <c r="B28963" s="3" t="str">
        <f>"200901000031"</f>
        <v>200901000031</v>
      </c>
    </row>
    <row r="28964" spans="1:2" x14ac:dyDescent="0.25">
      <c r="A28964" s="2">
        <v>28959</v>
      </c>
      <c r="B28964" s="3" t="str">
        <f>"200901000040"</f>
        <v>200901000040</v>
      </c>
    </row>
    <row r="28965" spans="1:2" x14ac:dyDescent="0.25">
      <c r="A28965" s="2">
        <v>28960</v>
      </c>
      <c r="B28965" s="3" t="str">
        <f>"200901000187"</f>
        <v>200901000187</v>
      </c>
    </row>
    <row r="28966" spans="1:2" x14ac:dyDescent="0.25">
      <c r="A28966" s="2">
        <v>28961</v>
      </c>
      <c r="B28966" s="3" t="str">
        <f>"200901000202"</f>
        <v>200901000202</v>
      </c>
    </row>
    <row r="28967" spans="1:2" x14ac:dyDescent="0.25">
      <c r="A28967" s="2">
        <v>28962</v>
      </c>
      <c r="B28967" s="3" t="str">
        <f>"200901000212"</f>
        <v>200901000212</v>
      </c>
    </row>
    <row r="28968" spans="1:2" x14ac:dyDescent="0.25">
      <c r="A28968" s="2">
        <v>28963</v>
      </c>
      <c r="B28968" s="3" t="str">
        <f>"200901000215"</f>
        <v>200901000215</v>
      </c>
    </row>
    <row r="28969" spans="1:2" x14ac:dyDescent="0.25">
      <c r="A28969" s="2">
        <v>28964</v>
      </c>
      <c r="B28969" s="3" t="str">
        <f>"200901000221"</f>
        <v>200901000221</v>
      </c>
    </row>
    <row r="28970" spans="1:2" x14ac:dyDescent="0.25">
      <c r="A28970" s="2">
        <v>28965</v>
      </c>
      <c r="B28970" s="3" t="str">
        <f>"200901000251"</f>
        <v>200901000251</v>
      </c>
    </row>
    <row r="28971" spans="1:2" x14ac:dyDescent="0.25">
      <c r="A28971" s="2">
        <v>28966</v>
      </c>
      <c r="B28971" s="3" t="str">
        <f>"200901000271"</f>
        <v>200901000271</v>
      </c>
    </row>
    <row r="28972" spans="1:2" x14ac:dyDescent="0.25">
      <c r="A28972" s="2">
        <v>28967</v>
      </c>
      <c r="B28972" s="3" t="str">
        <f>"200901000315"</f>
        <v>200901000315</v>
      </c>
    </row>
    <row r="28973" spans="1:2" x14ac:dyDescent="0.25">
      <c r="A28973" s="2">
        <v>28968</v>
      </c>
      <c r="B28973" s="3" t="str">
        <f>"200901000378"</f>
        <v>200901000378</v>
      </c>
    </row>
    <row r="28974" spans="1:2" x14ac:dyDescent="0.25">
      <c r="A28974" s="2">
        <v>28969</v>
      </c>
      <c r="B28974" s="3" t="str">
        <f>"200901000430"</f>
        <v>200901000430</v>
      </c>
    </row>
    <row r="28975" spans="1:2" x14ac:dyDescent="0.25">
      <c r="A28975" s="2">
        <v>28970</v>
      </c>
      <c r="B28975" s="3" t="str">
        <f>"200901000444"</f>
        <v>200901000444</v>
      </c>
    </row>
    <row r="28976" spans="1:2" x14ac:dyDescent="0.25">
      <c r="A28976" s="2">
        <v>28971</v>
      </c>
      <c r="B28976" s="3" t="str">
        <f>"200901000453"</f>
        <v>200901000453</v>
      </c>
    </row>
    <row r="28977" spans="1:2" x14ac:dyDescent="0.25">
      <c r="A28977" s="2">
        <v>28972</v>
      </c>
      <c r="B28977" s="3" t="str">
        <f>"200901000462"</f>
        <v>200901000462</v>
      </c>
    </row>
    <row r="28978" spans="1:2" x14ac:dyDescent="0.25">
      <c r="A28978" s="2">
        <v>28973</v>
      </c>
      <c r="B28978" s="3" t="str">
        <f>"200901000523"</f>
        <v>200901000523</v>
      </c>
    </row>
    <row r="28979" spans="1:2" x14ac:dyDescent="0.25">
      <c r="A28979" s="2">
        <v>28974</v>
      </c>
      <c r="B28979" s="3" t="str">
        <f>"200901000564"</f>
        <v>200901000564</v>
      </c>
    </row>
    <row r="28980" spans="1:2" x14ac:dyDescent="0.25">
      <c r="A28980" s="2">
        <v>28975</v>
      </c>
      <c r="B28980" s="3" t="str">
        <f>"200901000585"</f>
        <v>200901000585</v>
      </c>
    </row>
    <row r="28981" spans="1:2" x14ac:dyDescent="0.25">
      <c r="A28981" s="2">
        <v>28976</v>
      </c>
      <c r="B28981" s="3" t="str">
        <f>"200901000588"</f>
        <v>200901000588</v>
      </c>
    </row>
    <row r="28982" spans="1:2" x14ac:dyDescent="0.25">
      <c r="A28982" s="2">
        <v>28977</v>
      </c>
      <c r="B28982" s="3" t="str">
        <f>"200901000619"</f>
        <v>200901000619</v>
      </c>
    </row>
    <row r="28983" spans="1:2" x14ac:dyDescent="0.25">
      <c r="A28983" s="2">
        <v>28978</v>
      </c>
      <c r="B28983" s="3" t="str">
        <f>"200901000679"</f>
        <v>200901000679</v>
      </c>
    </row>
    <row r="28984" spans="1:2" x14ac:dyDescent="0.25">
      <c r="A28984" s="2">
        <v>28979</v>
      </c>
      <c r="B28984" s="3" t="str">
        <f>"200901000784"</f>
        <v>200901000784</v>
      </c>
    </row>
    <row r="28985" spans="1:2" x14ac:dyDescent="0.25">
      <c r="A28985" s="2">
        <v>28980</v>
      </c>
      <c r="B28985" s="3" t="str">
        <f>"200901000855"</f>
        <v>200901000855</v>
      </c>
    </row>
    <row r="28986" spans="1:2" x14ac:dyDescent="0.25">
      <c r="A28986" s="2">
        <v>28981</v>
      </c>
      <c r="B28986" s="3" t="str">
        <f>"200901000867"</f>
        <v>200901000867</v>
      </c>
    </row>
    <row r="28987" spans="1:2" x14ac:dyDescent="0.25">
      <c r="A28987" s="2">
        <v>28982</v>
      </c>
      <c r="B28987" s="3" t="str">
        <f>"200901000976"</f>
        <v>200901000976</v>
      </c>
    </row>
    <row r="28988" spans="1:2" x14ac:dyDescent="0.25">
      <c r="A28988" s="2">
        <v>28983</v>
      </c>
      <c r="B28988" s="3" t="str">
        <f>"200901000996"</f>
        <v>200901000996</v>
      </c>
    </row>
    <row r="28989" spans="1:2" x14ac:dyDescent="0.25">
      <c r="A28989" s="2">
        <v>28984</v>
      </c>
      <c r="B28989" s="3" t="str">
        <f>"200901001010"</f>
        <v>200901001010</v>
      </c>
    </row>
    <row r="28990" spans="1:2" x14ac:dyDescent="0.25">
      <c r="A28990" s="2">
        <v>28985</v>
      </c>
      <c r="B28990" s="3" t="str">
        <f>"200901001075"</f>
        <v>200901001075</v>
      </c>
    </row>
    <row r="28991" spans="1:2" x14ac:dyDescent="0.25">
      <c r="A28991" s="2">
        <v>28986</v>
      </c>
      <c r="B28991" s="3" t="str">
        <f>"200902000016"</f>
        <v>200902000016</v>
      </c>
    </row>
    <row r="28992" spans="1:2" x14ac:dyDescent="0.25">
      <c r="A28992" s="2">
        <v>28987</v>
      </c>
      <c r="B28992" s="3" t="str">
        <f>"200902000040"</f>
        <v>200902000040</v>
      </c>
    </row>
    <row r="28993" spans="1:2" x14ac:dyDescent="0.25">
      <c r="A28993" s="2">
        <v>28988</v>
      </c>
      <c r="B28993" s="3" t="str">
        <f>"200902000164"</f>
        <v>200902000164</v>
      </c>
    </row>
    <row r="28994" spans="1:2" x14ac:dyDescent="0.25">
      <c r="A28994" s="2">
        <v>28989</v>
      </c>
      <c r="B28994" s="3" t="str">
        <f>"200902000179"</f>
        <v>200902000179</v>
      </c>
    </row>
    <row r="28995" spans="1:2" x14ac:dyDescent="0.25">
      <c r="A28995" s="2">
        <v>28990</v>
      </c>
      <c r="B28995" s="3" t="str">
        <f>"200902000213"</f>
        <v>200902000213</v>
      </c>
    </row>
    <row r="28996" spans="1:2" x14ac:dyDescent="0.25">
      <c r="A28996" s="2">
        <v>28991</v>
      </c>
      <c r="B28996" s="3" t="str">
        <f>"200902000215"</f>
        <v>200902000215</v>
      </c>
    </row>
    <row r="28997" spans="1:2" x14ac:dyDescent="0.25">
      <c r="A28997" s="2">
        <v>28992</v>
      </c>
      <c r="B28997" s="3" t="str">
        <f>"200902000226"</f>
        <v>200902000226</v>
      </c>
    </row>
    <row r="28998" spans="1:2" x14ac:dyDescent="0.25">
      <c r="A28998" s="2">
        <v>28993</v>
      </c>
      <c r="B28998" s="3" t="str">
        <f>"200902000280"</f>
        <v>200902000280</v>
      </c>
    </row>
    <row r="28999" spans="1:2" x14ac:dyDescent="0.25">
      <c r="A28999" s="2">
        <v>28994</v>
      </c>
      <c r="B28999" s="3" t="str">
        <f>"200902000293"</f>
        <v>200902000293</v>
      </c>
    </row>
    <row r="29000" spans="1:2" x14ac:dyDescent="0.25">
      <c r="A29000" s="2">
        <v>28995</v>
      </c>
      <c r="B29000" s="3" t="str">
        <f>"200902000322"</f>
        <v>200902000322</v>
      </c>
    </row>
    <row r="29001" spans="1:2" x14ac:dyDescent="0.25">
      <c r="A29001" s="2">
        <v>28996</v>
      </c>
      <c r="B29001" s="3" t="str">
        <f>"200902000329"</f>
        <v>200902000329</v>
      </c>
    </row>
    <row r="29002" spans="1:2" x14ac:dyDescent="0.25">
      <c r="A29002" s="2">
        <v>28997</v>
      </c>
      <c r="B29002" s="3" t="str">
        <f>"200902000351"</f>
        <v>200902000351</v>
      </c>
    </row>
    <row r="29003" spans="1:2" x14ac:dyDescent="0.25">
      <c r="A29003" s="2">
        <v>28998</v>
      </c>
      <c r="B29003" s="3" t="str">
        <f>"200902000355"</f>
        <v>200902000355</v>
      </c>
    </row>
    <row r="29004" spans="1:2" x14ac:dyDescent="0.25">
      <c r="A29004" s="2">
        <v>28999</v>
      </c>
      <c r="B29004" s="3" t="str">
        <f>"200902000361"</f>
        <v>200902000361</v>
      </c>
    </row>
    <row r="29005" spans="1:2" x14ac:dyDescent="0.25">
      <c r="A29005" s="2">
        <v>29000</v>
      </c>
      <c r="B29005" s="3" t="str">
        <f>"200902000447"</f>
        <v>200902000447</v>
      </c>
    </row>
    <row r="29006" spans="1:2" x14ac:dyDescent="0.25">
      <c r="A29006" s="2">
        <v>29001</v>
      </c>
      <c r="B29006" s="3" t="str">
        <f>"200902000460"</f>
        <v>200902000460</v>
      </c>
    </row>
    <row r="29007" spans="1:2" x14ac:dyDescent="0.25">
      <c r="A29007" s="2">
        <v>29002</v>
      </c>
      <c r="B29007" s="3" t="str">
        <f>"200902000499"</f>
        <v>200902000499</v>
      </c>
    </row>
    <row r="29008" spans="1:2" x14ac:dyDescent="0.25">
      <c r="A29008" s="2">
        <v>29003</v>
      </c>
      <c r="B29008" s="3" t="str">
        <f>"200902000514"</f>
        <v>200902000514</v>
      </c>
    </row>
    <row r="29009" spans="1:2" x14ac:dyDescent="0.25">
      <c r="A29009" s="2">
        <v>29004</v>
      </c>
      <c r="B29009" s="3" t="str">
        <f>"200902000573"</f>
        <v>200902000573</v>
      </c>
    </row>
    <row r="29010" spans="1:2" x14ac:dyDescent="0.25">
      <c r="A29010" s="2">
        <v>29005</v>
      </c>
      <c r="B29010" s="3" t="str">
        <f>"200902000610"</f>
        <v>200902000610</v>
      </c>
    </row>
    <row r="29011" spans="1:2" x14ac:dyDescent="0.25">
      <c r="A29011" s="2">
        <v>29006</v>
      </c>
      <c r="B29011" s="3" t="str">
        <f>"200902000630"</f>
        <v>200902000630</v>
      </c>
    </row>
    <row r="29012" spans="1:2" x14ac:dyDescent="0.25">
      <c r="A29012" s="2">
        <v>29007</v>
      </c>
      <c r="B29012" s="3" t="str">
        <f>"200902000636"</f>
        <v>200902000636</v>
      </c>
    </row>
    <row r="29013" spans="1:2" x14ac:dyDescent="0.25">
      <c r="A29013" s="2">
        <v>29008</v>
      </c>
      <c r="B29013" s="3" t="str">
        <f>"200902000676"</f>
        <v>200902000676</v>
      </c>
    </row>
    <row r="29014" spans="1:2" x14ac:dyDescent="0.25">
      <c r="A29014" s="2">
        <v>29009</v>
      </c>
      <c r="B29014" s="3" t="str">
        <f>"200902000716"</f>
        <v>200902000716</v>
      </c>
    </row>
    <row r="29015" spans="1:2" x14ac:dyDescent="0.25">
      <c r="A29015" s="2">
        <v>29010</v>
      </c>
      <c r="B29015" s="3" t="str">
        <f>"200902000745"</f>
        <v>200902000745</v>
      </c>
    </row>
    <row r="29016" spans="1:2" x14ac:dyDescent="0.25">
      <c r="A29016" s="2">
        <v>29011</v>
      </c>
      <c r="B29016" s="3" t="str">
        <f>"200902000751"</f>
        <v>200902000751</v>
      </c>
    </row>
    <row r="29017" spans="1:2" x14ac:dyDescent="0.25">
      <c r="A29017" s="2">
        <v>29012</v>
      </c>
      <c r="B29017" s="3" t="str">
        <f>"200902000753"</f>
        <v>200902000753</v>
      </c>
    </row>
    <row r="29018" spans="1:2" x14ac:dyDescent="0.25">
      <c r="A29018" s="2">
        <v>29013</v>
      </c>
      <c r="B29018" s="3" t="str">
        <f>"200903000008"</f>
        <v>200903000008</v>
      </c>
    </row>
    <row r="29019" spans="1:2" x14ac:dyDescent="0.25">
      <c r="A29019" s="2">
        <v>29014</v>
      </c>
      <c r="B29019" s="3" t="str">
        <f>"200903000033"</f>
        <v>200903000033</v>
      </c>
    </row>
    <row r="29020" spans="1:2" x14ac:dyDescent="0.25">
      <c r="A29020" s="2">
        <v>29015</v>
      </c>
      <c r="B29020" s="3" t="str">
        <f>"200903000079"</f>
        <v>200903000079</v>
      </c>
    </row>
    <row r="29021" spans="1:2" x14ac:dyDescent="0.25">
      <c r="A29021" s="2">
        <v>29016</v>
      </c>
      <c r="B29021" s="3" t="str">
        <f>"200903000121"</f>
        <v>200903000121</v>
      </c>
    </row>
    <row r="29022" spans="1:2" x14ac:dyDescent="0.25">
      <c r="A29022" s="2">
        <v>29017</v>
      </c>
      <c r="B29022" s="3" t="str">
        <f>"200903000129"</f>
        <v>200903000129</v>
      </c>
    </row>
    <row r="29023" spans="1:2" x14ac:dyDescent="0.25">
      <c r="A29023" s="2">
        <v>29018</v>
      </c>
      <c r="B29023" s="3" t="str">
        <f>"200903000215"</f>
        <v>200903000215</v>
      </c>
    </row>
    <row r="29024" spans="1:2" x14ac:dyDescent="0.25">
      <c r="A29024" s="2">
        <v>29019</v>
      </c>
      <c r="B29024" s="3" t="str">
        <f>"200903000245"</f>
        <v>200903000245</v>
      </c>
    </row>
    <row r="29025" spans="1:2" x14ac:dyDescent="0.25">
      <c r="A29025" s="2">
        <v>29020</v>
      </c>
      <c r="B29025" s="3" t="str">
        <f>"200903000282"</f>
        <v>200903000282</v>
      </c>
    </row>
    <row r="29026" spans="1:2" x14ac:dyDescent="0.25">
      <c r="A29026" s="2">
        <v>29021</v>
      </c>
      <c r="B29026" s="3" t="str">
        <f>"200903000284"</f>
        <v>200903000284</v>
      </c>
    </row>
    <row r="29027" spans="1:2" x14ac:dyDescent="0.25">
      <c r="A29027" s="2">
        <v>29022</v>
      </c>
      <c r="B29027" s="3" t="str">
        <f>"200903000292"</f>
        <v>200903000292</v>
      </c>
    </row>
    <row r="29028" spans="1:2" x14ac:dyDescent="0.25">
      <c r="A29028" s="2">
        <v>29023</v>
      </c>
      <c r="B29028" s="3" t="str">
        <f>"200903000322"</f>
        <v>200903000322</v>
      </c>
    </row>
    <row r="29029" spans="1:2" x14ac:dyDescent="0.25">
      <c r="A29029" s="2">
        <v>29024</v>
      </c>
      <c r="B29029" s="3" t="str">
        <f>"200903000341"</f>
        <v>200903000341</v>
      </c>
    </row>
    <row r="29030" spans="1:2" x14ac:dyDescent="0.25">
      <c r="A29030" s="2">
        <v>29025</v>
      </c>
      <c r="B29030" s="3" t="str">
        <f>"200903000376"</f>
        <v>200903000376</v>
      </c>
    </row>
    <row r="29031" spans="1:2" x14ac:dyDescent="0.25">
      <c r="A29031" s="2">
        <v>29026</v>
      </c>
      <c r="B29031" s="3" t="str">
        <f>"200903000470"</f>
        <v>200903000470</v>
      </c>
    </row>
    <row r="29032" spans="1:2" x14ac:dyDescent="0.25">
      <c r="A29032" s="2">
        <v>29027</v>
      </c>
      <c r="B29032" s="3" t="str">
        <f>"200903000480"</f>
        <v>200903000480</v>
      </c>
    </row>
    <row r="29033" spans="1:2" x14ac:dyDescent="0.25">
      <c r="A29033" s="2">
        <v>29028</v>
      </c>
      <c r="B29033" s="3" t="str">
        <f>"200903000511"</f>
        <v>200903000511</v>
      </c>
    </row>
    <row r="29034" spans="1:2" x14ac:dyDescent="0.25">
      <c r="A29034" s="2">
        <v>29029</v>
      </c>
      <c r="B29034" s="3" t="str">
        <f>"200903000556"</f>
        <v>200903000556</v>
      </c>
    </row>
    <row r="29035" spans="1:2" x14ac:dyDescent="0.25">
      <c r="A29035" s="2">
        <v>29030</v>
      </c>
      <c r="B29035" s="3" t="str">
        <f>"200903000607"</f>
        <v>200903000607</v>
      </c>
    </row>
    <row r="29036" spans="1:2" x14ac:dyDescent="0.25">
      <c r="A29036" s="2">
        <v>29031</v>
      </c>
      <c r="B29036" s="3" t="str">
        <f>"200903000619"</f>
        <v>200903000619</v>
      </c>
    </row>
    <row r="29037" spans="1:2" x14ac:dyDescent="0.25">
      <c r="A29037" s="2">
        <v>29032</v>
      </c>
      <c r="B29037" s="3" t="str">
        <f>"200903000626"</f>
        <v>200903000626</v>
      </c>
    </row>
    <row r="29038" spans="1:2" x14ac:dyDescent="0.25">
      <c r="A29038" s="2">
        <v>29033</v>
      </c>
      <c r="B29038" s="3" t="str">
        <f>"200903000737"</f>
        <v>200903000737</v>
      </c>
    </row>
    <row r="29039" spans="1:2" x14ac:dyDescent="0.25">
      <c r="A29039" s="2">
        <v>29034</v>
      </c>
      <c r="B29039" s="3" t="str">
        <f>"200903000744"</f>
        <v>200903000744</v>
      </c>
    </row>
    <row r="29040" spans="1:2" x14ac:dyDescent="0.25">
      <c r="A29040" s="2">
        <v>29035</v>
      </c>
      <c r="B29040" s="3" t="str">
        <f>"200903000769"</f>
        <v>200903000769</v>
      </c>
    </row>
    <row r="29041" spans="1:2" x14ac:dyDescent="0.25">
      <c r="A29041" s="2">
        <v>29036</v>
      </c>
      <c r="B29041" s="3" t="str">
        <f>"200903000799"</f>
        <v>200903000799</v>
      </c>
    </row>
    <row r="29042" spans="1:2" x14ac:dyDescent="0.25">
      <c r="A29042" s="2">
        <v>29037</v>
      </c>
      <c r="B29042" s="3" t="str">
        <f>"200903000816"</f>
        <v>200903000816</v>
      </c>
    </row>
    <row r="29043" spans="1:2" x14ac:dyDescent="0.25">
      <c r="A29043" s="2">
        <v>29038</v>
      </c>
      <c r="B29043" s="3" t="str">
        <f>"200904000031"</f>
        <v>200904000031</v>
      </c>
    </row>
    <row r="29044" spans="1:2" x14ac:dyDescent="0.25">
      <c r="A29044" s="2">
        <v>29039</v>
      </c>
      <c r="B29044" s="3" t="str">
        <f>"200904000036"</f>
        <v>200904000036</v>
      </c>
    </row>
    <row r="29045" spans="1:2" x14ac:dyDescent="0.25">
      <c r="A29045" s="2">
        <v>29040</v>
      </c>
      <c r="B29045" s="3" t="str">
        <f>"200904000121"</f>
        <v>200904000121</v>
      </c>
    </row>
    <row r="29046" spans="1:2" x14ac:dyDescent="0.25">
      <c r="A29046" s="2">
        <v>29041</v>
      </c>
      <c r="B29046" s="3" t="str">
        <f>"200904000132"</f>
        <v>200904000132</v>
      </c>
    </row>
    <row r="29047" spans="1:2" x14ac:dyDescent="0.25">
      <c r="A29047" s="2">
        <v>29042</v>
      </c>
      <c r="B29047" s="3" t="str">
        <f>"200904000208"</f>
        <v>200904000208</v>
      </c>
    </row>
    <row r="29048" spans="1:2" x14ac:dyDescent="0.25">
      <c r="A29048" s="2">
        <v>29043</v>
      </c>
      <c r="B29048" s="3" t="str">
        <f>"200904000233"</f>
        <v>200904000233</v>
      </c>
    </row>
    <row r="29049" spans="1:2" x14ac:dyDescent="0.25">
      <c r="A29049" s="2">
        <v>29044</v>
      </c>
      <c r="B29049" s="3" t="str">
        <f>"200904000241"</f>
        <v>200904000241</v>
      </c>
    </row>
    <row r="29050" spans="1:2" x14ac:dyDescent="0.25">
      <c r="A29050" s="2">
        <v>29045</v>
      </c>
      <c r="B29050" s="3" t="str">
        <f>"200904000255"</f>
        <v>200904000255</v>
      </c>
    </row>
    <row r="29051" spans="1:2" x14ac:dyDescent="0.25">
      <c r="A29051" s="2">
        <v>29046</v>
      </c>
      <c r="B29051" s="3" t="str">
        <f>"200904000258"</f>
        <v>200904000258</v>
      </c>
    </row>
    <row r="29052" spans="1:2" x14ac:dyDescent="0.25">
      <c r="A29052" s="2">
        <v>29047</v>
      </c>
      <c r="B29052" s="3" t="str">
        <f>"200904000268"</f>
        <v>200904000268</v>
      </c>
    </row>
    <row r="29053" spans="1:2" x14ac:dyDescent="0.25">
      <c r="A29053" s="2">
        <v>29048</v>
      </c>
      <c r="B29053" s="3" t="str">
        <f>"200904000278"</f>
        <v>200904000278</v>
      </c>
    </row>
    <row r="29054" spans="1:2" x14ac:dyDescent="0.25">
      <c r="A29054" s="2">
        <v>29049</v>
      </c>
      <c r="B29054" s="3" t="str">
        <f>"200904000280"</f>
        <v>200904000280</v>
      </c>
    </row>
    <row r="29055" spans="1:2" x14ac:dyDescent="0.25">
      <c r="A29055" s="2">
        <v>29050</v>
      </c>
      <c r="B29055" s="3" t="str">
        <f>"200904000331"</f>
        <v>200904000331</v>
      </c>
    </row>
    <row r="29056" spans="1:2" x14ac:dyDescent="0.25">
      <c r="A29056" s="2">
        <v>29051</v>
      </c>
      <c r="B29056" s="3" t="str">
        <f>"200904000368"</f>
        <v>200904000368</v>
      </c>
    </row>
    <row r="29057" spans="1:2" x14ac:dyDescent="0.25">
      <c r="A29057" s="2">
        <v>29052</v>
      </c>
      <c r="B29057" s="3" t="str">
        <f>"200904000403"</f>
        <v>200904000403</v>
      </c>
    </row>
    <row r="29058" spans="1:2" x14ac:dyDescent="0.25">
      <c r="A29058" s="2">
        <v>29053</v>
      </c>
      <c r="B29058" s="3" t="str">
        <f>"200904000409"</f>
        <v>200904000409</v>
      </c>
    </row>
    <row r="29059" spans="1:2" x14ac:dyDescent="0.25">
      <c r="A29059" s="2">
        <v>29054</v>
      </c>
      <c r="B29059" s="3" t="str">
        <f>"200904000415"</f>
        <v>200904000415</v>
      </c>
    </row>
    <row r="29060" spans="1:2" x14ac:dyDescent="0.25">
      <c r="A29060" s="2">
        <v>29055</v>
      </c>
      <c r="B29060" s="3" t="str">
        <f>"200904000448"</f>
        <v>200904000448</v>
      </c>
    </row>
    <row r="29061" spans="1:2" x14ac:dyDescent="0.25">
      <c r="A29061" s="2">
        <v>29056</v>
      </c>
      <c r="B29061" s="3" t="str">
        <f>"200904000466"</f>
        <v>200904000466</v>
      </c>
    </row>
    <row r="29062" spans="1:2" x14ac:dyDescent="0.25">
      <c r="A29062" s="2">
        <v>29057</v>
      </c>
      <c r="B29062" s="3" t="str">
        <f>"200904000516"</f>
        <v>200904000516</v>
      </c>
    </row>
    <row r="29063" spans="1:2" x14ac:dyDescent="0.25">
      <c r="A29063" s="2">
        <v>29058</v>
      </c>
      <c r="B29063" s="3" t="str">
        <f>"200904000541"</f>
        <v>200904000541</v>
      </c>
    </row>
    <row r="29064" spans="1:2" x14ac:dyDescent="0.25">
      <c r="A29064" s="2">
        <v>29059</v>
      </c>
      <c r="B29064" s="3" t="str">
        <f>"200904000546"</f>
        <v>200904000546</v>
      </c>
    </row>
    <row r="29065" spans="1:2" x14ac:dyDescent="0.25">
      <c r="A29065" s="2">
        <v>29060</v>
      </c>
      <c r="B29065" s="3" t="str">
        <f>"200904000547"</f>
        <v>200904000547</v>
      </c>
    </row>
    <row r="29066" spans="1:2" x14ac:dyDescent="0.25">
      <c r="A29066" s="2">
        <v>29061</v>
      </c>
      <c r="B29066" s="3" t="str">
        <f>"200905000007"</f>
        <v>200905000007</v>
      </c>
    </row>
    <row r="29067" spans="1:2" x14ac:dyDescent="0.25">
      <c r="A29067" s="2">
        <v>29062</v>
      </c>
      <c r="B29067" s="3" t="str">
        <f>"200905000009"</f>
        <v>200905000009</v>
      </c>
    </row>
    <row r="29068" spans="1:2" x14ac:dyDescent="0.25">
      <c r="A29068" s="2">
        <v>29063</v>
      </c>
      <c r="B29068" s="3" t="str">
        <f>"200905000072"</f>
        <v>200905000072</v>
      </c>
    </row>
    <row r="29069" spans="1:2" x14ac:dyDescent="0.25">
      <c r="A29069" s="2">
        <v>29064</v>
      </c>
      <c r="B29069" s="3" t="str">
        <f>"200905000098"</f>
        <v>200905000098</v>
      </c>
    </row>
    <row r="29070" spans="1:2" x14ac:dyDescent="0.25">
      <c r="A29070" s="2">
        <v>29065</v>
      </c>
      <c r="B29070" s="3" t="str">
        <f>"200905000154"</f>
        <v>200905000154</v>
      </c>
    </row>
    <row r="29071" spans="1:2" x14ac:dyDescent="0.25">
      <c r="A29071" s="2">
        <v>29066</v>
      </c>
      <c r="B29071" s="3" t="str">
        <f>"200905000247"</f>
        <v>200905000247</v>
      </c>
    </row>
    <row r="29072" spans="1:2" x14ac:dyDescent="0.25">
      <c r="A29072" s="2">
        <v>29067</v>
      </c>
      <c r="B29072" s="3" t="str">
        <f>"200905000273"</f>
        <v>200905000273</v>
      </c>
    </row>
    <row r="29073" spans="1:2" x14ac:dyDescent="0.25">
      <c r="A29073" s="2">
        <v>29068</v>
      </c>
      <c r="B29073" s="3" t="str">
        <f>"200905000280"</f>
        <v>200905000280</v>
      </c>
    </row>
    <row r="29074" spans="1:2" x14ac:dyDescent="0.25">
      <c r="A29074" s="2">
        <v>29069</v>
      </c>
      <c r="B29074" s="3" t="str">
        <f>"200905000328"</f>
        <v>200905000328</v>
      </c>
    </row>
    <row r="29075" spans="1:2" x14ac:dyDescent="0.25">
      <c r="A29075" s="2">
        <v>29070</v>
      </c>
      <c r="B29075" s="3" t="str">
        <f>"200905000405"</f>
        <v>200905000405</v>
      </c>
    </row>
    <row r="29076" spans="1:2" x14ac:dyDescent="0.25">
      <c r="A29076" s="2">
        <v>29071</v>
      </c>
      <c r="B29076" s="3" t="str">
        <f>"200905000472"</f>
        <v>200905000472</v>
      </c>
    </row>
    <row r="29077" spans="1:2" x14ac:dyDescent="0.25">
      <c r="A29077" s="2">
        <v>29072</v>
      </c>
      <c r="B29077" s="3" t="str">
        <f>"200905000491"</f>
        <v>200905000491</v>
      </c>
    </row>
    <row r="29078" spans="1:2" x14ac:dyDescent="0.25">
      <c r="A29078" s="2">
        <v>29073</v>
      </c>
      <c r="B29078" s="3" t="str">
        <f>"200905000531"</f>
        <v>200905000531</v>
      </c>
    </row>
    <row r="29079" spans="1:2" x14ac:dyDescent="0.25">
      <c r="A29079" s="2">
        <v>29074</v>
      </c>
      <c r="B29079" s="3" t="str">
        <f>"200905000554"</f>
        <v>200905000554</v>
      </c>
    </row>
    <row r="29080" spans="1:2" x14ac:dyDescent="0.25">
      <c r="A29080" s="2">
        <v>29075</v>
      </c>
      <c r="B29080" s="3" t="str">
        <f>"200905000555"</f>
        <v>200905000555</v>
      </c>
    </row>
    <row r="29081" spans="1:2" x14ac:dyDescent="0.25">
      <c r="A29081" s="2">
        <v>29076</v>
      </c>
      <c r="B29081" s="3" t="str">
        <f>"200905000591"</f>
        <v>200905000591</v>
      </c>
    </row>
    <row r="29082" spans="1:2" x14ac:dyDescent="0.25">
      <c r="A29082" s="2">
        <v>29077</v>
      </c>
      <c r="B29082" s="3" t="str">
        <f>"200905000667"</f>
        <v>200905000667</v>
      </c>
    </row>
    <row r="29083" spans="1:2" x14ac:dyDescent="0.25">
      <c r="A29083" s="2">
        <v>29078</v>
      </c>
      <c r="B29083" s="3" t="str">
        <f>"200905000670"</f>
        <v>200905000670</v>
      </c>
    </row>
    <row r="29084" spans="1:2" x14ac:dyDescent="0.25">
      <c r="A29084" s="2">
        <v>29079</v>
      </c>
      <c r="B29084" s="3" t="str">
        <f>"200905000672"</f>
        <v>200905000672</v>
      </c>
    </row>
    <row r="29085" spans="1:2" x14ac:dyDescent="0.25">
      <c r="A29085" s="2">
        <v>29080</v>
      </c>
      <c r="B29085" s="3" t="str">
        <f>"200906000011"</f>
        <v>200906000011</v>
      </c>
    </row>
    <row r="29086" spans="1:2" x14ac:dyDescent="0.25">
      <c r="A29086" s="2">
        <v>29081</v>
      </c>
      <c r="B29086" s="3" t="str">
        <f>"200906000042"</f>
        <v>200906000042</v>
      </c>
    </row>
    <row r="29087" spans="1:2" x14ac:dyDescent="0.25">
      <c r="A29087" s="2">
        <v>29082</v>
      </c>
      <c r="B29087" s="3" t="str">
        <f>"200906000097"</f>
        <v>200906000097</v>
      </c>
    </row>
    <row r="29088" spans="1:2" x14ac:dyDescent="0.25">
      <c r="A29088" s="2">
        <v>29083</v>
      </c>
      <c r="B29088" s="3" t="str">
        <f>"200906000107"</f>
        <v>200906000107</v>
      </c>
    </row>
    <row r="29089" spans="1:2" x14ac:dyDescent="0.25">
      <c r="A29089" s="2">
        <v>29084</v>
      </c>
      <c r="B29089" s="3" t="str">
        <f>"200906000109"</f>
        <v>200906000109</v>
      </c>
    </row>
    <row r="29090" spans="1:2" x14ac:dyDescent="0.25">
      <c r="A29090" s="2">
        <v>29085</v>
      </c>
      <c r="B29090" s="3" t="str">
        <f>"200906000173"</f>
        <v>200906000173</v>
      </c>
    </row>
    <row r="29091" spans="1:2" x14ac:dyDescent="0.25">
      <c r="A29091" s="2">
        <v>29086</v>
      </c>
      <c r="B29091" s="3" t="str">
        <f>"200906000195"</f>
        <v>200906000195</v>
      </c>
    </row>
    <row r="29092" spans="1:2" x14ac:dyDescent="0.25">
      <c r="A29092" s="2">
        <v>29087</v>
      </c>
      <c r="B29092" s="3" t="str">
        <f>"200906000215"</f>
        <v>200906000215</v>
      </c>
    </row>
    <row r="29093" spans="1:2" x14ac:dyDescent="0.25">
      <c r="A29093" s="2">
        <v>29088</v>
      </c>
      <c r="B29093" s="3" t="str">
        <f>"200906000253"</f>
        <v>200906000253</v>
      </c>
    </row>
    <row r="29094" spans="1:2" x14ac:dyDescent="0.25">
      <c r="A29094" s="2">
        <v>29089</v>
      </c>
      <c r="B29094" s="3" t="str">
        <f>"200906000267"</f>
        <v>200906000267</v>
      </c>
    </row>
    <row r="29095" spans="1:2" x14ac:dyDescent="0.25">
      <c r="A29095" s="2">
        <v>29090</v>
      </c>
      <c r="B29095" s="3" t="str">
        <f>"200906000288"</f>
        <v>200906000288</v>
      </c>
    </row>
    <row r="29096" spans="1:2" x14ac:dyDescent="0.25">
      <c r="A29096" s="2">
        <v>29091</v>
      </c>
      <c r="B29096" s="3" t="str">
        <f>"200906000290"</f>
        <v>200906000290</v>
      </c>
    </row>
    <row r="29097" spans="1:2" x14ac:dyDescent="0.25">
      <c r="A29097" s="2">
        <v>29092</v>
      </c>
      <c r="B29097" s="3" t="str">
        <f>"200906000329"</f>
        <v>200906000329</v>
      </c>
    </row>
    <row r="29098" spans="1:2" x14ac:dyDescent="0.25">
      <c r="A29098" s="2">
        <v>29093</v>
      </c>
      <c r="B29098" s="3" t="str">
        <f>"200906000339"</f>
        <v>200906000339</v>
      </c>
    </row>
    <row r="29099" spans="1:2" x14ac:dyDescent="0.25">
      <c r="A29099" s="2">
        <v>29094</v>
      </c>
      <c r="B29099" s="3" t="str">
        <f>"200906000368"</f>
        <v>200906000368</v>
      </c>
    </row>
    <row r="29100" spans="1:2" x14ac:dyDescent="0.25">
      <c r="A29100" s="2">
        <v>29095</v>
      </c>
      <c r="B29100" s="3" t="str">
        <f>"200906000369"</f>
        <v>200906000369</v>
      </c>
    </row>
    <row r="29101" spans="1:2" x14ac:dyDescent="0.25">
      <c r="A29101" s="2">
        <v>29096</v>
      </c>
      <c r="B29101" s="3" t="str">
        <f>"200906000371"</f>
        <v>200906000371</v>
      </c>
    </row>
    <row r="29102" spans="1:2" x14ac:dyDescent="0.25">
      <c r="A29102" s="2">
        <v>29097</v>
      </c>
      <c r="B29102" s="3" t="str">
        <f>"200906000402"</f>
        <v>200906000402</v>
      </c>
    </row>
    <row r="29103" spans="1:2" x14ac:dyDescent="0.25">
      <c r="A29103" s="2">
        <v>29098</v>
      </c>
      <c r="B29103" s="3" t="str">
        <f>"200906000430"</f>
        <v>200906000430</v>
      </c>
    </row>
    <row r="29104" spans="1:2" x14ac:dyDescent="0.25">
      <c r="A29104" s="2">
        <v>29099</v>
      </c>
      <c r="B29104" s="3" t="str">
        <f>"200906000432"</f>
        <v>200906000432</v>
      </c>
    </row>
    <row r="29105" spans="1:2" x14ac:dyDescent="0.25">
      <c r="A29105" s="2">
        <v>29100</v>
      </c>
      <c r="B29105" s="3" t="str">
        <f>"200906000514"</f>
        <v>200906000514</v>
      </c>
    </row>
    <row r="29106" spans="1:2" x14ac:dyDescent="0.25">
      <c r="A29106" s="2">
        <v>29101</v>
      </c>
      <c r="B29106" s="3" t="str">
        <f>"200906000535"</f>
        <v>200906000535</v>
      </c>
    </row>
    <row r="29107" spans="1:2" x14ac:dyDescent="0.25">
      <c r="A29107" s="2">
        <v>29102</v>
      </c>
      <c r="B29107" s="3" t="str">
        <f>"200906000552"</f>
        <v>200906000552</v>
      </c>
    </row>
    <row r="29108" spans="1:2" x14ac:dyDescent="0.25">
      <c r="A29108" s="2">
        <v>29103</v>
      </c>
      <c r="B29108" s="3" t="str">
        <f>"200906000654"</f>
        <v>200906000654</v>
      </c>
    </row>
    <row r="29109" spans="1:2" x14ac:dyDescent="0.25">
      <c r="A29109" s="2">
        <v>29104</v>
      </c>
      <c r="B29109" s="3" t="str">
        <f>"200906000663"</f>
        <v>200906000663</v>
      </c>
    </row>
    <row r="29110" spans="1:2" x14ac:dyDescent="0.25">
      <c r="A29110" s="2">
        <v>29105</v>
      </c>
      <c r="B29110" s="3" t="str">
        <f>"200906000680"</f>
        <v>200906000680</v>
      </c>
    </row>
    <row r="29111" spans="1:2" x14ac:dyDescent="0.25">
      <c r="A29111" s="2">
        <v>29106</v>
      </c>
      <c r="B29111" s="3" t="str">
        <f>"200907000048"</f>
        <v>200907000048</v>
      </c>
    </row>
    <row r="29112" spans="1:2" x14ac:dyDescent="0.25">
      <c r="A29112" s="2">
        <v>29107</v>
      </c>
      <c r="B29112" s="3" t="str">
        <f>"200907000077"</f>
        <v>200907000077</v>
      </c>
    </row>
    <row r="29113" spans="1:2" x14ac:dyDescent="0.25">
      <c r="A29113" s="2">
        <v>29108</v>
      </c>
      <c r="B29113" s="3" t="str">
        <f>"200907000100"</f>
        <v>200907000100</v>
      </c>
    </row>
    <row r="29114" spans="1:2" x14ac:dyDescent="0.25">
      <c r="A29114" s="2">
        <v>29109</v>
      </c>
      <c r="B29114" s="3" t="str">
        <f>"200907000106"</f>
        <v>200907000106</v>
      </c>
    </row>
    <row r="29115" spans="1:2" x14ac:dyDescent="0.25">
      <c r="A29115" s="2">
        <v>29110</v>
      </c>
      <c r="B29115" s="3" t="str">
        <f>"200907000111"</f>
        <v>200907000111</v>
      </c>
    </row>
    <row r="29116" spans="1:2" x14ac:dyDescent="0.25">
      <c r="A29116" s="2">
        <v>29111</v>
      </c>
      <c r="B29116" s="3" t="str">
        <f>"200907000129"</f>
        <v>200907000129</v>
      </c>
    </row>
    <row r="29117" spans="1:2" x14ac:dyDescent="0.25">
      <c r="A29117" s="2">
        <v>29112</v>
      </c>
      <c r="B29117" s="3" t="str">
        <f>"200907000137"</f>
        <v>200907000137</v>
      </c>
    </row>
    <row r="29118" spans="1:2" x14ac:dyDescent="0.25">
      <c r="A29118" s="2">
        <v>29113</v>
      </c>
      <c r="B29118" s="3" t="str">
        <f>"200907000188"</f>
        <v>200907000188</v>
      </c>
    </row>
    <row r="29119" spans="1:2" x14ac:dyDescent="0.25">
      <c r="A29119" s="2">
        <v>29114</v>
      </c>
      <c r="B29119" s="3" t="str">
        <f>"200907000206"</f>
        <v>200907000206</v>
      </c>
    </row>
    <row r="29120" spans="1:2" x14ac:dyDescent="0.25">
      <c r="A29120" s="2">
        <v>29115</v>
      </c>
      <c r="B29120" s="3" t="str">
        <f>"200907000222"</f>
        <v>200907000222</v>
      </c>
    </row>
    <row r="29121" spans="1:2" x14ac:dyDescent="0.25">
      <c r="A29121" s="2">
        <v>29116</v>
      </c>
      <c r="B29121" s="3" t="str">
        <f>"200907000265"</f>
        <v>200907000265</v>
      </c>
    </row>
    <row r="29122" spans="1:2" x14ac:dyDescent="0.25">
      <c r="A29122" s="2">
        <v>29117</v>
      </c>
      <c r="B29122" s="3" t="str">
        <f>"200907000395"</f>
        <v>200907000395</v>
      </c>
    </row>
    <row r="29123" spans="1:2" x14ac:dyDescent="0.25">
      <c r="A29123" s="2">
        <v>29118</v>
      </c>
      <c r="B29123" s="3" t="str">
        <f>"200907000430"</f>
        <v>200907000430</v>
      </c>
    </row>
    <row r="29124" spans="1:2" x14ac:dyDescent="0.25">
      <c r="A29124" s="2">
        <v>29119</v>
      </c>
      <c r="B29124" s="3" t="str">
        <f>"200907000435"</f>
        <v>200907000435</v>
      </c>
    </row>
    <row r="29125" spans="1:2" x14ac:dyDescent="0.25">
      <c r="A29125" s="2">
        <v>29120</v>
      </c>
      <c r="B29125" s="3" t="str">
        <f>"200907000488"</f>
        <v>200907000488</v>
      </c>
    </row>
    <row r="29126" spans="1:2" x14ac:dyDescent="0.25">
      <c r="A29126" s="2">
        <v>29121</v>
      </c>
      <c r="B29126" s="3" t="str">
        <f>"200907000489"</f>
        <v>200907000489</v>
      </c>
    </row>
    <row r="29127" spans="1:2" x14ac:dyDescent="0.25">
      <c r="A29127" s="2">
        <v>29122</v>
      </c>
      <c r="B29127" s="3" t="str">
        <f>"200907000497"</f>
        <v>200907000497</v>
      </c>
    </row>
    <row r="29128" spans="1:2" x14ac:dyDescent="0.25">
      <c r="A29128" s="2">
        <v>29123</v>
      </c>
      <c r="B29128" s="3" t="str">
        <f>"200907000505"</f>
        <v>200907000505</v>
      </c>
    </row>
    <row r="29129" spans="1:2" x14ac:dyDescent="0.25">
      <c r="A29129" s="2">
        <v>29124</v>
      </c>
      <c r="B29129" s="3" t="str">
        <f>"200907000513"</f>
        <v>200907000513</v>
      </c>
    </row>
    <row r="29130" spans="1:2" x14ac:dyDescent="0.25">
      <c r="A29130" s="2">
        <v>29125</v>
      </c>
      <c r="B29130" s="3" t="str">
        <f>"200907000520"</f>
        <v>200907000520</v>
      </c>
    </row>
    <row r="29131" spans="1:2" x14ac:dyDescent="0.25">
      <c r="A29131" s="2">
        <v>29126</v>
      </c>
      <c r="B29131" s="3" t="str">
        <f>"200908000006"</f>
        <v>200908000006</v>
      </c>
    </row>
    <row r="29132" spans="1:2" x14ac:dyDescent="0.25">
      <c r="A29132" s="2">
        <v>29127</v>
      </c>
      <c r="B29132" s="3" t="str">
        <f>"200908000025"</f>
        <v>200908000025</v>
      </c>
    </row>
    <row r="29133" spans="1:2" x14ac:dyDescent="0.25">
      <c r="A29133" s="2">
        <v>29128</v>
      </c>
      <c r="B29133" s="3" t="str">
        <f>"200908000044"</f>
        <v>200908000044</v>
      </c>
    </row>
    <row r="29134" spans="1:2" x14ac:dyDescent="0.25">
      <c r="A29134" s="2">
        <v>29129</v>
      </c>
      <c r="B29134" s="3" t="str">
        <f>"200908000068"</f>
        <v>200908000068</v>
      </c>
    </row>
    <row r="29135" spans="1:2" x14ac:dyDescent="0.25">
      <c r="A29135" s="2">
        <v>29130</v>
      </c>
      <c r="B29135" s="3" t="str">
        <f>"200908000100"</f>
        <v>200908000100</v>
      </c>
    </row>
    <row r="29136" spans="1:2" x14ac:dyDescent="0.25">
      <c r="A29136" s="2">
        <v>29131</v>
      </c>
      <c r="B29136" s="3" t="str">
        <f>"200908000169"</f>
        <v>200908000169</v>
      </c>
    </row>
    <row r="29137" spans="1:2" x14ac:dyDescent="0.25">
      <c r="A29137" s="2">
        <v>29132</v>
      </c>
      <c r="B29137" s="3" t="str">
        <f>"200908000248"</f>
        <v>200908000248</v>
      </c>
    </row>
    <row r="29138" spans="1:2" x14ac:dyDescent="0.25">
      <c r="A29138" s="2">
        <v>29133</v>
      </c>
      <c r="B29138" s="3" t="str">
        <f>"200908000259"</f>
        <v>200908000259</v>
      </c>
    </row>
    <row r="29139" spans="1:2" x14ac:dyDescent="0.25">
      <c r="A29139" s="2">
        <v>29134</v>
      </c>
      <c r="B29139" s="3" t="str">
        <f>"200908000262"</f>
        <v>200908000262</v>
      </c>
    </row>
    <row r="29140" spans="1:2" x14ac:dyDescent="0.25">
      <c r="A29140" s="2">
        <v>29135</v>
      </c>
      <c r="B29140" s="3" t="str">
        <f>"200908000277"</f>
        <v>200908000277</v>
      </c>
    </row>
    <row r="29141" spans="1:2" x14ac:dyDescent="0.25">
      <c r="A29141" s="2">
        <v>29136</v>
      </c>
      <c r="B29141" s="3" t="str">
        <f>"200908000280"</f>
        <v>200908000280</v>
      </c>
    </row>
    <row r="29142" spans="1:2" x14ac:dyDescent="0.25">
      <c r="A29142" s="2">
        <v>29137</v>
      </c>
      <c r="B29142" s="3" t="str">
        <f>"200908000313"</f>
        <v>200908000313</v>
      </c>
    </row>
    <row r="29143" spans="1:2" x14ac:dyDescent="0.25">
      <c r="A29143" s="2">
        <v>29138</v>
      </c>
      <c r="B29143" s="3" t="str">
        <f>"200908000398"</f>
        <v>200908000398</v>
      </c>
    </row>
    <row r="29144" spans="1:2" x14ac:dyDescent="0.25">
      <c r="A29144" s="2">
        <v>29139</v>
      </c>
      <c r="B29144" s="3" t="str">
        <f>"200908000430"</f>
        <v>200908000430</v>
      </c>
    </row>
    <row r="29145" spans="1:2" x14ac:dyDescent="0.25">
      <c r="A29145" s="2">
        <v>29140</v>
      </c>
      <c r="B29145" s="3" t="str">
        <f>"200908000461"</f>
        <v>200908000461</v>
      </c>
    </row>
    <row r="29146" spans="1:2" x14ac:dyDescent="0.25">
      <c r="A29146" s="2">
        <v>29141</v>
      </c>
      <c r="B29146" s="3" t="str">
        <f>"200909000028"</f>
        <v>200909000028</v>
      </c>
    </row>
    <row r="29147" spans="1:2" x14ac:dyDescent="0.25">
      <c r="A29147" s="2">
        <v>29142</v>
      </c>
      <c r="B29147" s="3" t="str">
        <f>"200909000036"</f>
        <v>200909000036</v>
      </c>
    </row>
    <row r="29148" spans="1:2" x14ac:dyDescent="0.25">
      <c r="A29148" s="2">
        <v>29143</v>
      </c>
      <c r="B29148" s="3" t="str">
        <f>"200909000059"</f>
        <v>200909000059</v>
      </c>
    </row>
    <row r="29149" spans="1:2" x14ac:dyDescent="0.25">
      <c r="A29149" s="2">
        <v>29144</v>
      </c>
      <c r="B29149" s="3" t="str">
        <f>"200909000092"</f>
        <v>200909000092</v>
      </c>
    </row>
    <row r="29150" spans="1:2" x14ac:dyDescent="0.25">
      <c r="A29150" s="2">
        <v>29145</v>
      </c>
      <c r="B29150" s="3" t="str">
        <f>"200909000176"</f>
        <v>200909000176</v>
      </c>
    </row>
    <row r="29151" spans="1:2" x14ac:dyDescent="0.25">
      <c r="A29151" s="2">
        <v>29146</v>
      </c>
      <c r="B29151" s="3" t="str">
        <f>"200909000247"</f>
        <v>200909000247</v>
      </c>
    </row>
    <row r="29152" spans="1:2" x14ac:dyDescent="0.25">
      <c r="A29152" s="2">
        <v>29147</v>
      </c>
      <c r="B29152" s="3" t="str">
        <f>"200909000271"</f>
        <v>200909000271</v>
      </c>
    </row>
    <row r="29153" spans="1:2" x14ac:dyDescent="0.25">
      <c r="A29153" s="2">
        <v>29148</v>
      </c>
      <c r="B29153" s="3" t="str">
        <f>"200909000325"</f>
        <v>200909000325</v>
      </c>
    </row>
    <row r="29154" spans="1:2" x14ac:dyDescent="0.25">
      <c r="A29154" s="2">
        <v>29149</v>
      </c>
      <c r="B29154" s="3" t="str">
        <f>"200910000096"</f>
        <v>200910000096</v>
      </c>
    </row>
    <row r="29155" spans="1:2" x14ac:dyDescent="0.25">
      <c r="A29155" s="2">
        <v>29150</v>
      </c>
      <c r="B29155" s="3" t="str">
        <f>"200910000166"</f>
        <v>200910000166</v>
      </c>
    </row>
    <row r="29156" spans="1:2" x14ac:dyDescent="0.25">
      <c r="A29156" s="2">
        <v>29151</v>
      </c>
      <c r="B29156" s="3" t="str">
        <f>"200910000175"</f>
        <v>200910000175</v>
      </c>
    </row>
    <row r="29157" spans="1:2" x14ac:dyDescent="0.25">
      <c r="A29157" s="2">
        <v>29152</v>
      </c>
      <c r="B29157" s="3" t="str">
        <f>"200910000310"</f>
        <v>200910000310</v>
      </c>
    </row>
    <row r="29158" spans="1:2" x14ac:dyDescent="0.25">
      <c r="A29158" s="2">
        <v>29153</v>
      </c>
      <c r="B29158" s="3" t="str">
        <f>"200910000375"</f>
        <v>200910000375</v>
      </c>
    </row>
    <row r="29159" spans="1:2" x14ac:dyDescent="0.25">
      <c r="A29159" s="2">
        <v>29154</v>
      </c>
      <c r="B29159" s="3" t="str">
        <f>"200910000376"</f>
        <v>200910000376</v>
      </c>
    </row>
    <row r="29160" spans="1:2" x14ac:dyDescent="0.25">
      <c r="A29160" s="2">
        <v>29155</v>
      </c>
      <c r="B29160" s="3" t="str">
        <f>"200910000425"</f>
        <v>200910000425</v>
      </c>
    </row>
    <row r="29161" spans="1:2" x14ac:dyDescent="0.25">
      <c r="A29161" s="2">
        <v>29156</v>
      </c>
      <c r="B29161" s="3" t="str">
        <f>"200910000479"</f>
        <v>200910000479</v>
      </c>
    </row>
    <row r="29162" spans="1:2" x14ac:dyDescent="0.25">
      <c r="A29162" s="2">
        <v>29157</v>
      </c>
      <c r="B29162" s="3" t="str">
        <f>"200910000500"</f>
        <v>200910000500</v>
      </c>
    </row>
    <row r="29163" spans="1:2" x14ac:dyDescent="0.25">
      <c r="A29163" s="2">
        <v>29158</v>
      </c>
      <c r="B29163" s="3" t="str">
        <f>"200910000579"</f>
        <v>200910000579</v>
      </c>
    </row>
    <row r="29164" spans="1:2" x14ac:dyDescent="0.25">
      <c r="A29164" s="2">
        <v>29159</v>
      </c>
      <c r="B29164" s="3" t="str">
        <f>"200910000587"</f>
        <v>200910000587</v>
      </c>
    </row>
    <row r="29165" spans="1:2" x14ac:dyDescent="0.25">
      <c r="A29165" s="2">
        <v>29160</v>
      </c>
      <c r="B29165" s="3" t="str">
        <f>"200910000637"</f>
        <v>200910000637</v>
      </c>
    </row>
    <row r="29166" spans="1:2" x14ac:dyDescent="0.25">
      <c r="A29166" s="2">
        <v>29161</v>
      </c>
      <c r="B29166" s="3" t="str">
        <f>"200910000647"</f>
        <v>200910000647</v>
      </c>
    </row>
    <row r="29167" spans="1:2" x14ac:dyDescent="0.25">
      <c r="A29167" s="2">
        <v>29162</v>
      </c>
      <c r="B29167" s="3" t="str">
        <f>"200910000651"</f>
        <v>200910000651</v>
      </c>
    </row>
    <row r="29168" spans="1:2" x14ac:dyDescent="0.25">
      <c r="A29168" s="2">
        <v>29163</v>
      </c>
      <c r="B29168" s="3" t="str">
        <f>"200910000661"</f>
        <v>200910000661</v>
      </c>
    </row>
    <row r="29169" spans="1:2" x14ac:dyDescent="0.25">
      <c r="A29169" s="2">
        <v>29164</v>
      </c>
      <c r="B29169" s="3" t="str">
        <f>"200910000706"</f>
        <v>200910000706</v>
      </c>
    </row>
    <row r="29170" spans="1:2" x14ac:dyDescent="0.25">
      <c r="A29170" s="2">
        <v>29165</v>
      </c>
      <c r="B29170" s="3" t="str">
        <f>"200910000709"</f>
        <v>200910000709</v>
      </c>
    </row>
    <row r="29171" spans="1:2" x14ac:dyDescent="0.25">
      <c r="A29171" s="2">
        <v>29166</v>
      </c>
      <c r="B29171" s="3" t="str">
        <f>"200910000716"</f>
        <v>200910000716</v>
      </c>
    </row>
    <row r="29172" spans="1:2" x14ac:dyDescent="0.25">
      <c r="A29172" s="2">
        <v>29167</v>
      </c>
      <c r="B29172" s="3" t="str">
        <f>"200910000733"</f>
        <v>200910000733</v>
      </c>
    </row>
    <row r="29173" spans="1:2" x14ac:dyDescent="0.25">
      <c r="A29173" s="2">
        <v>29168</v>
      </c>
      <c r="B29173" s="3" t="str">
        <f>"200910000796"</f>
        <v>200910000796</v>
      </c>
    </row>
    <row r="29174" spans="1:2" x14ac:dyDescent="0.25">
      <c r="A29174" s="2">
        <v>29169</v>
      </c>
      <c r="B29174" s="3" t="str">
        <f>"200910000847"</f>
        <v>200910000847</v>
      </c>
    </row>
    <row r="29175" spans="1:2" x14ac:dyDescent="0.25">
      <c r="A29175" s="2">
        <v>29170</v>
      </c>
      <c r="B29175" s="3" t="str">
        <f>"200910000876"</f>
        <v>200910000876</v>
      </c>
    </row>
    <row r="29176" spans="1:2" x14ac:dyDescent="0.25">
      <c r="A29176" s="2">
        <v>29171</v>
      </c>
      <c r="B29176" s="3" t="str">
        <f>"200910000882"</f>
        <v>200910000882</v>
      </c>
    </row>
    <row r="29177" spans="1:2" x14ac:dyDescent="0.25">
      <c r="A29177" s="2">
        <v>29172</v>
      </c>
      <c r="B29177" s="3" t="str">
        <f>"200911000020"</f>
        <v>200911000020</v>
      </c>
    </row>
    <row r="29178" spans="1:2" x14ac:dyDescent="0.25">
      <c r="A29178" s="2">
        <v>29173</v>
      </c>
      <c r="B29178" s="3" t="str">
        <f>"200911000054"</f>
        <v>200911000054</v>
      </c>
    </row>
    <row r="29179" spans="1:2" x14ac:dyDescent="0.25">
      <c r="A29179" s="2">
        <v>29174</v>
      </c>
      <c r="B29179" s="3" t="str">
        <f>"200911000088"</f>
        <v>200911000088</v>
      </c>
    </row>
    <row r="29180" spans="1:2" x14ac:dyDescent="0.25">
      <c r="A29180" s="2">
        <v>29175</v>
      </c>
      <c r="B29180" s="3" t="str">
        <f>"200911000096"</f>
        <v>200911000096</v>
      </c>
    </row>
    <row r="29181" spans="1:2" x14ac:dyDescent="0.25">
      <c r="A29181" s="2">
        <v>29176</v>
      </c>
      <c r="B29181" s="3" t="str">
        <f>"200911000167"</f>
        <v>200911000167</v>
      </c>
    </row>
    <row r="29182" spans="1:2" x14ac:dyDescent="0.25">
      <c r="A29182" s="2">
        <v>29177</v>
      </c>
      <c r="B29182" s="3" t="str">
        <f>"200911000288"</f>
        <v>200911000288</v>
      </c>
    </row>
    <row r="29183" spans="1:2" x14ac:dyDescent="0.25">
      <c r="A29183" s="2">
        <v>29178</v>
      </c>
      <c r="B29183" s="3" t="str">
        <f>"200911000353"</f>
        <v>200911000353</v>
      </c>
    </row>
    <row r="29184" spans="1:2" x14ac:dyDescent="0.25">
      <c r="A29184" s="2">
        <v>29179</v>
      </c>
      <c r="B29184" s="3" t="str">
        <f>"200911000355"</f>
        <v>200911000355</v>
      </c>
    </row>
    <row r="29185" spans="1:2" x14ac:dyDescent="0.25">
      <c r="A29185" s="2">
        <v>29180</v>
      </c>
      <c r="B29185" s="3" t="str">
        <f>"200911000376"</f>
        <v>200911000376</v>
      </c>
    </row>
    <row r="29186" spans="1:2" x14ac:dyDescent="0.25">
      <c r="A29186" s="2">
        <v>29181</v>
      </c>
      <c r="B29186" s="3" t="str">
        <f>"200911000444"</f>
        <v>200911000444</v>
      </c>
    </row>
    <row r="29187" spans="1:2" x14ac:dyDescent="0.25">
      <c r="A29187" s="2">
        <v>29182</v>
      </c>
      <c r="B29187" s="3" t="str">
        <f>"200911000483"</f>
        <v>200911000483</v>
      </c>
    </row>
    <row r="29188" spans="1:2" x14ac:dyDescent="0.25">
      <c r="A29188" s="2">
        <v>29183</v>
      </c>
      <c r="B29188" s="3" t="str">
        <f>"200911000493"</f>
        <v>200911000493</v>
      </c>
    </row>
    <row r="29189" spans="1:2" x14ac:dyDescent="0.25">
      <c r="A29189" s="2">
        <v>29184</v>
      </c>
      <c r="B29189" s="3" t="str">
        <f>"200911000523"</f>
        <v>200911000523</v>
      </c>
    </row>
    <row r="29190" spans="1:2" x14ac:dyDescent="0.25">
      <c r="A29190" s="2">
        <v>29185</v>
      </c>
      <c r="B29190" s="3" t="str">
        <f>"200911000544"</f>
        <v>200911000544</v>
      </c>
    </row>
    <row r="29191" spans="1:2" x14ac:dyDescent="0.25">
      <c r="A29191" s="2">
        <v>29186</v>
      </c>
      <c r="B29191" s="3" t="str">
        <f>"200911000573"</f>
        <v>200911000573</v>
      </c>
    </row>
    <row r="29192" spans="1:2" x14ac:dyDescent="0.25">
      <c r="A29192" s="2">
        <v>29187</v>
      </c>
      <c r="B29192" s="3" t="str">
        <f>"200911000602"</f>
        <v>200911000602</v>
      </c>
    </row>
    <row r="29193" spans="1:2" x14ac:dyDescent="0.25">
      <c r="A29193" s="2">
        <v>29188</v>
      </c>
      <c r="B29193" s="3" t="str">
        <f>"200911000603"</f>
        <v>200911000603</v>
      </c>
    </row>
    <row r="29194" spans="1:2" x14ac:dyDescent="0.25">
      <c r="A29194" s="2">
        <v>29189</v>
      </c>
      <c r="B29194" s="3" t="str">
        <f>"200912000072"</f>
        <v>200912000072</v>
      </c>
    </row>
    <row r="29195" spans="1:2" x14ac:dyDescent="0.25">
      <c r="A29195" s="2">
        <v>29190</v>
      </c>
      <c r="B29195" s="3" t="str">
        <f>"200912000074"</f>
        <v>200912000074</v>
      </c>
    </row>
    <row r="29196" spans="1:2" x14ac:dyDescent="0.25">
      <c r="A29196" s="2">
        <v>29191</v>
      </c>
      <c r="B29196" s="3" t="str">
        <f>"200912000087"</f>
        <v>200912000087</v>
      </c>
    </row>
    <row r="29197" spans="1:2" x14ac:dyDescent="0.25">
      <c r="A29197" s="2">
        <v>29192</v>
      </c>
      <c r="B29197" s="3" t="str">
        <f>"200912000181"</f>
        <v>200912000181</v>
      </c>
    </row>
    <row r="29198" spans="1:2" x14ac:dyDescent="0.25">
      <c r="A29198" s="2">
        <v>29193</v>
      </c>
      <c r="B29198" s="3" t="str">
        <f>"200912000189"</f>
        <v>200912000189</v>
      </c>
    </row>
    <row r="29199" spans="1:2" x14ac:dyDescent="0.25">
      <c r="A29199" s="2">
        <v>29194</v>
      </c>
      <c r="B29199" s="3" t="str">
        <f>"200912000204"</f>
        <v>200912000204</v>
      </c>
    </row>
    <row r="29200" spans="1:2" x14ac:dyDescent="0.25">
      <c r="A29200" s="2">
        <v>29195</v>
      </c>
      <c r="B29200" s="3" t="str">
        <f>"200912000241"</f>
        <v>200912000241</v>
      </c>
    </row>
    <row r="29201" spans="1:2" x14ac:dyDescent="0.25">
      <c r="A29201" s="2">
        <v>29196</v>
      </c>
      <c r="B29201" s="3" t="str">
        <f>"200912000272"</f>
        <v>200912000272</v>
      </c>
    </row>
    <row r="29202" spans="1:2" x14ac:dyDescent="0.25">
      <c r="A29202" s="2">
        <v>29197</v>
      </c>
      <c r="B29202" s="3" t="str">
        <f>"200912000300"</f>
        <v>200912000300</v>
      </c>
    </row>
    <row r="29203" spans="1:2" x14ac:dyDescent="0.25">
      <c r="A29203" s="2">
        <v>29198</v>
      </c>
      <c r="B29203" s="3" t="str">
        <f>"201001000074"</f>
        <v>201001000074</v>
      </c>
    </row>
    <row r="29204" spans="1:2" x14ac:dyDescent="0.25">
      <c r="A29204" s="2">
        <v>29199</v>
      </c>
      <c r="B29204" s="3" t="str">
        <f>"201001000076"</f>
        <v>201001000076</v>
      </c>
    </row>
    <row r="29205" spans="1:2" x14ac:dyDescent="0.25">
      <c r="A29205" s="2">
        <v>29200</v>
      </c>
      <c r="B29205" s="3" t="str">
        <f>"201001000098"</f>
        <v>201001000098</v>
      </c>
    </row>
    <row r="29206" spans="1:2" x14ac:dyDescent="0.25">
      <c r="A29206" s="2">
        <v>29201</v>
      </c>
      <c r="B29206" s="3" t="str">
        <f>"201001000141"</f>
        <v>201001000141</v>
      </c>
    </row>
    <row r="29207" spans="1:2" x14ac:dyDescent="0.25">
      <c r="A29207" s="2">
        <v>29202</v>
      </c>
      <c r="B29207" s="3" t="str">
        <f>"201001000184"</f>
        <v>201001000184</v>
      </c>
    </row>
    <row r="29208" spans="1:2" x14ac:dyDescent="0.25">
      <c r="A29208" s="2">
        <v>29203</v>
      </c>
      <c r="B29208" s="3" t="str">
        <f>"201001000241"</f>
        <v>201001000241</v>
      </c>
    </row>
    <row r="29209" spans="1:2" x14ac:dyDescent="0.25">
      <c r="A29209" s="2">
        <v>29204</v>
      </c>
      <c r="B29209" s="3" t="str">
        <f>"201001000281"</f>
        <v>201001000281</v>
      </c>
    </row>
    <row r="29210" spans="1:2" x14ac:dyDescent="0.25">
      <c r="A29210" s="2">
        <v>29205</v>
      </c>
      <c r="B29210" s="3" t="str">
        <f>"201001000289"</f>
        <v>201001000289</v>
      </c>
    </row>
    <row r="29211" spans="1:2" x14ac:dyDescent="0.25">
      <c r="A29211" s="2">
        <v>29206</v>
      </c>
      <c r="B29211" s="3" t="str">
        <f>"201001000298"</f>
        <v>201001000298</v>
      </c>
    </row>
    <row r="29212" spans="1:2" x14ac:dyDescent="0.25">
      <c r="A29212" s="2">
        <v>29207</v>
      </c>
      <c r="B29212" s="3" t="str">
        <f>"201001000322"</f>
        <v>201001000322</v>
      </c>
    </row>
    <row r="29213" spans="1:2" x14ac:dyDescent="0.25">
      <c r="A29213" s="2">
        <v>29208</v>
      </c>
      <c r="B29213" s="3" t="str">
        <f>"201001000349"</f>
        <v>201001000349</v>
      </c>
    </row>
    <row r="29214" spans="1:2" x14ac:dyDescent="0.25">
      <c r="A29214" s="2">
        <v>29209</v>
      </c>
      <c r="B29214" s="3" t="str">
        <f>"201001000432"</f>
        <v>201001000432</v>
      </c>
    </row>
    <row r="29215" spans="1:2" x14ac:dyDescent="0.25">
      <c r="A29215" s="2">
        <v>29210</v>
      </c>
      <c r="B29215" s="3" t="str">
        <f>"201001000438"</f>
        <v>201001000438</v>
      </c>
    </row>
    <row r="29216" spans="1:2" x14ac:dyDescent="0.25">
      <c r="A29216" s="2">
        <v>29211</v>
      </c>
      <c r="B29216" s="3" t="str">
        <f>"201001000515"</f>
        <v>201001000515</v>
      </c>
    </row>
    <row r="29217" spans="1:2" x14ac:dyDescent="0.25">
      <c r="A29217" s="2">
        <v>29212</v>
      </c>
      <c r="B29217" s="3" t="str">
        <f>"201001000525"</f>
        <v>201001000525</v>
      </c>
    </row>
    <row r="29218" spans="1:2" x14ac:dyDescent="0.25">
      <c r="A29218" s="2">
        <v>29213</v>
      </c>
      <c r="B29218" s="3" t="str">
        <f>"201001000559"</f>
        <v>201001000559</v>
      </c>
    </row>
    <row r="29219" spans="1:2" x14ac:dyDescent="0.25">
      <c r="A29219" s="2">
        <v>29214</v>
      </c>
      <c r="B29219" s="3" t="str">
        <f>"201002000058"</f>
        <v>201002000058</v>
      </c>
    </row>
    <row r="29220" spans="1:2" x14ac:dyDescent="0.25">
      <c r="A29220" s="2">
        <v>29215</v>
      </c>
      <c r="B29220" s="3" t="str">
        <f>"201002000064"</f>
        <v>201002000064</v>
      </c>
    </row>
    <row r="29221" spans="1:2" x14ac:dyDescent="0.25">
      <c r="A29221" s="2">
        <v>29216</v>
      </c>
      <c r="B29221" s="3" t="str">
        <f>"201002000189"</f>
        <v>201002000189</v>
      </c>
    </row>
    <row r="29222" spans="1:2" x14ac:dyDescent="0.25">
      <c r="A29222" s="2">
        <v>29217</v>
      </c>
      <c r="B29222" s="3" t="str">
        <f>"201002000216"</f>
        <v>201002000216</v>
      </c>
    </row>
    <row r="29223" spans="1:2" x14ac:dyDescent="0.25">
      <c r="A29223" s="2">
        <v>29218</v>
      </c>
      <c r="B29223" s="3" t="str">
        <f>"201002000231"</f>
        <v>201002000231</v>
      </c>
    </row>
    <row r="29224" spans="1:2" x14ac:dyDescent="0.25">
      <c r="A29224" s="2">
        <v>29219</v>
      </c>
      <c r="B29224" s="3" t="str">
        <f>"201002000264"</f>
        <v>201002000264</v>
      </c>
    </row>
    <row r="29225" spans="1:2" x14ac:dyDescent="0.25">
      <c r="A29225" s="2">
        <v>29220</v>
      </c>
      <c r="B29225" s="3" t="str">
        <f>"201002000281"</f>
        <v>201002000281</v>
      </c>
    </row>
    <row r="29226" spans="1:2" x14ac:dyDescent="0.25">
      <c r="A29226" s="2">
        <v>29221</v>
      </c>
      <c r="B29226" s="3" t="str">
        <f>"201002000287"</f>
        <v>201002000287</v>
      </c>
    </row>
    <row r="29227" spans="1:2" x14ac:dyDescent="0.25">
      <c r="A29227" s="2">
        <v>29222</v>
      </c>
      <c r="B29227" s="3" t="str">
        <f>"201002000364"</f>
        <v>201002000364</v>
      </c>
    </row>
    <row r="29228" spans="1:2" x14ac:dyDescent="0.25">
      <c r="A29228" s="2">
        <v>29223</v>
      </c>
      <c r="B29228" s="3" t="str">
        <f>"201002000374"</f>
        <v>201002000374</v>
      </c>
    </row>
    <row r="29229" spans="1:2" x14ac:dyDescent="0.25">
      <c r="A29229" s="2">
        <v>29224</v>
      </c>
      <c r="B29229" s="3" t="str">
        <f>"201002000375"</f>
        <v>201002000375</v>
      </c>
    </row>
    <row r="29230" spans="1:2" x14ac:dyDescent="0.25">
      <c r="A29230" s="2">
        <v>29225</v>
      </c>
      <c r="B29230" s="3" t="str">
        <f>"201003000021"</f>
        <v>201003000021</v>
      </c>
    </row>
    <row r="29231" spans="1:2" x14ac:dyDescent="0.25">
      <c r="A29231" s="2">
        <v>29226</v>
      </c>
      <c r="B29231" s="3" t="str">
        <f>"201003000084"</f>
        <v>201003000084</v>
      </c>
    </row>
    <row r="29232" spans="1:2" x14ac:dyDescent="0.25">
      <c r="A29232" s="2">
        <v>29227</v>
      </c>
      <c r="B29232" s="3" t="str">
        <f>"201003000135"</f>
        <v>201003000135</v>
      </c>
    </row>
    <row r="29233" spans="1:2" x14ac:dyDescent="0.25">
      <c r="A29233" s="2">
        <v>29228</v>
      </c>
      <c r="B29233" s="3" t="str">
        <f>"201003000183"</f>
        <v>201003000183</v>
      </c>
    </row>
    <row r="29234" spans="1:2" x14ac:dyDescent="0.25">
      <c r="A29234" s="2">
        <v>29229</v>
      </c>
      <c r="B29234" s="3" t="str">
        <f>"201004000076"</f>
        <v>201004000076</v>
      </c>
    </row>
    <row r="29235" spans="1:2" x14ac:dyDescent="0.25">
      <c r="A29235" s="2">
        <v>29230</v>
      </c>
      <c r="B29235" s="3" t="str">
        <f>"201004000099"</f>
        <v>201004000099</v>
      </c>
    </row>
    <row r="29236" spans="1:2" x14ac:dyDescent="0.25">
      <c r="A29236" s="2">
        <v>29231</v>
      </c>
      <c r="B29236" s="3" t="str">
        <f>"201004000113"</f>
        <v>201004000113</v>
      </c>
    </row>
    <row r="29237" spans="1:2" x14ac:dyDescent="0.25">
      <c r="A29237" s="2">
        <v>29232</v>
      </c>
      <c r="B29237" s="3" t="str">
        <f>"201004000153"</f>
        <v>201004000153</v>
      </c>
    </row>
    <row r="29238" spans="1:2" x14ac:dyDescent="0.25">
      <c r="A29238" s="2">
        <v>29233</v>
      </c>
      <c r="B29238" s="3" t="str">
        <f>"201005000058"</f>
        <v>201005000058</v>
      </c>
    </row>
    <row r="29239" spans="1:2" x14ac:dyDescent="0.25">
      <c r="A29239" s="2">
        <v>29234</v>
      </c>
      <c r="B29239" s="3" t="str">
        <f>"201005000059"</f>
        <v>201005000059</v>
      </c>
    </row>
    <row r="29240" spans="1:2" x14ac:dyDescent="0.25">
      <c r="A29240" s="2">
        <v>29235</v>
      </c>
      <c r="B29240" s="3" t="str">
        <f>"201005000065"</f>
        <v>201005000065</v>
      </c>
    </row>
    <row r="29241" spans="1:2" x14ac:dyDescent="0.25">
      <c r="A29241" s="2">
        <v>29236</v>
      </c>
      <c r="B29241" s="3" t="str">
        <f>"201005000076"</f>
        <v>201005000076</v>
      </c>
    </row>
    <row r="29242" spans="1:2" x14ac:dyDescent="0.25">
      <c r="A29242" s="2">
        <v>29237</v>
      </c>
      <c r="B29242" s="3" t="str">
        <f>"201005000090"</f>
        <v>201005000090</v>
      </c>
    </row>
    <row r="29243" spans="1:2" x14ac:dyDescent="0.25">
      <c r="A29243" s="2">
        <v>29238</v>
      </c>
      <c r="B29243" s="3" t="str">
        <f>"201005000117"</f>
        <v>201005000117</v>
      </c>
    </row>
    <row r="29244" spans="1:2" x14ac:dyDescent="0.25">
      <c r="A29244" s="2">
        <v>29239</v>
      </c>
      <c r="B29244" s="3" t="str">
        <f>"201006000016"</f>
        <v>201006000016</v>
      </c>
    </row>
    <row r="29245" spans="1:2" x14ac:dyDescent="0.25">
      <c r="A29245" s="2">
        <v>29240</v>
      </c>
      <c r="B29245" s="3" t="str">
        <f>"201006000091"</f>
        <v>201006000091</v>
      </c>
    </row>
    <row r="29246" spans="1:2" x14ac:dyDescent="0.25">
      <c r="A29246" s="2">
        <v>29241</v>
      </c>
      <c r="B29246" s="3" t="str">
        <f>"201006000102"</f>
        <v>201006000102</v>
      </c>
    </row>
    <row r="29247" spans="1:2" x14ac:dyDescent="0.25">
      <c r="A29247" s="2">
        <v>29242</v>
      </c>
      <c r="B29247" s="3" t="str">
        <f>"201006000118"</f>
        <v>201006000118</v>
      </c>
    </row>
    <row r="29248" spans="1:2" x14ac:dyDescent="0.25">
      <c r="A29248" s="2">
        <v>29243</v>
      </c>
      <c r="B29248" s="3" t="str">
        <f>"201006000124"</f>
        <v>201006000124</v>
      </c>
    </row>
    <row r="29249" spans="1:2" x14ac:dyDescent="0.25">
      <c r="A29249" s="2">
        <v>29244</v>
      </c>
      <c r="B29249" s="3" t="str">
        <f>"201006000143"</f>
        <v>201006000143</v>
      </c>
    </row>
    <row r="29250" spans="1:2" x14ac:dyDescent="0.25">
      <c r="A29250" s="2">
        <v>29245</v>
      </c>
      <c r="B29250" s="3" t="str">
        <f>"201006000148"</f>
        <v>201006000148</v>
      </c>
    </row>
    <row r="29251" spans="1:2" x14ac:dyDescent="0.25">
      <c r="A29251" s="2">
        <v>29246</v>
      </c>
      <c r="B29251" s="3" t="str">
        <f>"201006000152"</f>
        <v>201006000152</v>
      </c>
    </row>
    <row r="29252" spans="1:2" x14ac:dyDescent="0.25">
      <c r="A29252" s="2">
        <v>29247</v>
      </c>
      <c r="B29252" s="3" t="str">
        <f>"201006000208"</f>
        <v>201006000208</v>
      </c>
    </row>
    <row r="29253" spans="1:2" x14ac:dyDescent="0.25">
      <c r="A29253" s="2">
        <v>29248</v>
      </c>
      <c r="B29253" s="3" t="str">
        <f>"201007000027"</f>
        <v>201007000027</v>
      </c>
    </row>
    <row r="29254" spans="1:2" x14ac:dyDescent="0.25">
      <c r="A29254" s="2">
        <v>29249</v>
      </c>
      <c r="B29254" s="3" t="str">
        <f>"201007000030"</f>
        <v>201007000030</v>
      </c>
    </row>
    <row r="29255" spans="1:2" x14ac:dyDescent="0.25">
      <c r="A29255" s="2">
        <v>29250</v>
      </c>
      <c r="B29255" s="3" t="str">
        <f>"201007000097"</f>
        <v>201007000097</v>
      </c>
    </row>
    <row r="29256" spans="1:2" x14ac:dyDescent="0.25">
      <c r="A29256" s="2">
        <v>29251</v>
      </c>
      <c r="B29256" s="3" t="str">
        <f>"201007000164"</f>
        <v>201007000164</v>
      </c>
    </row>
    <row r="29257" spans="1:2" x14ac:dyDescent="0.25">
      <c r="A29257" s="2">
        <v>29252</v>
      </c>
      <c r="B29257" s="3" t="str">
        <f>"201008000041"</f>
        <v>201008000041</v>
      </c>
    </row>
    <row r="29258" spans="1:2" x14ac:dyDescent="0.25">
      <c r="A29258" s="2">
        <v>29253</v>
      </c>
      <c r="B29258" s="3" t="str">
        <f>"201008000042"</f>
        <v>201008000042</v>
      </c>
    </row>
    <row r="29259" spans="1:2" x14ac:dyDescent="0.25">
      <c r="A29259" s="2">
        <v>29254</v>
      </c>
      <c r="B29259" s="3" t="str">
        <f>"201008000044"</f>
        <v>201008000044</v>
      </c>
    </row>
    <row r="29260" spans="1:2" x14ac:dyDescent="0.25">
      <c r="A29260" s="2">
        <v>29255</v>
      </c>
      <c r="B29260" s="3" t="str">
        <f>"201008000086"</f>
        <v>201008000086</v>
      </c>
    </row>
    <row r="29261" spans="1:2" x14ac:dyDescent="0.25">
      <c r="A29261" s="2">
        <v>29256</v>
      </c>
      <c r="B29261" s="3" t="str">
        <f>"201008000108"</f>
        <v>201008000108</v>
      </c>
    </row>
    <row r="29262" spans="1:2" x14ac:dyDescent="0.25">
      <c r="A29262" s="2">
        <v>29257</v>
      </c>
      <c r="B29262" s="3" t="str">
        <f>"201008000120"</f>
        <v>201008000120</v>
      </c>
    </row>
    <row r="29263" spans="1:2" x14ac:dyDescent="0.25">
      <c r="A29263" s="2">
        <v>29258</v>
      </c>
      <c r="B29263" s="3" t="str">
        <f>"201008000166"</f>
        <v>201008000166</v>
      </c>
    </row>
    <row r="29264" spans="1:2" x14ac:dyDescent="0.25">
      <c r="A29264" s="2">
        <v>29259</v>
      </c>
      <c r="B29264" s="3" t="str">
        <f>"201008000187"</f>
        <v>201008000187</v>
      </c>
    </row>
    <row r="29265" spans="1:2" x14ac:dyDescent="0.25">
      <c r="A29265" s="2">
        <v>29260</v>
      </c>
      <c r="B29265" s="3" t="str">
        <f>"201008000195"</f>
        <v>201008000195</v>
      </c>
    </row>
    <row r="29266" spans="1:2" x14ac:dyDescent="0.25">
      <c r="A29266" s="2">
        <v>29261</v>
      </c>
      <c r="B29266" s="3" t="str">
        <f>"201009000048"</f>
        <v>201009000048</v>
      </c>
    </row>
    <row r="29267" spans="1:2" x14ac:dyDescent="0.25">
      <c r="A29267" s="2">
        <v>29262</v>
      </c>
      <c r="B29267" s="3" t="str">
        <f>"201009000050"</f>
        <v>201009000050</v>
      </c>
    </row>
    <row r="29268" spans="1:2" x14ac:dyDescent="0.25">
      <c r="A29268" s="2">
        <v>29263</v>
      </c>
      <c r="B29268" s="3" t="str">
        <f>"201009000059"</f>
        <v>201009000059</v>
      </c>
    </row>
    <row r="29269" spans="1:2" x14ac:dyDescent="0.25">
      <c r="A29269" s="2">
        <v>29264</v>
      </c>
      <c r="B29269" s="3" t="str">
        <f>"201009000108"</f>
        <v>201009000108</v>
      </c>
    </row>
    <row r="29270" spans="1:2" x14ac:dyDescent="0.25">
      <c r="A29270" s="2">
        <v>29265</v>
      </c>
      <c r="B29270" s="3" t="str">
        <f>"201009000132"</f>
        <v>201009000132</v>
      </c>
    </row>
    <row r="29271" spans="1:2" x14ac:dyDescent="0.25">
      <c r="A29271" s="2">
        <v>29266</v>
      </c>
      <c r="B29271" s="3" t="str">
        <f>"201009000193"</f>
        <v>201009000193</v>
      </c>
    </row>
    <row r="29272" spans="1:2" x14ac:dyDescent="0.25">
      <c r="A29272" s="2">
        <v>29267</v>
      </c>
      <c r="B29272" s="3" t="str">
        <f>"201009000196"</f>
        <v>201009000196</v>
      </c>
    </row>
    <row r="29273" spans="1:2" x14ac:dyDescent="0.25">
      <c r="A29273" s="2">
        <v>29268</v>
      </c>
      <c r="B29273" s="3" t="str">
        <f>"201009000233"</f>
        <v>201009000233</v>
      </c>
    </row>
    <row r="29274" spans="1:2" x14ac:dyDescent="0.25">
      <c r="A29274" s="2">
        <v>29269</v>
      </c>
      <c r="B29274" s="3" t="str">
        <f>"201009000241"</f>
        <v>201009000241</v>
      </c>
    </row>
    <row r="29275" spans="1:2" x14ac:dyDescent="0.25">
      <c r="A29275" s="2">
        <v>29270</v>
      </c>
      <c r="B29275" s="3" t="str">
        <f>"201010000057"</f>
        <v>201010000057</v>
      </c>
    </row>
    <row r="29276" spans="1:2" x14ac:dyDescent="0.25">
      <c r="A29276" s="2">
        <v>29271</v>
      </c>
      <c r="B29276" s="3" t="str">
        <f>"201010000062"</f>
        <v>201010000062</v>
      </c>
    </row>
    <row r="29277" spans="1:2" x14ac:dyDescent="0.25">
      <c r="A29277" s="2">
        <v>29272</v>
      </c>
      <c r="B29277" s="3" t="str">
        <f>"201010000116"</f>
        <v>201010000116</v>
      </c>
    </row>
    <row r="29278" spans="1:2" x14ac:dyDescent="0.25">
      <c r="A29278" s="2">
        <v>29273</v>
      </c>
      <c r="B29278" s="3" t="str">
        <f>"201010000153"</f>
        <v>201010000153</v>
      </c>
    </row>
    <row r="29279" spans="1:2" x14ac:dyDescent="0.25">
      <c r="A29279" s="2">
        <v>29274</v>
      </c>
      <c r="B29279" s="3" t="str">
        <f>"201011000018"</f>
        <v>201011000018</v>
      </c>
    </row>
    <row r="29280" spans="1:2" x14ac:dyDescent="0.25">
      <c r="A29280" s="2">
        <v>29275</v>
      </c>
      <c r="B29280" s="3" t="str">
        <f>"201011000036"</f>
        <v>201011000036</v>
      </c>
    </row>
    <row r="29281" spans="1:2" x14ac:dyDescent="0.25">
      <c r="A29281" s="2">
        <v>29276</v>
      </c>
      <c r="B29281" s="3" t="str">
        <f>"201011000076"</f>
        <v>201011000076</v>
      </c>
    </row>
    <row r="29282" spans="1:2" x14ac:dyDescent="0.25">
      <c r="A29282" s="2">
        <v>29277</v>
      </c>
      <c r="B29282" s="3" t="str">
        <f>"201011000089"</f>
        <v>201011000089</v>
      </c>
    </row>
    <row r="29283" spans="1:2" x14ac:dyDescent="0.25">
      <c r="A29283" s="2">
        <v>29278</v>
      </c>
      <c r="B29283" s="3" t="str">
        <f>"201011000121"</f>
        <v>201011000121</v>
      </c>
    </row>
    <row r="29284" spans="1:2" x14ac:dyDescent="0.25">
      <c r="A29284" s="2">
        <v>29279</v>
      </c>
      <c r="B29284" s="3" t="str">
        <f>"201012000075"</f>
        <v>201012000075</v>
      </c>
    </row>
    <row r="29285" spans="1:2" x14ac:dyDescent="0.25">
      <c r="A29285" s="2">
        <v>29280</v>
      </c>
      <c r="B29285" s="3" t="str">
        <f>"201012000093"</f>
        <v>201012000093</v>
      </c>
    </row>
    <row r="29286" spans="1:2" x14ac:dyDescent="0.25">
      <c r="A29286" s="2">
        <v>29281</v>
      </c>
      <c r="B29286" s="3" t="str">
        <f>"201012000110"</f>
        <v>201012000110</v>
      </c>
    </row>
    <row r="29287" spans="1:2" x14ac:dyDescent="0.25">
      <c r="A29287" s="2">
        <v>29282</v>
      </c>
      <c r="B29287" s="3" t="str">
        <f>"201101000027"</f>
        <v>201101000027</v>
      </c>
    </row>
    <row r="29288" spans="1:2" x14ac:dyDescent="0.25">
      <c r="A29288" s="2">
        <v>29283</v>
      </c>
      <c r="B29288" s="3" t="str">
        <f>"201101000042"</f>
        <v>201101000042</v>
      </c>
    </row>
    <row r="29289" spans="1:2" x14ac:dyDescent="0.25">
      <c r="A29289" s="2">
        <v>29284</v>
      </c>
      <c r="B29289" s="3" t="str">
        <f>"201101000083"</f>
        <v>201101000083</v>
      </c>
    </row>
    <row r="29290" spans="1:2" x14ac:dyDescent="0.25">
      <c r="A29290" s="2">
        <v>29285</v>
      </c>
      <c r="B29290" s="3" t="str">
        <f>"201101000156"</f>
        <v>201101000156</v>
      </c>
    </row>
    <row r="29291" spans="1:2" x14ac:dyDescent="0.25">
      <c r="A29291" s="2">
        <v>29286</v>
      </c>
      <c r="B29291" s="3" t="str">
        <f>"201101000159"</f>
        <v>201101000159</v>
      </c>
    </row>
    <row r="29292" spans="1:2" x14ac:dyDescent="0.25">
      <c r="A29292" s="2">
        <v>29287</v>
      </c>
      <c r="B29292" s="3" t="str">
        <f>"201101000175"</f>
        <v>201101000175</v>
      </c>
    </row>
    <row r="29293" spans="1:2" x14ac:dyDescent="0.25">
      <c r="A29293" s="2">
        <v>29288</v>
      </c>
      <c r="B29293" s="3" t="str">
        <f>"201101000229"</f>
        <v>201101000229</v>
      </c>
    </row>
    <row r="29294" spans="1:2" x14ac:dyDescent="0.25">
      <c r="A29294" s="2">
        <v>29289</v>
      </c>
      <c r="B29294" s="3" t="str">
        <f>"201101000232"</f>
        <v>201101000232</v>
      </c>
    </row>
    <row r="29295" spans="1:2" x14ac:dyDescent="0.25">
      <c r="A29295" s="2">
        <v>29290</v>
      </c>
      <c r="B29295" s="3" t="str">
        <f>"201101000261"</f>
        <v>201101000261</v>
      </c>
    </row>
    <row r="29296" spans="1:2" x14ac:dyDescent="0.25">
      <c r="A29296" s="2">
        <v>29291</v>
      </c>
      <c r="B29296" s="3" t="str">
        <f>"201102000062"</f>
        <v>201102000062</v>
      </c>
    </row>
    <row r="29297" spans="1:2" x14ac:dyDescent="0.25">
      <c r="A29297" s="2">
        <v>29292</v>
      </c>
      <c r="B29297" s="3" t="str">
        <f>"201102000094"</f>
        <v>201102000094</v>
      </c>
    </row>
    <row r="29298" spans="1:2" x14ac:dyDescent="0.25">
      <c r="A29298" s="2">
        <v>29293</v>
      </c>
      <c r="B29298" s="3" t="str">
        <f>"201102000107"</f>
        <v>201102000107</v>
      </c>
    </row>
    <row r="29299" spans="1:2" x14ac:dyDescent="0.25">
      <c r="A29299" s="2">
        <v>29294</v>
      </c>
      <c r="B29299" s="3" t="str">
        <f>"201102000201"</f>
        <v>201102000201</v>
      </c>
    </row>
    <row r="29300" spans="1:2" x14ac:dyDescent="0.25">
      <c r="A29300" s="2">
        <v>29295</v>
      </c>
      <c r="B29300" s="3" t="str">
        <f>"201102000229"</f>
        <v>201102000229</v>
      </c>
    </row>
    <row r="29301" spans="1:2" x14ac:dyDescent="0.25">
      <c r="A29301" s="2">
        <v>29296</v>
      </c>
      <c r="B29301" s="3" t="str">
        <f>"201102000263"</f>
        <v>201102000263</v>
      </c>
    </row>
    <row r="29302" spans="1:2" x14ac:dyDescent="0.25">
      <c r="A29302" s="2">
        <v>29297</v>
      </c>
      <c r="B29302" s="3" t="str">
        <f>"201102000400"</f>
        <v>201102000400</v>
      </c>
    </row>
    <row r="29303" spans="1:2" x14ac:dyDescent="0.25">
      <c r="A29303" s="2">
        <v>29298</v>
      </c>
      <c r="B29303" s="3" t="str">
        <f>"201102000408"</f>
        <v>201102000408</v>
      </c>
    </row>
    <row r="29304" spans="1:2" x14ac:dyDescent="0.25">
      <c r="A29304" s="2">
        <v>29299</v>
      </c>
      <c r="B29304" s="3" t="str">
        <f>"201102000436"</f>
        <v>201102000436</v>
      </c>
    </row>
    <row r="29305" spans="1:2" x14ac:dyDescent="0.25">
      <c r="A29305" s="2">
        <v>29300</v>
      </c>
      <c r="B29305" s="3" t="str">
        <f>"201102000441"</f>
        <v>201102000441</v>
      </c>
    </row>
    <row r="29306" spans="1:2" x14ac:dyDescent="0.25">
      <c r="A29306" s="2">
        <v>29301</v>
      </c>
      <c r="B29306" s="3" t="str">
        <f>"201102000487"</f>
        <v>201102000487</v>
      </c>
    </row>
    <row r="29307" spans="1:2" x14ac:dyDescent="0.25">
      <c r="A29307" s="2">
        <v>29302</v>
      </c>
      <c r="B29307" s="3" t="str">
        <f>"201102000521"</f>
        <v>201102000521</v>
      </c>
    </row>
    <row r="29308" spans="1:2" x14ac:dyDescent="0.25">
      <c r="A29308" s="2">
        <v>29303</v>
      </c>
      <c r="B29308" s="3" t="str">
        <f>"201102000574"</f>
        <v>201102000574</v>
      </c>
    </row>
    <row r="29309" spans="1:2" x14ac:dyDescent="0.25">
      <c r="A29309" s="2">
        <v>29304</v>
      </c>
      <c r="B29309" s="3" t="str">
        <f>"201102000620"</f>
        <v>201102000620</v>
      </c>
    </row>
    <row r="29310" spans="1:2" x14ac:dyDescent="0.25">
      <c r="A29310" s="2">
        <v>29305</v>
      </c>
      <c r="B29310" s="3" t="str">
        <f>"201102000643"</f>
        <v>201102000643</v>
      </c>
    </row>
    <row r="29311" spans="1:2" x14ac:dyDescent="0.25">
      <c r="A29311" s="2">
        <v>29306</v>
      </c>
      <c r="B29311" s="3" t="str">
        <f>"201102000686"</f>
        <v>201102000686</v>
      </c>
    </row>
    <row r="29312" spans="1:2" x14ac:dyDescent="0.25">
      <c r="A29312" s="2">
        <v>29307</v>
      </c>
      <c r="B29312" s="3" t="str">
        <f>"201102000706"</f>
        <v>201102000706</v>
      </c>
    </row>
    <row r="29313" spans="1:2" x14ac:dyDescent="0.25">
      <c r="A29313" s="2">
        <v>29308</v>
      </c>
      <c r="B29313" s="3" t="str">
        <f>"201102000710"</f>
        <v>201102000710</v>
      </c>
    </row>
    <row r="29314" spans="1:2" x14ac:dyDescent="0.25">
      <c r="A29314" s="2">
        <v>29309</v>
      </c>
      <c r="B29314" s="3" t="str">
        <f>"201102000718"</f>
        <v>201102000718</v>
      </c>
    </row>
    <row r="29315" spans="1:2" x14ac:dyDescent="0.25">
      <c r="A29315" s="2">
        <v>29310</v>
      </c>
      <c r="B29315" s="3" t="str">
        <f>"201102000789"</f>
        <v>201102000789</v>
      </c>
    </row>
    <row r="29316" spans="1:2" x14ac:dyDescent="0.25">
      <c r="A29316" s="2">
        <v>29311</v>
      </c>
      <c r="B29316" s="3" t="str">
        <f>"201102000790"</f>
        <v>201102000790</v>
      </c>
    </row>
    <row r="29317" spans="1:2" x14ac:dyDescent="0.25">
      <c r="A29317" s="2">
        <v>29312</v>
      </c>
      <c r="B29317" s="3" t="str">
        <f>"201102000814"</f>
        <v>201102000814</v>
      </c>
    </row>
    <row r="29318" spans="1:2" x14ac:dyDescent="0.25">
      <c r="A29318" s="2">
        <v>29313</v>
      </c>
      <c r="B29318" s="3" t="str">
        <f>"201102000851"</f>
        <v>201102000851</v>
      </c>
    </row>
    <row r="29319" spans="1:2" x14ac:dyDescent="0.25">
      <c r="A29319" s="2">
        <v>29314</v>
      </c>
      <c r="B29319" s="3" t="str">
        <f>"201102000908"</f>
        <v>201102000908</v>
      </c>
    </row>
    <row r="29320" spans="1:2" x14ac:dyDescent="0.25">
      <c r="A29320" s="2">
        <v>29315</v>
      </c>
      <c r="B29320" s="3" t="str">
        <f>"201102000924"</f>
        <v>201102000924</v>
      </c>
    </row>
    <row r="29321" spans="1:2" x14ac:dyDescent="0.25">
      <c r="A29321" s="2">
        <v>29316</v>
      </c>
      <c r="B29321" s="3" t="str">
        <f>"201102000966"</f>
        <v>201102000966</v>
      </c>
    </row>
    <row r="29322" spans="1:2" x14ac:dyDescent="0.25">
      <c r="A29322" s="2">
        <v>29317</v>
      </c>
      <c r="B29322" s="3" t="str">
        <f>"201102000994"</f>
        <v>201102000994</v>
      </c>
    </row>
    <row r="29323" spans="1:2" x14ac:dyDescent="0.25">
      <c r="A29323" s="2">
        <v>29318</v>
      </c>
      <c r="B29323" s="3" t="str">
        <f>"201102001020"</f>
        <v>201102001020</v>
      </c>
    </row>
    <row r="29324" spans="1:2" x14ac:dyDescent="0.25">
      <c r="A29324" s="2">
        <v>29319</v>
      </c>
      <c r="B29324" s="3" t="str">
        <f>"201102001050"</f>
        <v>201102001050</v>
      </c>
    </row>
    <row r="29325" spans="1:2" x14ac:dyDescent="0.25">
      <c r="A29325" s="2">
        <v>29320</v>
      </c>
      <c r="B29325" s="3" t="str">
        <f>"201103000075"</f>
        <v>201103000075</v>
      </c>
    </row>
    <row r="29326" spans="1:2" x14ac:dyDescent="0.25">
      <c r="A29326" s="2">
        <v>29321</v>
      </c>
      <c r="B29326" s="3" t="str">
        <f>"201103000129"</f>
        <v>201103000129</v>
      </c>
    </row>
    <row r="29327" spans="1:2" x14ac:dyDescent="0.25">
      <c r="A29327" s="2">
        <v>29322</v>
      </c>
      <c r="B29327" s="3" t="str">
        <f>"201103000174"</f>
        <v>201103000174</v>
      </c>
    </row>
    <row r="29328" spans="1:2" x14ac:dyDescent="0.25">
      <c r="A29328" s="2">
        <v>29323</v>
      </c>
      <c r="B29328" s="3" t="str">
        <f>"201103000204"</f>
        <v>201103000204</v>
      </c>
    </row>
    <row r="29329" spans="1:2" x14ac:dyDescent="0.25">
      <c r="A29329" s="2">
        <v>29324</v>
      </c>
      <c r="B29329" s="3" t="str">
        <f>"201103000237"</f>
        <v>201103000237</v>
      </c>
    </row>
    <row r="29330" spans="1:2" x14ac:dyDescent="0.25">
      <c r="A29330" s="2">
        <v>29325</v>
      </c>
      <c r="B29330" s="3" t="str">
        <f>"201103000258"</f>
        <v>201103000258</v>
      </c>
    </row>
    <row r="29331" spans="1:2" x14ac:dyDescent="0.25">
      <c r="A29331" s="2">
        <v>29326</v>
      </c>
      <c r="B29331" s="3" t="str">
        <f>"201103000353"</f>
        <v>201103000353</v>
      </c>
    </row>
    <row r="29332" spans="1:2" x14ac:dyDescent="0.25">
      <c r="A29332" s="2">
        <v>29327</v>
      </c>
      <c r="B29332" s="3" t="str">
        <f>"201103000364"</f>
        <v>201103000364</v>
      </c>
    </row>
    <row r="29333" spans="1:2" x14ac:dyDescent="0.25">
      <c r="A29333" s="2">
        <v>29328</v>
      </c>
      <c r="B29333" s="3" t="str">
        <f>"201103000400"</f>
        <v>201103000400</v>
      </c>
    </row>
    <row r="29334" spans="1:2" x14ac:dyDescent="0.25">
      <c r="A29334" s="2">
        <v>29329</v>
      </c>
      <c r="B29334" s="3" t="str">
        <f>"201104000009"</f>
        <v>201104000009</v>
      </c>
    </row>
    <row r="29335" spans="1:2" x14ac:dyDescent="0.25">
      <c r="A29335" s="2">
        <v>29330</v>
      </c>
      <c r="B29335" s="3" t="str">
        <f>"201104000048"</f>
        <v>201104000048</v>
      </c>
    </row>
    <row r="29336" spans="1:2" x14ac:dyDescent="0.25">
      <c r="A29336" s="2">
        <v>29331</v>
      </c>
      <c r="B29336" s="3" t="str">
        <f>"201104000071"</f>
        <v>201104000071</v>
      </c>
    </row>
    <row r="29337" spans="1:2" x14ac:dyDescent="0.25">
      <c r="A29337" s="2">
        <v>29332</v>
      </c>
      <c r="B29337" s="3" t="str">
        <f>"201104000098"</f>
        <v>201104000098</v>
      </c>
    </row>
    <row r="29338" spans="1:2" x14ac:dyDescent="0.25">
      <c r="A29338" s="2">
        <v>29333</v>
      </c>
      <c r="B29338" s="3" t="str">
        <f>"201104000168"</f>
        <v>201104000168</v>
      </c>
    </row>
    <row r="29339" spans="1:2" x14ac:dyDescent="0.25">
      <c r="A29339" s="2">
        <v>29334</v>
      </c>
      <c r="B29339" s="3" t="str">
        <f>"201105000031"</f>
        <v>201105000031</v>
      </c>
    </row>
    <row r="29340" spans="1:2" x14ac:dyDescent="0.25">
      <c r="A29340" s="2">
        <v>29335</v>
      </c>
      <c r="B29340" s="3" t="str">
        <f>"201105000039"</f>
        <v>201105000039</v>
      </c>
    </row>
    <row r="29341" spans="1:2" x14ac:dyDescent="0.25">
      <c r="A29341" s="2">
        <v>29336</v>
      </c>
      <c r="B29341" s="3" t="str">
        <f>"201105000054"</f>
        <v>201105000054</v>
      </c>
    </row>
    <row r="29342" spans="1:2" x14ac:dyDescent="0.25">
      <c r="A29342" s="2">
        <v>29337</v>
      </c>
      <c r="B29342" s="3" t="str">
        <f>"201105000071"</f>
        <v>201105000071</v>
      </c>
    </row>
    <row r="29343" spans="1:2" x14ac:dyDescent="0.25">
      <c r="A29343" s="2">
        <v>29338</v>
      </c>
      <c r="B29343" s="3" t="str">
        <f>"201105000072"</f>
        <v>201105000072</v>
      </c>
    </row>
    <row r="29344" spans="1:2" x14ac:dyDescent="0.25">
      <c r="A29344" s="2">
        <v>29339</v>
      </c>
      <c r="B29344" s="3" t="str">
        <f>"201105000092"</f>
        <v>201105000092</v>
      </c>
    </row>
    <row r="29345" spans="1:2" x14ac:dyDescent="0.25">
      <c r="A29345" s="2">
        <v>29340</v>
      </c>
      <c r="B29345" s="3" t="str">
        <f>"201105000106"</f>
        <v>201105000106</v>
      </c>
    </row>
    <row r="29346" spans="1:2" x14ac:dyDescent="0.25">
      <c r="A29346" s="2">
        <v>29341</v>
      </c>
      <c r="B29346" s="3" t="str">
        <f>"201105000117"</f>
        <v>201105000117</v>
      </c>
    </row>
    <row r="29347" spans="1:2" x14ac:dyDescent="0.25">
      <c r="A29347" s="2">
        <v>29342</v>
      </c>
      <c r="B29347" s="3" t="str">
        <f>"201105000135"</f>
        <v>201105000135</v>
      </c>
    </row>
    <row r="29348" spans="1:2" x14ac:dyDescent="0.25">
      <c r="A29348" s="2">
        <v>29343</v>
      </c>
      <c r="B29348" s="3" t="str">
        <f>"201106000026"</f>
        <v>201106000026</v>
      </c>
    </row>
    <row r="29349" spans="1:2" x14ac:dyDescent="0.25">
      <c r="A29349" s="2">
        <v>29344</v>
      </c>
      <c r="B29349" s="3" t="str">
        <f>"201106000055"</f>
        <v>201106000055</v>
      </c>
    </row>
    <row r="29350" spans="1:2" x14ac:dyDescent="0.25">
      <c r="A29350" s="2">
        <v>29345</v>
      </c>
      <c r="B29350" s="3" t="str">
        <f>"201106000057"</f>
        <v>201106000057</v>
      </c>
    </row>
    <row r="29351" spans="1:2" x14ac:dyDescent="0.25">
      <c r="A29351" s="2">
        <v>29346</v>
      </c>
      <c r="B29351" s="3" t="str">
        <f>"201106000101"</f>
        <v>201106000101</v>
      </c>
    </row>
    <row r="29352" spans="1:2" x14ac:dyDescent="0.25">
      <c r="A29352" s="2">
        <v>29347</v>
      </c>
      <c r="B29352" s="3" t="str">
        <f>"201107000023"</f>
        <v>201107000023</v>
      </c>
    </row>
    <row r="29353" spans="1:2" x14ac:dyDescent="0.25">
      <c r="A29353" s="2">
        <v>29348</v>
      </c>
      <c r="B29353" s="3" t="str">
        <f>"201107000063"</f>
        <v>201107000063</v>
      </c>
    </row>
    <row r="29354" spans="1:2" x14ac:dyDescent="0.25">
      <c r="A29354" s="2">
        <v>29349</v>
      </c>
      <c r="B29354" s="3" t="str">
        <f>"201107000065"</f>
        <v>201107000065</v>
      </c>
    </row>
    <row r="29355" spans="1:2" x14ac:dyDescent="0.25">
      <c r="A29355" s="2">
        <v>29350</v>
      </c>
      <c r="B29355" s="3" t="str">
        <f>"201107000108"</f>
        <v>201107000108</v>
      </c>
    </row>
    <row r="29356" spans="1:2" x14ac:dyDescent="0.25">
      <c r="A29356" s="2">
        <v>29351</v>
      </c>
      <c r="B29356" s="3" t="str">
        <f>"201108000010"</f>
        <v>201108000010</v>
      </c>
    </row>
    <row r="29357" spans="1:2" x14ac:dyDescent="0.25">
      <c r="A29357" s="2">
        <v>29352</v>
      </c>
      <c r="B29357" s="3" t="str">
        <f>"201108000017"</f>
        <v>201108000017</v>
      </c>
    </row>
    <row r="29358" spans="1:2" x14ac:dyDescent="0.25">
      <c r="A29358" s="2">
        <v>29353</v>
      </c>
      <c r="B29358" s="3" t="str">
        <f>"201108000084"</f>
        <v>201108000084</v>
      </c>
    </row>
    <row r="29359" spans="1:2" x14ac:dyDescent="0.25">
      <c r="A29359" s="2">
        <v>29354</v>
      </c>
      <c r="B29359" s="3" t="str">
        <f>"201109000057"</f>
        <v>201109000057</v>
      </c>
    </row>
    <row r="29360" spans="1:2" x14ac:dyDescent="0.25">
      <c r="A29360" s="2">
        <v>29355</v>
      </c>
      <c r="B29360" s="3" t="str">
        <f>"201109000064"</f>
        <v>201109000064</v>
      </c>
    </row>
    <row r="29361" spans="1:2" x14ac:dyDescent="0.25">
      <c r="A29361" s="2">
        <v>29356</v>
      </c>
      <c r="B29361" s="3" t="str">
        <f>"201109000073"</f>
        <v>201109000073</v>
      </c>
    </row>
    <row r="29362" spans="1:2" x14ac:dyDescent="0.25">
      <c r="A29362" s="2">
        <v>29357</v>
      </c>
      <c r="B29362" s="3" t="str">
        <f>"201111000072"</f>
        <v>201111000072</v>
      </c>
    </row>
    <row r="29363" spans="1:2" x14ac:dyDescent="0.25">
      <c r="A29363" s="2">
        <v>29358</v>
      </c>
      <c r="B29363" s="3" t="str">
        <f>"201111000073"</f>
        <v>201111000073</v>
      </c>
    </row>
    <row r="29364" spans="1:2" x14ac:dyDescent="0.25">
      <c r="A29364" s="2">
        <v>29359</v>
      </c>
      <c r="B29364" s="3" t="str">
        <f>"201111000087"</f>
        <v>201111000087</v>
      </c>
    </row>
    <row r="29365" spans="1:2" x14ac:dyDescent="0.25">
      <c r="A29365" s="2">
        <v>29360</v>
      </c>
      <c r="B29365" s="3" t="str">
        <f>"201112000018"</f>
        <v>201112000018</v>
      </c>
    </row>
    <row r="29366" spans="1:2" x14ac:dyDescent="0.25">
      <c r="A29366" s="2">
        <v>29361</v>
      </c>
      <c r="B29366" s="3" t="str">
        <f>"201201000004"</f>
        <v>201201000004</v>
      </c>
    </row>
    <row r="29367" spans="1:2" x14ac:dyDescent="0.25">
      <c r="A29367" s="2">
        <v>29362</v>
      </c>
      <c r="B29367" s="3" t="str">
        <f>"201201000032"</f>
        <v>201201000032</v>
      </c>
    </row>
    <row r="29368" spans="1:2" x14ac:dyDescent="0.25">
      <c r="A29368" s="2">
        <v>29363</v>
      </c>
      <c r="B29368" s="3" t="str">
        <f>"201201000071"</f>
        <v>201201000071</v>
      </c>
    </row>
    <row r="29369" spans="1:2" x14ac:dyDescent="0.25">
      <c r="A29369" s="2">
        <v>29364</v>
      </c>
      <c r="B29369" s="3" t="str">
        <f>"201201000079"</f>
        <v>201201000079</v>
      </c>
    </row>
    <row r="29370" spans="1:2" x14ac:dyDescent="0.25">
      <c r="A29370" s="2">
        <v>29365</v>
      </c>
      <c r="B29370" s="3" t="str">
        <f>"201201000121"</f>
        <v>201201000121</v>
      </c>
    </row>
    <row r="29371" spans="1:2" x14ac:dyDescent="0.25">
      <c r="A29371" s="2">
        <v>29366</v>
      </c>
      <c r="B29371" s="3" t="str">
        <f>"201202000029"</f>
        <v>201202000029</v>
      </c>
    </row>
    <row r="29372" spans="1:2" x14ac:dyDescent="0.25">
      <c r="A29372" s="2">
        <v>29367</v>
      </c>
      <c r="B29372" s="3" t="str">
        <f>"201202000055"</f>
        <v>201202000055</v>
      </c>
    </row>
    <row r="29373" spans="1:2" x14ac:dyDescent="0.25">
      <c r="A29373" s="2">
        <v>29368</v>
      </c>
      <c r="B29373" s="3" t="str">
        <f>"201202000096"</f>
        <v>201202000096</v>
      </c>
    </row>
    <row r="29374" spans="1:2" x14ac:dyDescent="0.25">
      <c r="A29374" s="2">
        <v>29369</v>
      </c>
      <c r="B29374" s="3" t="str">
        <f>"201203000013"</f>
        <v>201203000013</v>
      </c>
    </row>
    <row r="29375" spans="1:2" x14ac:dyDescent="0.25">
      <c r="A29375" s="2">
        <v>29370</v>
      </c>
      <c r="B29375" s="3" t="str">
        <f>"201203000076"</f>
        <v>201203000076</v>
      </c>
    </row>
    <row r="29376" spans="1:2" x14ac:dyDescent="0.25">
      <c r="A29376" s="2">
        <v>29371</v>
      </c>
      <c r="B29376" s="3" t="str">
        <f>"201203000106"</f>
        <v>201203000106</v>
      </c>
    </row>
    <row r="29377" spans="1:2" x14ac:dyDescent="0.25">
      <c r="A29377" s="2">
        <v>29372</v>
      </c>
      <c r="B29377" s="3" t="str">
        <f>"201203000125"</f>
        <v>201203000125</v>
      </c>
    </row>
    <row r="29378" spans="1:2" x14ac:dyDescent="0.25">
      <c r="A29378" s="2">
        <v>29373</v>
      </c>
      <c r="B29378" s="3" t="str">
        <f>"201203000138"</f>
        <v>201203000138</v>
      </c>
    </row>
    <row r="29379" spans="1:2" x14ac:dyDescent="0.25">
      <c r="A29379" s="2">
        <v>29374</v>
      </c>
      <c r="B29379" s="3" t="str">
        <f>"201204000051"</f>
        <v>201204000051</v>
      </c>
    </row>
    <row r="29380" spans="1:2" x14ac:dyDescent="0.25">
      <c r="A29380" s="2">
        <v>29375</v>
      </c>
      <c r="B29380" s="3" t="str">
        <f>"201204000055"</f>
        <v>201204000055</v>
      </c>
    </row>
    <row r="29381" spans="1:2" x14ac:dyDescent="0.25">
      <c r="A29381" s="2">
        <v>29376</v>
      </c>
      <c r="B29381" s="3" t="str">
        <f>"201204000078"</f>
        <v>201204000078</v>
      </c>
    </row>
    <row r="29382" spans="1:2" x14ac:dyDescent="0.25">
      <c r="A29382" s="2">
        <v>29377</v>
      </c>
      <c r="B29382" s="3" t="str">
        <f>"201204000085"</f>
        <v>201204000085</v>
      </c>
    </row>
    <row r="29383" spans="1:2" x14ac:dyDescent="0.25">
      <c r="A29383" s="2">
        <v>29378</v>
      </c>
      <c r="B29383" s="3" t="str">
        <f>"201204000104"</f>
        <v>201204000104</v>
      </c>
    </row>
    <row r="29384" spans="1:2" x14ac:dyDescent="0.25">
      <c r="A29384" s="2">
        <v>29379</v>
      </c>
      <c r="B29384" s="3" t="str">
        <f>"201205000046"</f>
        <v>201205000046</v>
      </c>
    </row>
    <row r="29385" spans="1:2" x14ac:dyDescent="0.25">
      <c r="A29385" s="2">
        <v>29380</v>
      </c>
      <c r="B29385" s="3" t="str">
        <f>"201205000060"</f>
        <v>201205000060</v>
      </c>
    </row>
    <row r="29386" spans="1:2" x14ac:dyDescent="0.25">
      <c r="A29386" s="2">
        <v>29381</v>
      </c>
      <c r="B29386" s="3" t="str">
        <f>"201205000065"</f>
        <v>201205000065</v>
      </c>
    </row>
    <row r="29387" spans="1:2" x14ac:dyDescent="0.25">
      <c r="A29387" s="2">
        <v>29382</v>
      </c>
      <c r="B29387" s="3" t="str">
        <f>"201206000064"</f>
        <v>201206000064</v>
      </c>
    </row>
    <row r="29388" spans="1:2" x14ac:dyDescent="0.25">
      <c r="A29388" s="2">
        <v>29383</v>
      </c>
      <c r="B29388" s="3" t="str">
        <f>"201206000081"</f>
        <v>201206000081</v>
      </c>
    </row>
    <row r="29389" spans="1:2" x14ac:dyDescent="0.25">
      <c r="A29389" s="2">
        <v>29384</v>
      </c>
      <c r="B29389" s="3" t="str">
        <f>"201206000085"</f>
        <v>201206000085</v>
      </c>
    </row>
    <row r="29390" spans="1:2" x14ac:dyDescent="0.25">
      <c r="A29390" s="2">
        <v>29385</v>
      </c>
      <c r="B29390" s="3" t="str">
        <f>"201206000122"</f>
        <v>201206000122</v>
      </c>
    </row>
    <row r="29391" spans="1:2" x14ac:dyDescent="0.25">
      <c r="A29391" s="2">
        <v>29386</v>
      </c>
      <c r="B29391" s="3" t="str">
        <f>"201207000015"</f>
        <v>201207000015</v>
      </c>
    </row>
    <row r="29392" spans="1:2" x14ac:dyDescent="0.25">
      <c r="A29392" s="2">
        <v>29387</v>
      </c>
      <c r="B29392" s="3" t="str">
        <f>"201207000029"</f>
        <v>201207000029</v>
      </c>
    </row>
    <row r="29393" spans="1:2" x14ac:dyDescent="0.25">
      <c r="A29393" s="2">
        <v>29388</v>
      </c>
      <c r="B29393" s="3" t="str">
        <f>"201207000062"</f>
        <v>201207000062</v>
      </c>
    </row>
    <row r="29394" spans="1:2" x14ac:dyDescent="0.25">
      <c r="A29394" s="2">
        <v>29389</v>
      </c>
      <c r="B29394" s="3" t="str">
        <f>"201207000096"</f>
        <v>201207000096</v>
      </c>
    </row>
    <row r="29395" spans="1:2" x14ac:dyDescent="0.25">
      <c r="A29395" s="2">
        <v>29390</v>
      </c>
      <c r="B29395" s="3" t="str">
        <f>"201207000099"</f>
        <v>201207000099</v>
      </c>
    </row>
    <row r="29396" spans="1:2" x14ac:dyDescent="0.25">
      <c r="A29396" s="2">
        <v>29391</v>
      </c>
      <c r="B29396" s="3" t="str">
        <f>"201207000103"</f>
        <v>201207000103</v>
      </c>
    </row>
    <row r="29397" spans="1:2" x14ac:dyDescent="0.25">
      <c r="A29397" s="2">
        <v>29392</v>
      </c>
      <c r="B29397" s="3" t="str">
        <f>"201208000043"</f>
        <v>201208000043</v>
      </c>
    </row>
    <row r="29398" spans="1:2" x14ac:dyDescent="0.25">
      <c r="A29398" s="2">
        <v>29393</v>
      </c>
      <c r="B29398" s="3" t="str">
        <f>"201208000049"</f>
        <v>201208000049</v>
      </c>
    </row>
    <row r="29399" spans="1:2" x14ac:dyDescent="0.25">
      <c r="A29399" s="2">
        <v>29394</v>
      </c>
      <c r="B29399" s="3" t="str">
        <f>"201208000050"</f>
        <v>201208000050</v>
      </c>
    </row>
    <row r="29400" spans="1:2" x14ac:dyDescent="0.25">
      <c r="A29400" s="2">
        <v>29395</v>
      </c>
      <c r="B29400" s="3" t="str">
        <f>"201208000055"</f>
        <v>201208000055</v>
      </c>
    </row>
    <row r="29401" spans="1:2" x14ac:dyDescent="0.25">
      <c r="A29401" s="2">
        <v>29396</v>
      </c>
      <c r="B29401" s="3" t="str">
        <f>"201208000068"</f>
        <v>201208000068</v>
      </c>
    </row>
    <row r="29402" spans="1:2" x14ac:dyDescent="0.25">
      <c r="A29402" s="2">
        <v>29397</v>
      </c>
      <c r="B29402" s="3" t="str">
        <f>"201208000107"</f>
        <v>201208000107</v>
      </c>
    </row>
    <row r="29403" spans="1:2" x14ac:dyDescent="0.25">
      <c r="A29403" s="2">
        <v>29398</v>
      </c>
      <c r="B29403" s="3" t="str">
        <f>"201208000108"</f>
        <v>201208000108</v>
      </c>
    </row>
    <row r="29404" spans="1:2" x14ac:dyDescent="0.25">
      <c r="A29404" s="2">
        <v>29399</v>
      </c>
      <c r="B29404" s="3" t="str">
        <f>"201208000115"</f>
        <v>201208000115</v>
      </c>
    </row>
    <row r="29405" spans="1:2" x14ac:dyDescent="0.25">
      <c r="A29405" s="2">
        <v>29400</v>
      </c>
      <c r="B29405" s="3" t="str">
        <f>"201208000136"</f>
        <v>201208000136</v>
      </c>
    </row>
    <row r="29406" spans="1:2" x14ac:dyDescent="0.25">
      <c r="A29406" s="2">
        <v>29401</v>
      </c>
      <c r="B29406" s="3" t="str">
        <f>"201208000139"</f>
        <v>201208000139</v>
      </c>
    </row>
    <row r="29407" spans="1:2" x14ac:dyDescent="0.25">
      <c r="A29407" s="2">
        <v>29402</v>
      </c>
      <c r="B29407" s="3" t="str">
        <f>"201209000028"</f>
        <v>201209000028</v>
      </c>
    </row>
    <row r="29408" spans="1:2" x14ac:dyDescent="0.25">
      <c r="A29408" s="2">
        <v>29403</v>
      </c>
      <c r="B29408" s="3" t="str">
        <f>"201209000076"</f>
        <v>201209000076</v>
      </c>
    </row>
    <row r="29409" spans="1:2" x14ac:dyDescent="0.25">
      <c r="A29409" s="2">
        <v>29404</v>
      </c>
      <c r="B29409" s="3" t="str">
        <f>"201209000118"</f>
        <v>201209000118</v>
      </c>
    </row>
    <row r="29410" spans="1:2" x14ac:dyDescent="0.25">
      <c r="A29410" s="2">
        <v>29405</v>
      </c>
      <c r="B29410" s="3" t="str">
        <f>"201209000150"</f>
        <v>201209000150</v>
      </c>
    </row>
    <row r="29411" spans="1:2" x14ac:dyDescent="0.25">
      <c r="A29411" s="2">
        <v>29406</v>
      </c>
      <c r="B29411" s="3" t="str">
        <f>"201210000005"</f>
        <v>201210000005</v>
      </c>
    </row>
    <row r="29412" spans="1:2" x14ac:dyDescent="0.25">
      <c r="A29412" s="2">
        <v>29407</v>
      </c>
      <c r="B29412" s="3" t="str">
        <f>"201210000091"</f>
        <v>201210000091</v>
      </c>
    </row>
    <row r="29413" spans="1:2" x14ac:dyDescent="0.25">
      <c r="A29413" s="2">
        <v>29408</v>
      </c>
      <c r="B29413" s="3" t="str">
        <f>"201210000151"</f>
        <v>201210000151</v>
      </c>
    </row>
    <row r="29414" spans="1:2" x14ac:dyDescent="0.25">
      <c r="A29414" s="2">
        <v>29409</v>
      </c>
      <c r="B29414" s="3" t="str">
        <f>"201210000155"</f>
        <v>201210000155</v>
      </c>
    </row>
    <row r="29415" spans="1:2" x14ac:dyDescent="0.25">
      <c r="A29415" s="2">
        <v>29410</v>
      </c>
      <c r="B29415" s="3" t="str">
        <f>"201210000157"</f>
        <v>201210000157</v>
      </c>
    </row>
    <row r="29416" spans="1:2" x14ac:dyDescent="0.25">
      <c r="A29416" s="2">
        <v>29411</v>
      </c>
      <c r="B29416" s="3" t="str">
        <f>"201211000024"</f>
        <v>201211000024</v>
      </c>
    </row>
    <row r="29417" spans="1:2" x14ac:dyDescent="0.25">
      <c r="A29417" s="2">
        <v>29412</v>
      </c>
      <c r="B29417" s="3" t="str">
        <f>"201212000019"</f>
        <v>201212000019</v>
      </c>
    </row>
    <row r="29418" spans="1:2" x14ac:dyDescent="0.25">
      <c r="A29418" s="2">
        <v>29413</v>
      </c>
      <c r="B29418" s="3" t="str">
        <f>"201212000036"</f>
        <v>201212000036</v>
      </c>
    </row>
    <row r="29419" spans="1:2" x14ac:dyDescent="0.25">
      <c r="A29419" s="2">
        <v>29414</v>
      </c>
      <c r="B29419" s="3" t="str">
        <f>"201212000049"</f>
        <v>201212000049</v>
      </c>
    </row>
    <row r="29420" spans="1:2" x14ac:dyDescent="0.25">
      <c r="A29420" s="2">
        <v>29415</v>
      </c>
      <c r="B29420" s="3" t="str">
        <f>"201212000056"</f>
        <v>201212000056</v>
      </c>
    </row>
    <row r="29421" spans="1:2" x14ac:dyDescent="0.25">
      <c r="A29421" s="2">
        <v>29416</v>
      </c>
      <c r="B29421" s="3" t="str">
        <f>"201301000005"</f>
        <v>201301000005</v>
      </c>
    </row>
    <row r="29422" spans="1:2" x14ac:dyDescent="0.25">
      <c r="A29422" s="2">
        <v>29417</v>
      </c>
      <c r="B29422" s="3" t="str">
        <f>"201301000008"</f>
        <v>201301000008</v>
      </c>
    </row>
    <row r="29423" spans="1:2" x14ac:dyDescent="0.25">
      <c r="A29423" s="2">
        <v>29418</v>
      </c>
      <c r="B29423" s="3" t="str">
        <f>"201301000068"</f>
        <v>201301000068</v>
      </c>
    </row>
    <row r="29424" spans="1:2" x14ac:dyDescent="0.25">
      <c r="A29424" s="2">
        <v>29419</v>
      </c>
      <c r="B29424" s="3" t="str">
        <f>"201301000073"</f>
        <v>201301000073</v>
      </c>
    </row>
    <row r="29425" spans="1:2" x14ac:dyDescent="0.25">
      <c r="A29425" s="2">
        <v>29420</v>
      </c>
      <c r="B29425" s="3" t="str">
        <f>"201301000123"</f>
        <v>201301000123</v>
      </c>
    </row>
    <row r="29426" spans="1:2" x14ac:dyDescent="0.25">
      <c r="A29426" s="2">
        <v>29421</v>
      </c>
      <c r="B29426" s="3" t="str">
        <f>"201301000148"</f>
        <v>201301000148</v>
      </c>
    </row>
    <row r="29427" spans="1:2" x14ac:dyDescent="0.25">
      <c r="A29427" s="2">
        <v>29422</v>
      </c>
      <c r="B29427" s="3" t="str">
        <f>"201302000057"</f>
        <v>201302000057</v>
      </c>
    </row>
    <row r="29428" spans="1:2" x14ac:dyDescent="0.25">
      <c r="A29428" s="2">
        <v>29423</v>
      </c>
      <c r="B29428" s="3" t="str">
        <f>"201302000074"</f>
        <v>201302000074</v>
      </c>
    </row>
    <row r="29429" spans="1:2" x14ac:dyDescent="0.25">
      <c r="A29429" s="2">
        <v>29424</v>
      </c>
      <c r="B29429" s="3" t="str">
        <f>"201302000111"</f>
        <v>201302000111</v>
      </c>
    </row>
    <row r="29430" spans="1:2" x14ac:dyDescent="0.25">
      <c r="A29430" s="2">
        <v>29425</v>
      </c>
      <c r="B29430" s="3" t="str">
        <f>"201302000147"</f>
        <v>201302000147</v>
      </c>
    </row>
    <row r="29431" spans="1:2" x14ac:dyDescent="0.25">
      <c r="A29431" s="2">
        <v>29426</v>
      </c>
      <c r="B29431" s="3" t="str">
        <f>"201302000155"</f>
        <v>201302000155</v>
      </c>
    </row>
    <row r="29432" spans="1:2" x14ac:dyDescent="0.25">
      <c r="A29432" s="2">
        <v>29427</v>
      </c>
      <c r="B29432" s="3" t="str">
        <f>"201303000001"</f>
        <v>201303000001</v>
      </c>
    </row>
    <row r="29433" spans="1:2" x14ac:dyDescent="0.25">
      <c r="A29433" s="2">
        <v>29428</v>
      </c>
      <c r="B29433" s="3" t="str">
        <f>"201303000025"</f>
        <v>201303000025</v>
      </c>
    </row>
    <row r="29434" spans="1:2" x14ac:dyDescent="0.25">
      <c r="A29434" s="2">
        <v>29429</v>
      </c>
      <c r="B29434" s="3" t="str">
        <f>"201303000026"</f>
        <v>201303000026</v>
      </c>
    </row>
    <row r="29435" spans="1:2" x14ac:dyDescent="0.25">
      <c r="A29435" s="2">
        <v>29430</v>
      </c>
      <c r="B29435" s="3" t="str">
        <f>"201303000161"</f>
        <v>201303000161</v>
      </c>
    </row>
    <row r="29436" spans="1:2" x14ac:dyDescent="0.25">
      <c r="A29436" s="2">
        <v>29431</v>
      </c>
      <c r="B29436" s="3" t="str">
        <f>"201303000225"</f>
        <v>201303000225</v>
      </c>
    </row>
    <row r="29437" spans="1:2" x14ac:dyDescent="0.25">
      <c r="A29437" s="2">
        <v>29432</v>
      </c>
      <c r="B29437" s="3" t="str">
        <f>"201303000240"</f>
        <v>201303000240</v>
      </c>
    </row>
    <row r="29438" spans="1:2" x14ac:dyDescent="0.25">
      <c r="A29438" s="2">
        <v>29433</v>
      </c>
      <c r="B29438" s="3" t="str">
        <f>"201303000289"</f>
        <v>201303000289</v>
      </c>
    </row>
    <row r="29439" spans="1:2" x14ac:dyDescent="0.25">
      <c r="A29439" s="2">
        <v>29434</v>
      </c>
      <c r="B29439" s="3" t="str">
        <f>"201303000291"</f>
        <v>201303000291</v>
      </c>
    </row>
    <row r="29440" spans="1:2" x14ac:dyDescent="0.25">
      <c r="A29440" s="2">
        <v>29435</v>
      </c>
      <c r="B29440" s="3" t="str">
        <f>"201303000302"</f>
        <v>201303000302</v>
      </c>
    </row>
    <row r="29441" spans="1:2" x14ac:dyDescent="0.25">
      <c r="A29441" s="2">
        <v>29436</v>
      </c>
      <c r="B29441" s="3" t="str">
        <f>"201303000357"</f>
        <v>201303000357</v>
      </c>
    </row>
    <row r="29442" spans="1:2" x14ac:dyDescent="0.25">
      <c r="A29442" s="2">
        <v>29437</v>
      </c>
      <c r="B29442" s="3" t="str">
        <f>"201303000364"</f>
        <v>201303000364</v>
      </c>
    </row>
    <row r="29443" spans="1:2" x14ac:dyDescent="0.25">
      <c r="A29443" s="2">
        <v>29438</v>
      </c>
      <c r="B29443" s="3" t="str">
        <f>"201303000409"</f>
        <v>201303000409</v>
      </c>
    </row>
    <row r="29444" spans="1:2" x14ac:dyDescent="0.25">
      <c r="A29444" s="2">
        <v>29439</v>
      </c>
      <c r="B29444" s="3" t="str">
        <f>"201303000411"</f>
        <v>201303000411</v>
      </c>
    </row>
    <row r="29445" spans="1:2" x14ac:dyDescent="0.25">
      <c r="A29445" s="2">
        <v>29440</v>
      </c>
      <c r="B29445" s="3" t="str">
        <f>"201303000480"</f>
        <v>201303000480</v>
      </c>
    </row>
    <row r="29446" spans="1:2" x14ac:dyDescent="0.25">
      <c r="A29446" s="2">
        <v>29441</v>
      </c>
      <c r="B29446" s="3" t="str">
        <f>"201303000517"</f>
        <v>201303000517</v>
      </c>
    </row>
    <row r="29447" spans="1:2" x14ac:dyDescent="0.25">
      <c r="A29447" s="2">
        <v>29442</v>
      </c>
      <c r="B29447" s="3" t="str">
        <f>"201303000529"</f>
        <v>201303000529</v>
      </c>
    </row>
    <row r="29448" spans="1:2" x14ac:dyDescent="0.25">
      <c r="A29448" s="2">
        <v>29443</v>
      </c>
      <c r="B29448" s="3" t="str">
        <f>"201303000534"</f>
        <v>201303000534</v>
      </c>
    </row>
    <row r="29449" spans="1:2" x14ac:dyDescent="0.25">
      <c r="A29449" s="2">
        <v>29444</v>
      </c>
      <c r="B29449" s="3" t="str">
        <f>"201303000599"</f>
        <v>201303000599</v>
      </c>
    </row>
    <row r="29450" spans="1:2" x14ac:dyDescent="0.25">
      <c r="A29450" s="2">
        <v>29445</v>
      </c>
      <c r="B29450" s="3" t="str">
        <f>"201303000620"</f>
        <v>201303000620</v>
      </c>
    </row>
    <row r="29451" spans="1:2" x14ac:dyDescent="0.25">
      <c r="A29451" s="2">
        <v>29446</v>
      </c>
      <c r="B29451" s="3" t="str">
        <f>"201303000624"</f>
        <v>201303000624</v>
      </c>
    </row>
    <row r="29452" spans="1:2" x14ac:dyDescent="0.25">
      <c r="A29452" s="2">
        <v>29447</v>
      </c>
      <c r="B29452" s="3" t="str">
        <f>"201303000654"</f>
        <v>201303000654</v>
      </c>
    </row>
    <row r="29453" spans="1:2" x14ac:dyDescent="0.25">
      <c r="A29453" s="2">
        <v>29448</v>
      </c>
      <c r="B29453" s="3" t="str">
        <f>"201303000657"</f>
        <v>201303000657</v>
      </c>
    </row>
    <row r="29454" spans="1:2" x14ac:dyDescent="0.25">
      <c r="A29454" s="2">
        <v>29449</v>
      </c>
      <c r="B29454" s="3" t="str">
        <f>"201303000710"</f>
        <v>201303000710</v>
      </c>
    </row>
    <row r="29455" spans="1:2" x14ac:dyDescent="0.25">
      <c r="A29455" s="2">
        <v>29450</v>
      </c>
      <c r="B29455" s="3" t="str">
        <f>"201303000726"</f>
        <v>201303000726</v>
      </c>
    </row>
    <row r="29456" spans="1:2" x14ac:dyDescent="0.25">
      <c r="A29456" s="2">
        <v>29451</v>
      </c>
      <c r="B29456" s="3" t="str">
        <f>"201303000754"</f>
        <v>201303000754</v>
      </c>
    </row>
    <row r="29457" spans="1:2" x14ac:dyDescent="0.25">
      <c r="A29457" s="2">
        <v>29452</v>
      </c>
      <c r="B29457" s="3" t="str">
        <f>"201303000774"</f>
        <v>201303000774</v>
      </c>
    </row>
    <row r="29458" spans="1:2" x14ac:dyDescent="0.25">
      <c r="A29458" s="2">
        <v>29453</v>
      </c>
      <c r="B29458" s="3" t="str">
        <f>"201303000784"</f>
        <v>201303000784</v>
      </c>
    </row>
    <row r="29459" spans="1:2" x14ac:dyDescent="0.25">
      <c r="A29459" s="2">
        <v>29454</v>
      </c>
      <c r="B29459" s="3" t="str">
        <f>"201303000828"</f>
        <v>201303000828</v>
      </c>
    </row>
    <row r="29460" spans="1:2" x14ac:dyDescent="0.25">
      <c r="A29460" s="2">
        <v>29455</v>
      </c>
      <c r="B29460" s="3" t="str">
        <f>"201303000842"</f>
        <v>201303000842</v>
      </c>
    </row>
    <row r="29461" spans="1:2" x14ac:dyDescent="0.25">
      <c r="A29461" s="2">
        <v>29456</v>
      </c>
      <c r="B29461" s="3" t="str">
        <f>"201303000875"</f>
        <v>201303000875</v>
      </c>
    </row>
    <row r="29462" spans="1:2" x14ac:dyDescent="0.25">
      <c r="A29462" s="2">
        <v>29457</v>
      </c>
      <c r="B29462" s="3" t="str">
        <f>"201303000913"</f>
        <v>201303000913</v>
      </c>
    </row>
    <row r="29463" spans="1:2" x14ac:dyDescent="0.25">
      <c r="A29463" s="2">
        <v>29458</v>
      </c>
      <c r="B29463" s="3" t="str">
        <f>"201303000943"</f>
        <v>201303000943</v>
      </c>
    </row>
    <row r="29464" spans="1:2" x14ac:dyDescent="0.25">
      <c r="A29464" s="2">
        <v>29459</v>
      </c>
      <c r="B29464" s="3" t="str">
        <f>"201303001067"</f>
        <v>201303001067</v>
      </c>
    </row>
    <row r="29465" spans="1:2" x14ac:dyDescent="0.25">
      <c r="A29465" s="2">
        <v>29460</v>
      </c>
      <c r="B29465" s="3" t="str">
        <f>"201304000154"</f>
        <v>201304000154</v>
      </c>
    </row>
    <row r="29466" spans="1:2" x14ac:dyDescent="0.25">
      <c r="A29466" s="2">
        <v>29461</v>
      </c>
      <c r="B29466" s="3" t="str">
        <f>"201304000202"</f>
        <v>201304000202</v>
      </c>
    </row>
    <row r="29467" spans="1:2" x14ac:dyDescent="0.25">
      <c r="A29467" s="2">
        <v>29462</v>
      </c>
      <c r="B29467" s="3" t="str">
        <f>"201304000288"</f>
        <v>201304000288</v>
      </c>
    </row>
    <row r="29468" spans="1:2" x14ac:dyDescent="0.25">
      <c r="A29468" s="2">
        <v>29463</v>
      </c>
      <c r="B29468" s="3" t="str">
        <f>"201304000297"</f>
        <v>201304000297</v>
      </c>
    </row>
    <row r="29469" spans="1:2" x14ac:dyDescent="0.25">
      <c r="A29469" s="2">
        <v>29464</v>
      </c>
      <c r="B29469" s="3" t="str">
        <f>"201304000332"</f>
        <v>201304000332</v>
      </c>
    </row>
    <row r="29470" spans="1:2" x14ac:dyDescent="0.25">
      <c r="A29470" s="2">
        <v>29465</v>
      </c>
      <c r="B29470" s="3" t="str">
        <f>"201304000354"</f>
        <v>201304000354</v>
      </c>
    </row>
    <row r="29471" spans="1:2" x14ac:dyDescent="0.25">
      <c r="A29471" s="2">
        <v>29466</v>
      </c>
      <c r="B29471" s="3" t="str">
        <f>"201304000376"</f>
        <v>201304000376</v>
      </c>
    </row>
    <row r="29472" spans="1:2" x14ac:dyDescent="0.25">
      <c r="A29472" s="2">
        <v>29467</v>
      </c>
      <c r="B29472" s="3" t="str">
        <f>"201304000537"</f>
        <v>201304000537</v>
      </c>
    </row>
    <row r="29473" spans="1:2" x14ac:dyDescent="0.25">
      <c r="A29473" s="2">
        <v>29468</v>
      </c>
      <c r="B29473" s="3" t="str">
        <f>"201304000562"</f>
        <v>201304000562</v>
      </c>
    </row>
    <row r="29474" spans="1:2" x14ac:dyDescent="0.25">
      <c r="A29474" s="2">
        <v>29469</v>
      </c>
      <c r="B29474" s="3" t="str">
        <f>"201304000649"</f>
        <v>201304000649</v>
      </c>
    </row>
    <row r="29475" spans="1:2" x14ac:dyDescent="0.25">
      <c r="A29475" s="2">
        <v>29470</v>
      </c>
      <c r="B29475" s="3" t="str">
        <f>"201304000678"</f>
        <v>201304000678</v>
      </c>
    </row>
    <row r="29476" spans="1:2" x14ac:dyDescent="0.25">
      <c r="A29476" s="2">
        <v>29471</v>
      </c>
      <c r="B29476" s="3" t="str">
        <f>"201304000725"</f>
        <v>201304000725</v>
      </c>
    </row>
    <row r="29477" spans="1:2" x14ac:dyDescent="0.25">
      <c r="A29477" s="2">
        <v>29472</v>
      </c>
      <c r="B29477" s="3" t="str">
        <f>"201304000811"</f>
        <v>201304000811</v>
      </c>
    </row>
    <row r="29478" spans="1:2" x14ac:dyDescent="0.25">
      <c r="A29478" s="2">
        <v>29473</v>
      </c>
      <c r="B29478" s="3" t="str">
        <f>"201304000850"</f>
        <v>201304000850</v>
      </c>
    </row>
    <row r="29479" spans="1:2" x14ac:dyDescent="0.25">
      <c r="A29479" s="2">
        <v>29474</v>
      </c>
      <c r="B29479" s="3" t="str">
        <f>"201304000851"</f>
        <v>201304000851</v>
      </c>
    </row>
    <row r="29480" spans="1:2" x14ac:dyDescent="0.25">
      <c r="A29480" s="2">
        <v>29475</v>
      </c>
      <c r="B29480" s="3" t="str">
        <f>"201304000932"</f>
        <v>201304000932</v>
      </c>
    </row>
    <row r="29481" spans="1:2" x14ac:dyDescent="0.25">
      <c r="A29481" s="2">
        <v>29476</v>
      </c>
      <c r="B29481" s="3" t="str">
        <f>"201304000955"</f>
        <v>201304000955</v>
      </c>
    </row>
    <row r="29482" spans="1:2" x14ac:dyDescent="0.25">
      <c r="A29482" s="2">
        <v>29477</v>
      </c>
      <c r="B29482" s="3" t="str">
        <f>"201304000990"</f>
        <v>201304000990</v>
      </c>
    </row>
    <row r="29483" spans="1:2" x14ac:dyDescent="0.25">
      <c r="A29483" s="2">
        <v>29478</v>
      </c>
      <c r="B29483" s="3" t="str">
        <f>"201304001069"</f>
        <v>201304001069</v>
      </c>
    </row>
    <row r="29484" spans="1:2" x14ac:dyDescent="0.25">
      <c r="A29484" s="2">
        <v>29479</v>
      </c>
      <c r="B29484" s="3" t="str">
        <f>"201304001117"</f>
        <v>201304001117</v>
      </c>
    </row>
    <row r="29485" spans="1:2" x14ac:dyDescent="0.25">
      <c r="A29485" s="2">
        <v>29480</v>
      </c>
      <c r="B29485" s="3" t="str">
        <f>"201304001165"</f>
        <v>201304001165</v>
      </c>
    </row>
    <row r="29486" spans="1:2" x14ac:dyDescent="0.25">
      <c r="A29486" s="2">
        <v>29481</v>
      </c>
      <c r="B29486" s="3" t="str">
        <f>"201304001188"</f>
        <v>201304001188</v>
      </c>
    </row>
    <row r="29487" spans="1:2" x14ac:dyDescent="0.25">
      <c r="A29487" s="2">
        <v>29482</v>
      </c>
      <c r="B29487" s="3" t="str">
        <f>"201304001191"</f>
        <v>201304001191</v>
      </c>
    </row>
    <row r="29488" spans="1:2" x14ac:dyDescent="0.25">
      <c r="A29488" s="2">
        <v>29483</v>
      </c>
      <c r="B29488" s="3" t="str">
        <f>"201304001204"</f>
        <v>201304001204</v>
      </c>
    </row>
    <row r="29489" spans="1:2" x14ac:dyDescent="0.25">
      <c r="A29489" s="2">
        <v>29484</v>
      </c>
      <c r="B29489" s="3" t="str">
        <f>"201304001209"</f>
        <v>201304001209</v>
      </c>
    </row>
    <row r="29490" spans="1:2" x14ac:dyDescent="0.25">
      <c r="A29490" s="2">
        <v>29485</v>
      </c>
      <c r="B29490" s="3" t="str">
        <f>"201304001270"</f>
        <v>201304001270</v>
      </c>
    </row>
    <row r="29491" spans="1:2" x14ac:dyDescent="0.25">
      <c r="A29491" s="2">
        <v>29486</v>
      </c>
      <c r="B29491" s="3" t="str">
        <f>"201304001330"</f>
        <v>201304001330</v>
      </c>
    </row>
    <row r="29492" spans="1:2" x14ac:dyDescent="0.25">
      <c r="A29492" s="2">
        <v>29487</v>
      </c>
      <c r="B29492" s="3" t="str">
        <f>"201304001473"</f>
        <v>201304001473</v>
      </c>
    </row>
    <row r="29493" spans="1:2" x14ac:dyDescent="0.25">
      <c r="A29493" s="2">
        <v>29488</v>
      </c>
      <c r="B29493" s="3" t="str">
        <f>"201304001510"</f>
        <v>201304001510</v>
      </c>
    </row>
    <row r="29494" spans="1:2" x14ac:dyDescent="0.25">
      <c r="A29494" s="2">
        <v>29489</v>
      </c>
      <c r="B29494" s="3" t="str">
        <f>"201304001511"</f>
        <v>201304001511</v>
      </c>
    </row>
    <row r="29495" spans="1:2" x14ac:dyDescent="0.25">
      <c r="A29495" s="2">
        <v>29490</v>
      </c>
      <c r="B29495" s="3" t="str">
        <f>"201304001574"</f>
        <v>201304001574</v>
      </c>
    </row>
    <row r="29496" spans="1:2" x14ac:dyDescent="0.25">
      <c r="A29496" s="2">
        <v>29491</v>
      </c>
      <c r="B29496" s="3" t="str">
        <f>"201304001624"</f>
        <v>201304001624</v>
      </c>
    </row>
    <row r="29497" spans="1:2" x14ac:dyDescent="0.25">
      <c r="A29497" s="2">
        <v>29492</v>
      </c>
      <c r="B29497" s="3" t="str">
        <f>"201304001647"</f>
        <v>201304001647</v>
      </c>
    </row>
    <row r="29498" spans="1:2" x14ac:dyDescent="0.25">
      <c r="A29498" s="2">
        <v>29493</v>
      </c>
      <c r="B29498" s="3" t="str">
        <f>"201304001659"</f>
        <v>201304001659</v>
      </c>
    </row>
    <row r="29499" spans="1:2" x14ac:dyDescent="0.25">
      <c r="A29499" s="2">
        <v>29494</v>
      </c>
      <c r="B29499" s="3" t="str">
        <f>"201304001691"</f>
        <v>201304001691</v>
      </c>
    </row>
    <row r="29500" spans="1:2" x14ac:dyDescent="0.25">
      <c r="A29500" s="2">
        <v>29495</v>
      </c>
      <c r="B29500" s="3" t="str">
        <f>"201304001714"</f>
        <v>201304001714</v>
      </c>
    </row>
    <row r="29501" spans="1:2" x14ac:dyDescent="0.25">
      <c r="A29501" s="2">
        <v>29496</v>
      </c>
      <c r="B29501" s="3" t="str">
        <f>"201304001754"</f>
        <v>201304001754</v>
      </c>
    </row>
    <row r="29502" spans="1:2" x14ac:dyDescent="0.25">
      <c r="A29502" s="2">
        <v>29497</v>
      </c>
      <c r="B29502" s="3" t="str">
        <f>"201304001792"</f>
        <v>201304001792</v>
      </c>
    </row>
    <row r="29503" spans="1:2" x14ac:dyDescent="0.25">
      <c r="A29503" s="2">
        <v>29498</v>
      </c>
      <c r="B29503" s="3" t="str">
        <f>"201304001808"</f>
        <v>201304001808</v>
      </c>
    </row>
    <row r="29504" spans="1:2" x14ac:dyDescent="0.25">
      <c r="A29504" s="2">
        <v>29499</v>
      </c>
      <c r="B29504" s="3" t="str">
        <f>"201304001850"</f>
        <v>201304001850</v>
      </c>
    </row>
    <row r="29505" spans="1:2" x14ac:dyDescent="0.25">
      <c r="A29505" s="2">
        <v>29500</v>
      </c>
      <c r="B29505" s="3" t="str">
        <f>"201304001957"</f>
        <v>201304001957</v>
      </c>
    </row>
    <row r="29506" spans="1:2" x14ac:dyDescent="0.25">
      <c r="A29506" s="2">
        <v>29501</v>
      </c>
      <c r="B29506" s="3" t="str">
        <f>"201304002057"</f>
        <v>201304002057</v>
      </c>
    </row>
    <row r="29507" spans="1:2" x14ac:dyDescent="0.25">
      <c r="A29507" s="2">
        <v>29502</v>
      </c>
      <c r="B29507" s="3" t="str">
        <f>"201304002163"</f>
        <v>201304002163</v>
      </c>
    </row>
    <row r="29508" spans="1:2" x14ac:dyDescent="0.25">
      <c r="A29508" s="2">
        <v>29503</v>
      </c>
      <c r="B29508" s="3" t="str">
        <f>"201304002167"</f>
        <v>201304002167</v>
      </c>
    </row>
    <row r="29509" spans="1:2" x14ac:dyDescent="0.25">
      <c r="A29509" s="2">
        <v>29504</v>
      </c>
      <c r="B29509" s="3" t="str">
        <f>"201304002171"</f>
        <v>201304002171</v>
      </c>
    </row>
    <row r="29510" spans="1:2" x14ac:dyDescent="0.25">
      <c r="A29510" s="2">
        <v>29505</v>
      </c>
      <c r="B29510" s="3" t="str">
        <f>"201304002215"</f>
        <v>201304002215</v>
      </c>
    </row>
    <row r="29511" spans="1:2" x14ac:dyDescent="0.25">
      <c r="A29511" s="2">
        <v>29506</v>
      </c>
      <c r="B29511" s="3" t="str">
        <f>"201304002225"</f>
        <v>201304002225</v>
      </c>
    </row>
    <row r="29512" spans="1:2" x14ac:dyDescent="0.25">
      <c r="A29512" s="2">
        <v>29507</v>
      </c>
      <c r="B29512" s="3" t="str">
        <f>"201304002278"</f>
        <v>201304002278</v>
      </c>
    </row>
    <row r="29513" spans="1:2" x14ac:dyDescent="0.25">
      <c r="A29513" s="2">
        <v>29508</v>
      </c>
      <c r="B29513" s="3" t="str">
        <f>"201304002350"</f>
        <v>201304002350</v>
      </c>
    </row>
    <row r="29514" spans="1:2" x14ac:dyDescent="0.25">
      <c r="A29514" s="2">
        <v>29509</v>
      </c>
      <c r="B29514" s="3" t="str">
        <f>"201304002368"</f>
        <v>201304002368</v>
      </c>
    </row>
    <row r="29515" spans="1:2" x14ac:dyDescent="0.25">
      <c r="A29515" s="2">
        <v>29510</v>
      </c>
      <c r="B29515" s="3" t="str">
        <f>"201304002380"</f>
        <v>201304002380</v>
      </c>
    </row>
    <row r="29516" spans="1:2" x14ac:dyDescent="0.25">
      <c r="A29516" s="2">
        <v>29511</v>
      </c>
      <c r="B29516" s="3" t="str">
        <f>"201304002476"</f>
        <v>201304002476</v>
      </c>
    </row>
    <row r="29517" spans="1:2" x14ac:dyDescent="0.25">
      <c r="A29517" s="2">
        <v>29512</v>
      </c>
      <c r="B29517" s="3" t="str">
        <f>"201304002536"</f>
        <v>201304002536</v>
      </c>
    </row>
    <row r="29518" spans="1:2" x14ac:dyDescent="0.25">
      <c r="A29518" s="2">
        <v>29513</v>
      </c>
      <c r="B29518" s="3" t="str">
        <f>"201304002556"</f>
        <v>201304002556</v>
      </c>
    </row>
    <row r="29519" spans="1:2" x14ac:dyDescent="0.25">
      <c r="A29519" s="2">
        <v>29514</v>
      </c>
      <c r="B29519" s="3" t="str">
        <f>"201304002679"</f>
        <v>201304002679</v>
      </c>
    </row>
    <row r="29520" spans="1:2" x14ac:dyDescent="0.25">
      <c r="A29520" s="2">
        <v>29515</v>
      </c>
      <c r="B29520" s="3" t="str">
        <f>"201304002789"</f>
        <v>201304002789</v>
      </c>
    </row>
    <row r="29521" spans="1:2" x14ac:dyDescent="0.25">
      <c r="A29521" s="2">
        <v>29516</v>
      </c>
      <c r="B29521" s="3" t="str">
        <f>"201304002873"</f>
        <v>201304002873</v>
      </c>
    </row>
    <row r="29522" spans="1:2" x14ac:dyDescent="0.25">
      <c r="A29522" s="2">
        <v>29517</v>
      </c>
      <c r="B29522" s="3" t="str">
        <f>"201304002906"</f>
        <v>201304002906</v>
      </c>
    </row>
    <row r="29523" spans="1:2" x14ac:dyDescent="0.25">
      <c r="A29523" s="2">
        <v>29518</v>
      </c>
      <c r="B29523" s="3" t="str">
        <f>"201304002945"</f>
        <v>201304002945</v>
      </c>
    </row>
    <row r="29524" spans="1:2" x14ac:dyDescent="0.25">
      <c r="A29524" s="2">
        <v>29519</v>
      </c>
      <c r="B29524" s="3" t="str">
        <f>"201304002984"</f>
        <v>201304002984</v>
      </c>
    </row>
    <row r="29525" spans="1:2" x14ac:dyDescent="0.25">
      <c r="A29525" s="2">
        <v>29520</v>
      </c>
      <c r="B29525" s="3" t="str">
        <f>"201304002997"</f>
        <v>201304002997</v>
      </c>
    </row>
    <row r="29526" spans="1:2" x14ac:dyDescent="0.25">
      <c r="A29526" s="2">
        <v>29521</v>
      </c>
      <c r="B29526" s="3" t="str">
        <f>"201304003054"</f>
        <v>201304003054</v>
      </c>
    </row>
    <row r="29527" spans="1:2" x14ac:dyDescent="0.25">
      <c r="A29527" s="2">
        <v>29522</v>
      </c>
      <c r="B29527" s="3" t="str">
        <f>"201304003094"</f>
        <v>201304003094</v>
      </c>
    </row>
    <row r="29528" spans="1:2" x14ac:dyDescent="0.25">
      <c r="A29528" s="2">
        <v>29523</v>
      </c>
      <c r="B29528" s="3" t="str">
        <f>"201304003105"</f>
        <v>201304003105</v>
      </c>
    </row>
    <row r="29529" spans="1:2" x14ac:dyDescent="0.25">
      <c r="A29529" s="2">
        <v>29524</v>
      </c>
      <c r="B29529" s="3" t="str">
        <f>"201304003113"</f>
        <v>201304003113</v>
      </c>
    </row>
    <row r="29530" spans="1:2" x14ac:dyDescent="0.25">
      <c r="A29530" s="2">
        <v>29525</v>
      </c>
      <c r="B29530" s="3" t="str">
        <f>"201304003119"</f>
        <v>201304003119</v>
      </c>
    </row>
    <row r="29531" spans="1:2" x14ac:dyDescent="0.25">
      <c r="A29531" s="2">
        <v>29526</v>
      </c>
      <c r="B29531" s="3" t="str">
        <f>"201304003136"</f>
        <v>201304003136</v>
      </c>
    </row>
    <row r="29532" spans="1:2" x14ac:dyDescent="0.25">
      <c r="A29532" s="2">
        <v>29527</v>
      </c>
      <c r="B29532" s="3" t="str">
        <f>"201304003174"</f>
        <v>201304003174</v>
      </c>
    </row>
    <row r="29533" spans="1:2" x14ac:dyDescent="0.25">
      <c r="A29533" s="2">
        <v>29528</v>
      </c>
      <c r="B29533" s="3" t="str">
        <f>"201304003201"</f>
        <v>201304003201</v>
      </c>
    </row>
    <row r="29534" spans="1:2" x14ac:dyDescent="0.25">
      <c r="A29534" s="2">
        <v>29529</v>
      </c>
      <c r="B29534" s="3" t="str">
        <f>"201304003205"</f>
        <v>201304003205</v>
      </c>
    </row>
    <row r="29535" spans="1:2" x14ac:dyDescent="0.25">
      <c r="A29535" s="2">
        <v>29530</v>
      </c>
      <c r="B29535" s="3" t="str">
        <f>"201304003246"</f>
        <v>201304003246</v>
      </c>
    </row>
    <row r="29536" spans="1:2" x14ac:dyDescent="0.25">
      <c r="A29536" s="2">
        <v>29531</v>
      </c>
      <c r="B29536" s="3" t="str">
        <f>"201304003260"</f>
        <v>201304003260</v>
      </c>
    </row>
    <row r="29537" spans="1:2" x14ac:dyDescent="0.25">
      <c r="A29537" s="2">
        <v>29532</v>
      </c>
      <c r="B29537" s="3" t="str">
        <f>"201304003368"</f>
        <v>201304003368</v>
      </c>
    </row>
    <row r="29538" spans="1:2" x14ac:dyDescent="0.25">
      <c r="A29538" s="2">
        <v>29533</v>
      </c>
      <c r="B29538" s="3" t="str">
        <f>"201304003415"</f>
        <v>201304003415</v>
      </c>
    </row>
    <row r="29539" spans="1:2" x14ac:dyDescent="0.25">
      <c r="A29539" s="2">
        <v>29534</v>
      </c>
      <c r="B29539" s="3" t="str">
        <f>"201304003419"</f>
        <v>201304003419</v>
      </c>
    </row>
    <row r="29540" spans="1:2" x14ac:dyDescent="0.25">
      <c r="A29540" s="2">
        <v>29535</v>
      </c>
      <c r="B29540" s="3" t="str">
        <f>"201304003486"</f>
        <v>201304003486</v>
      </c>
    </row>
    <row r="29541" spans="1:2" x14ac:dyDescent="0.25">
      <c r="A29541" s="2">
        <v>29536</v>
      </c>
      <c r="B29541" s="3" t="str">
        <f>"201304003509"</f>
        <v>201304003509</v>
      </c>
    </row>
    <row r="29542" spans="1:2" x14ac:dyDescent="0.25">
      <c r="A29542" s="2">
        <v>29537</v>
      </c>
      <c r="B29542" s="3" t="str">
        <f>"201304003516"</f>
        <v>201304003516</v>
      </c>
    </row>
    <row r="29543" spans="1:2" x14ac:dyDescent="0.25">
      <c r="A29543" s="2">
        <v>29538</v>
      </c>
      <c r="B29543" s="3" t="str">
        <f>"201304003569"</f>
        <v>201304003569</v>
      </c>
    </row>
    <row r="29544" spans="1:2" x14ac:dyDescent="0.25">
      <c r="A29544" s="2">
        <v>29539</v>
      </c>
      <c r="B29544" s="3" t="str">
        <f>"201304003634"</f>
        <v>201304003634</v>
      </c>
    </row>
    <row r="29545" spans="1:2" x14ac:dyDescent="0.25">
      <c r="A29545" s="2">
        <v>29540</v>
      </c>
      <c r="B29545" s="3" t="str">
        <f>"201304003639"</f>
        <v>201304003639</v>
      </c>
    </row>
    <row r="29546" spans="1:2" x14ac:dyDescent="0.25">
      <c r="A29546" s="2">
        <v>29541</v>
      </c>
      <c r="B29546" s="3" t="str">
        <f>"201304003680"</f>
        <v>201304003680</v>
      </c>
    </row>
    <row r="29547" spans="1:2" x14ac:dyDescent="0.25">
      <c r="A29547" s="2">
        <v>29542</v>
      </c>
      <c r="B29547" s="3" t="str">
        <f>"201304003691"</f>
        <v>201304003691</v>
      </c>
    </row>
    <row r="29548" spans="1:2" x14ac:dyDescent="0.25">
      <c r="A29548" s="2">
        <v>29543</v>
      </c>
      <c r="B29548" s="3" t="str">
        <f>"201304003733"</f>
        <v>201304003733</v>
      </c>
    </row>
    <row r="29549" spans="1:2" x14ac:dyDescent="0.25">
      <c r="A29549" s="2">
        <v>29544</v>
      </c>
      <c r="B29549" s="3" t="str">
        <f>"201304003740"</f>
        <v>201304003740</v>
      </c>
    </row>
    <row r="29550" spans="1:2" x14ac:dyDescent="0.25">
      <c r="A29550" s="2">
        <v>29545</v>
      </c>
      <c r="B29550" s="3" t="str">
        <f>"201304003765"</f>
        <v>201304003765</v>
      </c>
    </row>
    <row r="29551" spans="1:2" x14ac:dyDescent="0.25">
      <c r="A29551" s="2">
        <v>29546</v>
      </c>
      <c r="B29551" s="3" t="str">
        <f>"201304003984"</f>
        <v>201304003984</v>
      </c>
    </row>
    <row r="29552" spans="1:2" x14ac:dyDescent="0.25">
      <c r="A29552" s="2">
        <v>29547</v>
      </c>
      <c r="B29552" s="3" t="str">
        <f>"201304003985"</f>
        <v>201304003985</v>
      </c>
    </row>
    <row r="29553" spans="1:2" x14ac:dyDescent="0.25">
      <c r="A29553" s="2">
        <v>29548</v>
      </c>
      <c r="B29553" s="3" t="str">
        <f>"201304004222"</f>
        <v>201304004222</v>
      </c>
    </row>
    <row r="29554" spans="1:2" x14ac:dyDescent="0.25">
      <c r="A29554" s="2">
        <v>29549</v>
      </c>
      <c r="B29554" s="3" t="str">
        <f>"201304004264"</f>
        <v>201304004264</v>
      </c>
    </row>
    <row r="29555" spans="1:2" x14ac:dyDescent="0.25">
      <c r="A29555" s="2">
        <v>29550</v>
      </c>
      <c r="B29555" s="3" t="str">
        <f>"201304004294"</f>
        <v>201304004294</v>
      </c>
    </row>
    <row r="29556" spans="1:2" x14ac:dyDescent="0.25">
      <c r="A29556" s="2">
        <v>29551</v>
      </c>
      <c r="B29556" s="3" t="str">
        <f>"201304004345"</f>
        <v>201304004345</v>
      </c>
    </row>
    <row r="29557" spans="1:2" x14ac:dyDescent="0.25">
      <c r="A29557" s="2">
        <v>29552</v>
      </c>
      <c r="B29557" s="3" t="str">
        <f>"201304004402"</f>
        <v>201304004402</v>
      </c>
    </row>
    <row r="29558" spans="1:2" x14ac:dyDescent="0.25">
      <c r="A29558" s="2">
        <v>29553</v>
      </c>
      <c r="B29558" s="3" t="str">
        <f>"201304004415"</f>
        <v>201304004415</v>
      </c>
    </row>
    <row r="29559" spans="1:2" x14ac:dyDescent="0.25">
      <c r="A29559" s="2">
        <v>29554</v>
      </c>
      <c r="B29559" s="3" t="str">
        <f>"201304004422"</f>
        <v>201304004422</v>
      </c>
    </row>
    <row r="29560" spans="1:2" x14ac:dyDescent="0.25">
      <c r="A29560" s="2">
        <v>29555</v>
      </c>
      <c r="B29560" s="3" t="str">
        <f>"201304004431"</f>
        <v>201304004431</v>
      </c>
    </row>
    <row r="29561" spans="1:2" x14ac:dyDescent="0.25">
      <c r="A29561" s="2">
        <v>29556</v>
      </c>
      <c r="B29561" s="3" t="str">
        <f>"201304004443"</f>
        <v>201304004443</v>
      </c>
    </row>
    <row r="29562" spans="1:2" x14ac:dyDescent="0.25">
      <c r="A29562" s="2">
        <v>29557</v>
      </c>
      <c r="B29562" s="3" t="str">
        <f>"201304004448"</f>
        <v>201304004448</v>
      </c>
    </row>
    <row r="29563" spans="1:2" x14ac:dyDescent="0.25">
      <c r="A29563" s="2">
        <v>29558</v>
      </c>
      <c r="B29563" s="3" t="str">
        <f>"201304004544"</f>
        <v>201304004544</v>
      </c>
    </row>
    <row r="29564" spans="1:2" x14ac:dyDescent="0.25">
      <c r="A29564" s="2">
        <v>29559</v>
      </c>
      <c r="B29564" s="3" t="str">
        <f>"201304004547"</f>
        <v>201304004547</v>
      </c>
    </row>
    <row r="29565" spans="1:2" x14ac:dyDescent="0.25">
      <c r="A29565" s="2">
        <v>29560</v>
      </c>
      <c r="B29565" s="3" t="str">
        <f>"201304004564"</f>
        <v>201304004564</v>
      </c>
    </row>
    <row r="29566" spans="1:2" x14ac:dyDescent="0.25">
      <c r="A29566" s="2">
        <v>29561</v>
      </c>
      <c r="B29566" s="3" t="str">
        <f>"201304004567"</f>
        <v>201304004567</v>
      </c>
    </row>
    <row r="29567" spans="1:2" x14ac:dyDescent="0.25">
      <c r="A29567" s="2">
        <v>29562</v>
      </c>
      <c r="B29567" s="3" t="str">
        <f>"201304004584"</f>
        <v>201304004584</v>
      </c>
    </row>
    <row r="29568" spans="1:2" x14ac:dyDescent="0.25">
      <c r="A29568" s="2">
        <v>29563</v>
      </c>
      <c r="B29568" s="3" t="str">
        <f>"201304004678"</f>
        <v>201304004678</v>
      </c>
    </row>
    <row r="29569" spans="1:2" x14ac:dyDescent="0.25">
      <c r="A29569" s="2">
        <v>29564</v>
      </c>
      <c r="B29569" s="3" t="str">
        <f>"201304004745"</f>
        <v>201304004745</v>
      </c>
    </row>
    <row r="29570" spans="1:2" x14ac:dyDescent="0.25">
      <c r="A29570" s="2">
        <v>29565</v>
      </c>
      <c r="B29570" s="3" t="str">
        <f>"201304004757"</f>
        <v>201304004757</v>
      </c>
    </row>
    <row r="29571" spans="1:2" x14ac:dyDescent="0.25">
      <c r="A29571" s="2">
        <v>29566</v>
      </c>
      <c r="B29571" s="3" t="str">
        <f>"201304004855"</f>
        <v>201304004855</v>
      </c>
    </row>
    <row r="29572" spans="1:2" x14ac:dyDescent="0.25">
      <c r="A29572" s="2">
        <v>29567</v>
      </c>
      <c r="B29572" s="3" t="str">
        <f>"201304004941"</f>
        <v>201304004941</v>
      </c>
    </row>
    <row r="29573" spans="1:2" x14ac:dyDescent="0.25">
      <c r="A29573" s="2">
        <v>29568</v>
      </c>
      <c r="B29573" s="3" t="str">
        <f>"201304005039"</f>
        <v>201304005039</v>
      </c>
    </row>
    <row r="29574" spans="1:2" x14ac:dyDescent="0.25">
      <c r="A29574" s="2">
        <v>29569</v>
      </c>
      <c r="B29574" s="3" t="str">
        <f>"201304005068"</f>
        <v>201304005068</v>
      </c>
    </row>
    <row r="29575" spans="1:2" x14ac:dyDescent="0.25">
      <c r="A29575" s="2">
        <v>29570</v>
      </c>
      <c r="B29575" s="3" t="str">
        <f>"201304005091"</f>
        <v>201304005091</v>
      </c>
    </row>
    <row r="29576" spans="1:2" x14ac:dyDescent="0.25">
      <c r="A29576" s="2">
        <v>29571</v>
      </c>
      <c r="B29576" s="3" t="str">
        <f>"201304005113"</f>
        <v>201304005113</v>
      </c>
    </row>
    <row r="29577" spans="1:2" x14ac:dyDescent="0.25">
      <c r="A29577" s="2">
        <v>29572</v>
      </c>
      <c r="B29577" s="3" t="str">
        <f>"201304005148"</f>
        <v>201304005148</v>
      </c>
    </row>
    <row r="29578" spans="1:2" x14ac:dyDescent="0.25">
      <c r="A29578" s="2">
        <v>29573</v>
      </c>
      <c r="B29578" s="3" t="str">
        <f>"201304005151"</f>
        <v>201304005151</v>
      </c>
    </row>
    <row r="29579" spans="1:2" x14ac:dyDescent="0.25">
      <c r="A29579" s="2">
        <v>29574</v>
      </c>
      <c r="B29579" s="3" t="str">
        <f>"201304005233"</f>
        <v>201304005233</v>
      </c>
    </row>
    <row r="29580" spans="1:2" x14ac:dyDescent="0.25">
      <c r="A29580" s="2">
        <v>29575</v>
      </c>
      <c r="B29580" s="3" t="str">
        <f>"201304005552"</f>
        <v>201304005552</v>
      </c>
    </row>
    <row r="29581" spans="1:2" x14ac:dyDescent="0.25">
      <c r="A29581" s="2">
        <v>29576</v>
      </c>
      <c r="B29581" s="3" t="str">
        <f>"201304005598"</f>
        <v>201304005598</v>
      </c>
    </row>
    <row r="29582" spans="1:2" x14ac:dyDescent="0.25">
      <c r="A29582" s="2">
        <v>29577</v>
      </c>
      <c r="B29582" s="3" t="str">
        <f>"201304005757"</f>
        <v>201304005757</v>
      </c>
    </row>
    <row r="29583" spans="1:2" x14ac:dyDescent="0.25">
      <c r="A29583" s="2">
        <v>29578</v>
      </c>
      <c r="B29583" s="3" t="str">
        <f>"201304005786"</f>
        <v>201304005786</v>
      </c>
    </row>
    <row r="29584" spans="1:2" x14ac:dyDescent="0.25">
      <c r="A29584" s="2">
        <v>29579</v>
      </c>
      <c r="B29584" s="3" t="str">
        <f>"201304005813"</f>
        <v>201304005813</v>
      </c>
    </row>
    <row r="29585" spans="1:2" x14ac:dyDescent="0.25">
      <c r="A29585" s="2">
        <v>29580</v>
      </c>
      <c r="B29585" s="3" t="str">
        <f>"201304005817"</f>
        <v>201304005817</v>
      </c>
    </row>
    <row r="29586" spans="1:2" x14ac:dyDescent="0.25">
      <c r="A29586" s="2">
        <v>29581</v>
      </c>
      <c r="B29586" s="3" t="str">
        <f>"201304005860"</f>
        <v>201304005860</v>
      </c>
    </row>
    <row r="29587" spans="1:2" x14ac:dyDescent="0.25">
      <c r="A29587" s="2">
        <v>29582</v>
      </c>
      <c r="B29587" s="3" t="str">
        <f>"201304005933"</f>
        <v>201304005933</v>
      </c>
    </row>
    <row r="29588" spans="1:2" x14ac:dyDescent="0.25">
      <c r="A29588" s="2">
        <v>29583</v>
      </c>
      <c r="B29588" s="3" t="str">
        <f>"201304005947"</f>
        <v>201304005947</v>
      </c>
    </row>
    <row r="29589" spans="1:2" x14ac:dyDescent="0.25">
      <c r="A29589" s="2">
        <v>29584</v>
      </c>
      <c r="B29589" s="3" t="str">
        <f>"201304006009"</f>
        <v>201304006009</v>
      </c>
    </row>
    <row r="29590" spans="1:2" x14ac:dyDescent="0.25">
      <c r="A29590" s="2">
        <v>29585</v>
      </c>
      <c r="B29590" s="3" t="str">
        <f>"201304006010"</f>
        <v>201304006010</v>
      </c>
    </row>
    <row r="29591" spans="1:2" x14ac:dyDescent="0.25">
      <c r="A29591" s="2">
        <v>29586</v>
      </c>
      <c r="B29591" s="3" t="str">
        <f>"201304006026"</f>
        <v>201304006026</v>
      </c>
    </row>
    <row r="29592" spans="1:2" x14ac:dyDescent="0.25">
      <c r="A29592" s="2">
        <v>29587</v>
      </c>
      <c r="B29592" s="3" t="str">
        <f>"201304006033"</f>
        <v>201304006033</v>
      </c>
    </row>
    <row r="29593" spans="1:2" x14ac:dyDescent="0.25">
      <c r="A29593" s="2">
        <v>29588</v>
      </c>
      <c r="B29593" s="3" t="str">
        <f>"201304006149"</f>
        <v>201304006149</v>
      </c>
    </row>
    <row r="29594" spans="1:2" x14ac:dyDescent="0.25">
      <c r="A29594" s="2">
        <v>29589</v>
      </c>
      <c r="B29594" s="3" t="str">
        <f>"201304006185"</f>
        <v>201304006185</v>
      </c>
    </row>
    <row r="29595" spans="1:2" x14ac:dyDescent="0.25">
      <c r="A29595" s="2">
        <v>29590</v>
      </c>
      <c r="B29595" s="3" t="str">
        <f>"201304006259"</f>
        <v>201304006259</v>
      </c>
    </row>
    <row r="29596" spans="1:2" x14ac:dyDescent="0.25">
      <c r="A29596" s="2">
        <v>29591</v>
      </c>
      <c r="B29596" s="3" t="str">
        <f>"201304006260"</f>
        <v>201304006260</v>
      </c>
    </row>
    <row r="29597" spans="1:2" x14ac:dyDescent="0.25">
      <c r="A29597" s="2">
        <v>29592</v>
      </c>
      <c r="B29597" s="3" t="str">
        <f>"201304006262"</f>
        <v>201304006262</v>
      </c>
    </row>
    <row r="29598" spans="1:2" x14ac:dyDescent="0.25">
      <c r="A29598" s="2">
        <v>29593</v>
      </c>
      <c r="B29598" s="3" t="str">
        <f>"201304006264"</f>
        <v>201304006264</v>
      </c>
    </row>
    <row r="29599" spans="1:2" x14ac:dyDescent="0.25">
      <c r="A29599" s="2">
        <v>29594</v>
      </c>
      <c r="B29599" s="3" t="str">
        <f>"201304006272"</f>
        <v>201304006272</v>
      </c>
    </row>
    <row r="29600" spans="1:2" x14ac:dyDescent="0.25">
      <c r="A29600" s="2">
        <v>29595</v>
      </c>
      <c r="B29600" s="3" t="str">
        <f>"201304006290"</f>
        <v>201304006290</v>
      </c>
    </row>
    <row r="29601" spans="1:2" x14ac:dyDescent="0.25">
      <c r="A29601" s="2">
        <v>29596</v>
      </c>
      <c r="B29601" s="3" t="str">
        <f>"201304006294"</f>
        <v>201304006294</v>
      </c>
    </row>
    <row r="29602" spans="1:2" x14ac:dyDescent="0.25">
      <c r="A29602" s="2">
        <v>29597</v>
      </c>
      <c r="B29602" s="3" t="str">
        <f>"201304006397"</f>
        <v>201304006397</v>
      </c>
    </row>
    <row r="29603" spans="1:2" x14ac:dyDescent="0.25">
      <c r="A29603" s="2">
        <v>29598</v>
      </c>
      <c r="B29603" s="3" t="str">
        <f>"201304006502"</f>
        <v>201304006502</v>
      </c>
    </row>
    <row r="29604" spans="1:2" x14ac:dyDescent="0.25">
      <c r="A29604" s="2">
        <v>29599</v>
      </c>
      <c r="B29604" s="3" t="str">
        <f>"201304006521"</f>
        <v>201304006521</v>
      </c>
    </row>
    <row r="29605" spans="1:2" x14ac:dyDescent="0.25">
      <c r="A29605" s="2">
        <v>29600</v>
      </c>
      <c r="B29605" s="3" t="str">
        <f>"201304006545"</f>
        <v>201304006545</v>
      </c>
    </row>
    <row r="29606" spans="1:2" x14ac:dyDescent="0.25">
      <c r="A29606" s="2">
        <v>29601</v>
      </c>
      <c r="B29606" s="3" t="str">
        <f>"201304006576"</f>
        <v>201304006576</v>
      </c>
    </row>
    <row r="29607" spans="1:2" x14ac:dyDescent="0.25">
      <c r="A29607" s="2">
        <v>29602</v>
      </c>
      <c r="B29607" s="3" t="str">
        <f>"201304006614"</f>
        <v>201304006614</v>
      </c>
    </row>
    <row r="29608" spans="1:2" x14ac:dyDescent="0.25">
      <c r="A29608" s="2">
        <v>29603</v>
      </c>
      <c r="B29608" s="3" t="str">
        <f>"201305000069"</f>
        <v>201305000069</v>
      </c>
    </row>
    <row r="29609" spans="1:2" x14ac:dyDescent="0.25">
      <c r="A29609" s="2">
        <v>29604</v>
      </c>
      <c r="B29609" s="3" t="str">
        <f>"201305000101"</f>
        <v>201305000101</v>
      </c>
    </row>
    <row r="29610" spans="1:2" x14ac:dyDescent="0.25">
      <c r="A29610" s="2">
        <v>29605</v>
      </c>
      <c r="B29610" s="3" t="str">
        <f>"201306000015"</f>
        <v>201306000015</v>
      </c>
    </row>
    <row r="29611" spans="1:2" x14ac:dyDescent="0.25">
      <c r="A29611" s="2">
        <v>29606</v>
      </c>
      <c r="B29611" s="3" t="str">
        <f>"201306000016"</f>
        <v>201306000016</v>
      </c>
    </row>
    <row r="29612" spans="1:2" x14ac:dyDescent="0.25">
      <c r="A29612" s="2">
        <v>29607</v>
      </c>
      <c r="B29612" s="3" t="str">
        <f>"201306000018"</f>
        <v>201306000018</v>
      </c>
    </row>
    <row r="29613" spans="1:2" x14ac:dyDescent="0.25">
      <c r="A29613" s="2">
        <v>29608</v>
      </c>
      <c r="B29613" s="3" t="str">
        <f>"201306000035"</f>
        <v>201306000035</v>
      </c>
    </row>
    <row r="29614" spans="1:2" x14ac:dyDescent="0.25">
      <c r="A29614" s="2">
        <v>29609</v>
      </c>
      <c r="B29614" s="3" t="str">
        <f>"201306000069"</f>
        <v>201306000069</v>
      </c>
    </row>
    <row r="29615" spans="1:2" x14ac:dyDescent="0.25">
      <c r="A29615" s="2">
        <v>29610</v>
      </c>
      <c r="B29615" s="3" t="str">
        <f>"201307000035"</f>
        <v>201307000035</v>
      </c>
    </row>
    <row r="29616" spans="1:2" x14ac:dyDescent="0.25">
      <c r="A29616" s="2">
        <v>29611</v>
      </c>
      <c r="B29616" s="3" t="str">
        <f>"201307000041"</f>
        <v>201307000041</v>
      </c>
    </row>
    <row r="29617" spans="1:2" x14ac:dyDescent="0.25">
      <c r="A29617" s="2">
        <v>29612</v>
      </c>
      <c r="B29617" s="3" t="str">
        <f>"201307000042"</f>
        <v>201307000042</v>
      </c>
    </row>
    <row r="29618" spans="1:2" x14ac:dyDescent="0.25">
      <c r="A29618" s="2">
        <v>29613</v>
      </c>
      <c r="B29618" s="3" t="str">
        <f>"201307000048"</f>
        <v>201307000048</v>
      </c>
    </row>
    <row r="29619" spans="1:2" x14ac:dyDescent="0.25">
      <c r="A29619" s="2">
        <v>29614</v>
      </c>
      <c r="B29619" s="3" t="str">
        <f>"201307000091"</f>
        <v>201307000091</v>
      </c>
    </row>
    <row r="29620" spans="1:2" x14ac:dyDescent="0.25">
      <c r="A29620" s="2">
        <v>29615</v>
      </c>
      <c r="B29620" s="3" t="str">
        <f>"201308000006"</f>
        <v>201308000006</v>
      </c>
    </row>
    <row r="29621" spans="1:2" x14ac:dyDescent="0.25">
      <c r="A29621" s="2">
        <v>29616</v>
      </c>
      <c r="B29621" s="3" t="str">
        <f>"201308000033"</f>
        <v>201308000033</v>
      </c>
    </row>
    <row r="29622" spans="1:2" x14ac:dyDescent="0.25">
      <c r="A29622" s="2">
        <v>29617</v>
      </c>
      <c r="B29622" s="3" t="str">
        <f>"201309000019"</f>
        <v>201309000019</v>
      </c>
    </row>
    <row r="29623" spans="1:2" x14ac:dyDescent="0.25">
      <c r="A29623" s="2">
        <v>29618</v>
      </c>
      <c r="B29623" s="3" t="str">
        <f>"201309000026"</f>
        <v>201309000026</v>
      </c>
    </row>
    <row r="29624" spans="1:2" x14ac:dyDescent="0.25">
      <c r="A29624" s="2">
        <v>29619</v>
      </c>
      <c r="B29624" s="3" t="str">
        <f>"201309000035"</f>
        <v>201309000035</v>
      </c>
    </row>
    <row r="29625" spans="1:2" x14ac:dyDescent="0.25">
      <c r="A29625" s="2">
        <v>29620</v>
      </c>
      <c r="B29625" s="3" t="str">
        <f>"201309000054"</f>
        <v>201309000054</v>
      </c>
    </row>
    <row r="29626" spans="1:2" x14ac:dyDescent="0.25">
      <c r="A29626" s="2">
        <v>29621</v>
      </c>
      <c r="B29626" s="3" t="str">
        <f>"201309000065"</f>
        <v>201309000065</v>
      </c>
    </row>
    <row r="29627" spans="1:2" x14ac:dyDescent="0.25">
      <c r="A29627" s="2">
        <v>29622</v>
      </c>
      <c r="B29627" s="3" t="str">
        <f>"201309000071"</f>
        <v>201309000071</v>
      </c>
    </row>
    <row r="29628" spans="1:2" x14ac:dyDescent="0.25">
      <c r="A29628" s="2">
        <v>29623</v>
      </c>
      <c r="B29628" s="3" t="str">
        <f>"201309000074"</f>
        <v>201309000074</v>
      </c>
    </row>
    <row r="29629" spans="1:2" x14ac:dyDescent="0.25">
      <c r="A29629" s="2">
        <v>29624</v>
      </c>
      <c r="B29629" s="3" t="str">
        <f>"201309000105"</f>
        <v>201309000105</v>
      </c>
    </row>
    <row r="29630" spans="1:2" x14ac:dyDescent="0.25">
      <c r="A29630" s="2">
        <v>29625</v>
      </c>
      <c r="B29630" s="3" t="str">
        <f>"201309000151"</f>
        <v>201309000151</v>
      </c>
    </row>
    <row r="29631" spans="1:2" x14ac:dyDescent="0.25">
      <c r="A29631" s="2">
        <v>29626</v>
      </c>
      <c r="B29631" s="3" t="str">
        <f>"201310000002"</f>
        <v>201310000002</v>
      </c>
    </row>
    <row r="29632" spans="1:2" x14ac:dyDescent="0.25">
      <c r="A29632" s="2">
        <v>29627</v>
      </c>
      <c r="B29632" s="3" t="str">
        <f>"201310000008"</f>
        <v>201310000008</v>
      </c>
    </row>
    <row r="29633" spans="1:2" x14ac:dyDescent="0.25">
      <c r="A29633" s="2">
        <v>29628</v>
      </c>
      <c r="B29633" s="3" t="str">
        <f>"201310000009"</f>
        <v>201310000009</v>
      </c>
    </row>
    <row r="29634" spans="1:2" x14ac:dyDescent="0.25">
      <c r="A29634" s="2">
        <v>29629</v>
      </c>
      <c r="B29634" s="3" t="str">
        <f>"201310000031"</f>
        <v>201310000031</v>
      </c>
    </row>
    <row r="29635" spans="1:2" x14ac:dyDescent="0.25">
      <c r="A29635" s="2">
        <v>29630</v>
      </c>
      <c r="B29635" s="3" t="str">
        <f>"201310000034"</f>
        <v>201310000034</v>
      </c>
    </row>
    <row r="29636" spans="1:2" x14ac:dyDescent="0.25">
      <c r="A29636" s="2">
        <v>29631</v>
      </c>
      <c r="B29636" s="3" t="str">
        <f>"201310000052"</f>
        <v>201310000052</v>
      </c>
    </row>
    <row r="29637" spans="1:2" x14ac:dyDescent="0.25">
      <c r="A29637" s="2">
        <v>29632</v>
      </c>
      <c r="B29637" s="3" t="str">
        <f>"201310000073"</f>
        <v>201310000073</v>
      </c>
    </row>
    <row r="29638" spans="1:2" x14ac:dyDescent="0.25">
      <c r="A29638" s="2">
        <v>29633</v>
      </c>
      <c r="B29638" s="3" t="str">
        <f>"201310000143"</f>
        <v>201310000143</v>
      </c>
    </row>
    <row r="29639" spans="1:2" x14ac:dyDescent="0.25">
      <c r="A29639" s="2">
        <v>29634</v>
      </c>
      <c r="B29639" s="3" t="str">
        <f>"201310000150"</f>
        <v>201310000150</v>
      </c>
    </row>
    <row r="29640" spans="1:2" x14ac:dyDescent="0.25">
      <c r="A29640" s="2">
        <v>29635</v>
      </c>
      <c r="B29640" s="3" t="str">
        <f>"201310000159"</f>
        <v>201310000159</v>
      </c>
    </row>
    <row r="29641" spans="1:2" x14ac:dyDescent="0.25">
      <c r="A29641" s="2">
        <v>29636</v>
      </c>
      <c r="B29641" s="3" t="str">
        <f>"201311000036"</f>
        <v>201311000036</v>
      </c>
    </row>
    <row r="29642" spans="1:2" x14ac:dyDescent="0.25">
      <c r="A29642" s="2">
        <v>29637</v>
      </c>
      <c r="B29642" s="3" t="str">
        <f>"201311000068"</f>
        <v>201311000068</v>
      </c>
    </row>
    <row r="29643" spans="1:2" x14ac:dyDescent="0.25">
      <c r="A29643" s="2">
        <v>29638</v>
      </c>
      <c r="B29643" s="3" t="str">
        <f>"201311000087"</f>
        <v>201311000087</v>
      </c>
    </row>
    <row r="29644" spans="1:2" x14ac:dyDescent="0.25">
      <c r="A29644" s="2">
        <v>29639</v>
      </c>
      <c r="B29644" s="3" t="str">
        <f>"201312000015"</f>
        <v>201312000015</v>
      </c>
    </row>
    <row r="29645" spans="1:2" x14ac:dyDescent="0.25">
      <c r="A29645" s="2">
        <v>29640</v>
      </c>
      <c r="B29645" s="3" t="str">
        <f>"201312000048"</f>
        <v>201312000048</v>
      </c>
    </row>
    <row r="29646" spans="1:2" x14ac:dyDescent="0.25">
      <c r="A29646" s="2">
        <v>29641</v>
      </c>
      <c r="B29646" s="3" t="str">
        <f>"201401000133"</f>
        <v>201401000133</v>
      </c>
    </row>
    <row r="29647" spans="1:2" x14ac:dyDescent="0.25">
      <c r="A29647" s="2">
        <v>29642</v>
      </c>
      <c r="B29647" s="3" t="str">
        <f>"201401000168"</f>
        <v>201401000168</v>
      </c>
    </row>
    <row r="29648" spans="1:2" x14ac:dyDescent="0.25">
      <c r="A29648" s="2">
        <v>29643</v>
      </c>
      <c r="B29648" s="3" t="str">
        <f>"201401000173"</f>
        <v>201401000173</v>
      </c>
    </row>
    <row r="29649" spans="1:2" x14ac:dyDescent="0.25">
      <c r="A29649" s="2">
        <v>29644</v>
      </c>
      <c r="B29649" s="3" t="str">
        <f>"201401000228"</f>
        <v>201401000228</v>
      </c>
    </row>
    <row r="29650" spans="1:2" x14ac:dyDescent="0.25">
      <c r="A29650" s="2">
        <v>29645</v>
      </c>
      <c r="B29650" s="3" t="str">
        <f>"201401000271"</f>
        <v>201401000271</v>
      </c>
    </row>
    <row r="29651" spans="1:2" x14ac:dyDescent="0.25">
      <c r="A29651" s="2">
        <v>29646</v>
      </c>
      <c r="B29651" s="3" t="str">
        <f>"201401000305"</f>
        <v>201401000305</v>
      </c>
    </row>
    <row r="29652" spans="1:2" x14ac:dyDescent="0.25">
      <c r="A29652" s="2">
        <v>29647</v>
      </c>
      <c r="B29652" s="3" t="str">
        <f>"201401000330"</f>
        <v>201401000330</v>
      </c>
    </row>
    <row r="29653" spans="1:2" x14ac:dyDescent="0.25">
      <c r="A29653" s="2">
        <v>29648</v>
      </c>
      <c r="B29653" s="3" t="str">
        <f>"201401000336"</f>
        <v>201401000336</v>
      </c>
    </row>
    <row r="29654" spans="1:2" x14ac:dyDescent="0.25">
      <c r="A29654" s="2">
        <v>29649</v>
      </c>
      <c r="B29654" s="3" t="str">
        <f>"201401000352"</f>
        <v>201401000352</v>
      </c>
    </row>
    <row r="29655" spans="1:2" x14ac:dyDescent="0.25">
      <c r="A29655" s="2">
        <v>29650</v>
      </c>
      <c r="B29655" s="3" t="str">
        <f>"201401000353"</f>
        <v>201401000353</v>
      </c>
    </row>
    <row r="29656" spans="1:2" x14ac:dyDescent="0.25">
      <c r="A29656" s="2">
        <v>29651</v>
      </c>
      <c r="B29656" s="3" t="str">
        <f>"201401000364"</f>
        <v>201401000364</v>
      </c>
    </row>
    <row r="29657" spans="1:2" x14ac:dyDescent="0.25">
      <c r="A29657" s="2">
        <v>29652</v>
      </c>
      <c r="B29657" s="3" t="str">
        <f>"201401000367"</f>
        <v>201401000367</v>
      </c>
    </row>
    <row r="29658" spans="1:2" x14ac:dyDescent="0.25">
      <c r="A29658" s="2">
        <v>29653</v>
      </c>
      <c r="B29658" s="3" t="str">
        <f>"201401000383"</f>
        <v>201401000383</v>
      </c>
    </row>
    <row r="29659" spans="1:2" x14ac:dyDescent="0.25">
      <c r="A29659" s="2">
        <v>29654</v>
      </c>
      <c r="B29659" s="3" t="str">
        <f>"201401000392"</f>
        <v>201401000392</v>
      </c>
    </row>
    <row r="29660" spans="1:2" x14ac:dyDescent="0.25">
      <c r="A29660" s="2">
        <v>29655</v>
      </c>
      <c r="B29660" s="3" t="str">
        <f>"201401000398"</f>
        <v>201401000398</v>
      </c>
    </row>
    <row r="29661" spans="1:2" x14ac:dyDescent="0.25">
      <c r="A29661" s="2">
        <v>29656</v>
      </c>
      <c r="B29661" s="3" t="str">
        <f>"201401000399"</f>
        <v>201401000399</v>
      </c>
    </row>
    <row r="29662" spans="1:2" x14ac:dyDescent="0.25">
      <c r="A29662" s="2">
        <v>29657</v>
      </c>
      <c r="B29662" s="3" t="str">
        <f>"201401000422"</f>
        <v>201401000422</v>
      </c>
    </row>
    <row r="29663" spans="1:2" x14ac:dyDescent="0.25">
      <c r="A29663" s="2">
        <v>29658</v>
      </c>
      <c r="B29663" s="3" t="str">
        <f>"201401000437"</f>
        <v>201401000437</v>
      </c>
    </row>
    <row r="29664" spans="1:2" x14ac:dyDescent="0.25">
      <c r="A29664" s="2">
        <v>29659</v>
      </c>
      <c r="B29664" s="3" t="str">
        <f>"201401000441"</f>
        <v>201401000441</v>
      </c>
    </row>
    <row r="29665" spans="1:2" x14ac:dyDescent="0.25">
      <c r="A29665" s="2">
        <v>29660</v>
      </c>
      <c r="B29665" s="3" t="str">
        <f>"201401000455"</f>
        <v>201401000455</v>
      </c>
    </row>
    <row r="29666" spans="1:2" x14ac:dyDescent="0.25">
      <c r="A29666" s="2">
        <v>29661</v>
      </c>
      <c r="B29666" s="3" t="str">
        <f>"201401000469"</f>
        <v>201401000469</v>
      </c>
    </row>
    <row r="29667" spans="1:2" x14ac:dyDescent="0.25">
      <c r="A29667" s="2">
        <v>29662</v>
      </c>
      <c r="B29667" s="3" t="str">
        <f>"201401000501"</f>
        <v>201401000501</v>
      </c>
    </row>
    <row r="29668" spans="1:2" x14ac:dyDescent="0.25">
      <c r="A29668" s="2">
        <v>29663</v>
      </c>
      <c r="B29668" s="3" t="str">
        <f>"201401000518"</f>
        <v>201401000518</v>
      </c>
    </row>
    <row r="29669" spans="1:2" x14ac:dyDescent="0.25">
      <c r="A29669" s="2">
        <v>29664</v>
      </c>
      <c r="B29669" s="3" t="str">
        <f>"201401000523"</f>
        <v>201401000523</v>
      </c>
    </row>
    <row r="29670" spans="1:2" x14ac:dyDescent="0.25">
      <c r="A29670" s="2">
        <v>29665</v>
      </c>
      <c r="B29670" s="3" t="str">
        <f>"201401000549"</f>
        <v>201401000549</v>
      </c>
    </row>
    <row r="29671" spans="1:2" x14ac:dyDescent="0.25">
      <c r="A29671" s="2">
        <v>29666</v>
      </c>
      <c r="B29671" s="3" t="str">
        <f>"201401000568"</f>
        <v>201401000568</v>
      </c>
    </row>
    <row r="29672" spans="1:2" x14ac:dyDescent="0.25">
      <c r="A29672" s="2">
        <v>29667</v>
      </c>
      <c r="B29672" s="3" t="str">
        <f>"201401000569"</f>
        <v>201401000569</v>
      </c>
    </row>
    <row r="29673" spans="1:2" x14ac:dyDescent="0.25">
      <c r="A29673" s="2">
        <v>29668</v>
      </c>
      <c r="B29673" s="3" t="str">
        <f>"201401000606"</f>
        <v>201401000606</v>
      </c>
    </row>
    <row r="29674" spans="1:2" x14ac:dyDescent="0.25">
      <c r="A29674" s="2">
        <v>29669</v>
      </c>
      <c r="B29674" s="3" t="str">
        <f>"201401000655"</f>
        <v>201401000655</v>
      </c>
    </row>
    <row r="29675" spans="1:2" x14ac:dyDescent="0.25">
      <c r="A29675" s="2">
        <v>29670</v>
      </c>
      <c r="B29675" s="3" t="str">
        <f>"201401000670"</f>
        <v>201401000670</v>
      </c>
    </row>
    <row r="29676" spans="1:2" x14ac:dyDescent="0.25">
      <c r="A29676" s="2">
        <v>29671</v>
      </c>
      <c r="B29676" s="3" t="str">
        <f>"201401000709"</f>
        <v>201401000709</v>
      </c>
    </row>
    <row r="29677" spans="1:2" x14ac:dyDescent="0.25">
      <c r="A29677" s="2">
        <v>29672</v>
      </c>
      <c r="B29677" s="3" t="str">
        <f>"201401000710"</f>
        <v>201401000710</v>
      </c>
    </row>
    <row r="29678" spans="1:2" x14ac:dyDescent="0.25">
      <c r="A29678" s="2">
        <v>29673</v>
      </c>
      <c r="B29678" s="3" t="str">
        <f>"201401000714"</f>
        <v>201401000714</v>
      </c>
    </row>
    <row r="29679" spans="1:2" x14ac:dyDescent="0.25">
      <c r="A29679" s="2">
        <v>29674</v>
      </c>
      <c r="B29679" s="3" t="str">
        <f>"201401000748"</f>
        <v>201401000748</v>
      </c>
    </row>
    <row r="29680" spans="1:2" x14ac:dyDescent="0.25">
      <c r="A29680" s="2">
        <v>29675</v>
      </c>
      <c r="B29680" s="3" t="str">
        <f>"201401000755"</f>
        <v>201401000755</v>
      </c>
    </row>
    <row r="29681" spans="1:2" x14ac:dyDescent="0.25">
      <c r="A29681" s="2">
        <v>29676</v>
      </c>
      <c r="B29681" s="3" t="str">
        <f>"201401000775"</f>
        <v>201401000775</v>
      </c>
    </row>
    <row r="29682" spans="1:2" x14ac:dyDescent="0.25">
      <c r="A29682" s="2">
        <v>29677</v>
      </c>
      <c r="B29682" s="3" t="str">
        <f>"201401000785"</f>
        <v>201401000785</v>
      </c>
    </row>
    <row r="29683" spans="1:2" x14ac:dyDescent="0.25">
      <c r="A29683" s="2">
        <v>29678</v>
      </c>
      <c r="B29683" s="3" t="str">
        <f>"201401000823"</f>
        <v>201401000823</v>
      </c>
    </row>
    <row r="29684" spans="1:2" x14ac:dyDescent="0.25">
      <c r="A29684" s="2">
        <v>29679</v>
      </c>
      <c r="B29684" s="3" t="str">
        <f>"201401000825"</f>
        <v>201401000825</v>
      </c>
    </row>
    <row r="29685" spans="1:2" x14ac:dyDescent="0.25">
      <c r="A29685" s="2">
        <v>29680</v>
      </c>
      <c r="B29685" s="3" t="str">
        <f>"201401000829"</f>
        <v>201401000829</v>
      </c>
    </row>
    <row r="29686" spans="1:2" x14ac:dyDescent="0.25">
      <c r="A29686" s="2">
        <v>29681</v>
      </c>
      <c r="B29686" s="3" t="str">
        <f>"201401000837"</f>
        <v>201401000837</v>
      </c>
    </row>
    <row r="29687" spans="1:2" x14ac:dyDescent="0.25">
      <c r="A29687" s="2">
        <v>29682</v>
      </c>
      <c r="B29687" s="3" t="str">
        <f>"201401000886"</f>
        <v>201401000886</v>
      </c>
    </row>
    <row r="29688" spans="1:2" x14ac:dyDescent="0.25">
      <c r="A29688" s="2">
        <v>29683</v>
      </c>
      <c r="B29688" s="3" t="str">
        <f>"201401000893"</f>
        <v>201401000893</v>
      </c>
    </row>
    <row r="29689" spans="1:2" x14ac:dyDescent="0.25">
      <c r="A29689" s="2">
        <v>29684</v>
      </c>
      <c r="B29689" s="3" t="str">
        <f>"201401000933"</f>
        <v>201401000933</v>
      </c>
    </row>
    <row r="29690" spans="1:2" x14ac:dyDescent="0.25">
      <c r="A29690" s="2">
        <v>29685</v>
      </c>
      <c r="B29690" s="3" t="str">
        <f>"201401000999"</f>
        <v>201401000999</v>
      </c>
    </row>
    <row r="29691" spans="1:2" x14ac:dyDescent="0.25">
      <c r="A29691" s="2">
        <v>29686</v>
      </c>
      <c r="B29691" s="3" t="str">
        <f>"201401001000"</f>
        <v>201401001000</v>
      </c>
    </row>
    <row r="29692" spans="1:2" x14ac:dyDescent="0.25">
      <c r="A29692" s="2">
        <v>29687</v>
      </c>
      <c r="B29692" s="3" t="str">
        <f>"201401001066"</f>
        <v>201401001066</v>
      </c>
    </row>
    <row r="29693" spans="1:2" x14ac:dyDescent="0.25">
      <c r="A29693" s="2">
        <v>29688</v>
      </c>
      <c r="B29693" s="3" t="str">
        <f>"201401001115"</f>
        <v>201401001115</v>
      </c>
    </row>
    <row r="29694" spans="1:2" x14ac:dyDescent="0.25">
      <c r="A29694" s="2">
        <v>29689</v>
      </c>
      <c r="B29694" s="3" t="str">
        <f>"201401001139"</f>
        <v>201401001139</v>
      </c>
    </row>
    <row r="29695" spans="1:2" x14ac:dyDescent="0.25">
      <c r="A29695" s="2">
        <v>29690</v>
      </c>
      <c r="B29695" s="3" t="str">
        <f>"201401001148"</f>
        <v>201401001148</v>
      </c>
    </row>
    <row r="29696" spans="1:2" x14ac:dyDescent="0.25">
      <c r="A29696" s="2">
        <v>29691</v>
      </c>
      <c r="B29696" s="3" t="str">
        <f>"201401001151"</f>
        <v>201401001151</v>
      </c>
    </row>
    <row r="29697" spans="1:2" x14ac:dyDescent="0.25">
      <c r="A29697" s="2">
        <v>29692</v>
      </c>
      <c r="B29697" s="3" t="str">
        <f>"201401001186"</f>
        <v>201401001186</v>
      </c>
    </row>
    <row r="29698" spans="1:2" x14ac:dyDescent="0.25">
      <c r="A29698" s="2">
        <v>29693</v>
      </c>
      <c r="B29698" s="3" t="str">
        <f>"201401001225"</f>
        <v>201401001225</v>
      </c>
    </row>
    <row r="29699" spans="1:2" x14ac:dyDescent="0.25">
      <c r="A29699" s="2">
        <v>29694</v>
      </c>
      <c r="B29699" s="3" t="str">
        <f>"201401001324"</f>
        <v>201401001324</v>
      </c>
    </row>
    <row r="29700" spans="1:2" x14ac:dyDescent="0.25">
      <c r="A29700" s="2">
        <v>29695</v>
      </c>
      <c r="B29700" s="3" t="str">
        <f>"201401001326"</f>
        <v>201401001326</v>
      </c>
    </row>
    <row r="29701" spans="1:2" x14ac:dyDescent="0.25">
      <c r="A29701" s="2">
        <v>29696</v>
      </c>
      <c r="B29701" s="3" t="str">
        <f>"201401001327"</f>
        <v>201401001327</v>
      </c>
    </row>
    <row r="29702" spans="1:2" x14ac:dyDescent="0.25">
      <c r="A29702" s="2">
        <v>29697</v>
      </c>
      <c r="B29702" s="3" t="str">
        <f>"201401001329"</f>
        <v>201401001329</v>
      </c>
    </row>
    <row r="29703" spans="1:2" x14ac:dyDescent="0.25">
      <c r="A29703" s="2">
        <v>29698</v>
      </c>
      <c r="B29703" s="3" t="str">
        <f>"201401001332"</f>
        <v>201401001332</v>
      </c>
    </row>
    <row r="29704" spans="1:2" x14ac:dyDescent="0.25">
      <c r="A29704" s="2">
        <v>29699</v>
      </c>
      <c r="B29704" s="3" t="str">
        <f>"201401001366"</f>
        <v>201401001366</v>
      </c>
    </row>
    <row r="29705" spans="1:2" x14ac:dyDescent="0.25">
      <c r="A29705" s="2">
        <v>29700</v>
      </c>
      <c r="B29705" s="3" t="str">
        <f>"201401001393"</f>
        <v>201401001393</v>
      </c>
    </row>
    <row r="29706" spans="1:2" x14ac:dyDescent="0.25">
      <c r="A29706" s="2">
        <v>29701</v>
      </c>
      <c r="B29706" s="3" t="str">
        <f>"201401001413"</f>
        <v>201401001413</v>
      </c>
    </row>
    <row r="29707" spans="1:2" x14ac:dyDescent="0.25">
      <c r="A29707" s="2">
        <v>29702</v>
      </c>
      <c r="B29707" s="3" t="str">
        <f>"201401001640"</f>
        <v>201401001640</v>
      </c>
    </row>
    <row r="29708" spans="1:2" x14ac:dyDescent="0.25">
      <c r="A29708" s="2">
        <v>29703</v>
      </c>
      <c r="B29708" s="3" t="str">
        <f>"201401001647"</f>
        <v>201401001647</v>
      </c>
    </row>
    <row r="29709" spans="1:2" x14ac:dyDescent="0.25">
      <c r="A29709" s="2">
        <v>29704</v>
      </c>
      <c r="B29709" s="3" t="str">
        <f>"201401001694"</f>
        <v>201401001694</v>
      </c>
    </row>
    <row r="29710" spans="1:2" x14ac:dyDescent="0.25">
      <c r="A29710" s="2">
        <v>29705</v>
      </c>
      <c r="B29710" s="3" t="str">
        <f>"201401001707"</f>
        <v>201401001707</v>
      </c>
    </row>
    <row r="29711" spans="1:2" x14ac:dyDescent="0.25">
      <c r="A29711" s="2">
        <v>29706</v>
      </c>
      <c r="B29711" s="3" t="str">
        <f>"201401001824"</f>
        <v>201401001824</v>
      </c>
    </row>
    <row r="29712" spans="1:2" x14ac:dyDescent="0.25">
      <c r="A29712" s="2">
        <v>29707</v>
      </c>
      <c r="B29712" s="3" t="str">
        <f>"201401001881"</f>
        <v>201401001881</v>
      </c>
    </row>
    <row r="29713" spans="1:2" x14ac:dyDescent="0.25">
      <c r="A29713" s="2">
        <v>29708</v>
      </c>
      <c r="B29713" s="3" t="str">
        <f>"201401001910"</f>
        <v>201401001910</v>
      </c>
    </row>
    <row r="29714" spans="1:2" x14ac:dyDescent="0.25">
      <c r="A29714" s="2">
        <v>29709</v>
      </c>
      <c r="B29714" s="3" t="str">
        <f>"201401002058"</f>
        <v>201401002058</v>
      </c>
    </row>
    <row r="29715" spans="1:2" x14ac:dyDescent="0.25">
      <c r="A29715" s="2">
        <v>29710</v>
      </c>
      <c r="B29715" s="3" t="str">
        <f>"201401002113"</f>
        <v>201401002113</v>
      </c>
    </row>
    <row r="29716" spans="1:2" x14ac:dyDescent="0.25">
      <c r="A29716" s="2">
        <v>29711</v>
      </c>
      <c r="B29716" s="3" t="str">
        <f>"201401002194"</f>
        <v>201401002194</v>
      </c>
    </row>
    <row r="29717" spans="1:2" x14ac:dyDescent="0.25">
      <c r="A29717" s="2">
        <v>29712</v>
      </c>
      <c r="B29717" s="3" t="str">
        <f>"201401002223"</f>
        <v>201401002223</v>
      </c>
    </row>
    <row r="29718" spans="1:2" x14ac:dyDescent="0.25">
      <c r="A29718" s="2">
        <v>29713</v>
      </c>
      <c r="B29718" s="3" t="str">
        <f>"201401002240"</f>
        <v>201401002240</v>
      </c>
    </row>
    <row r="29719" spans="1:2" x14ac:dyDescent="0.25">
      <c r="A29719" s="2">
        <v>29714</v>
      </c>
      <c r="B29719" s="3" t="str">
        <f>"201401002276"</f>
        <v>201401002276</v>
      </c>
    </row>
    <row r="29720" spans="1:2" x14ac:dyDescent="0.25">
      <c r="A29720" s="2">
        <v>29715</v>
      </c>
      <c r="B29720" s="3" t="str">
        <f>"201401002344"</f>
        <v>201401002344</v>
      </c>
    </row>
    <row r="29721" spans="1:2" x14ac:dyDescent="0.25">
      <c r="A29721" s="2">
        <v>29716</v>
      </c>
      <c r="B29721" s="3" t="str">
        <f>"201401002397"</f>
        <v>201401002397</v>
      </c>
    </row>
    <row r="29722" spans="1:2" x14ac:dyDescent="0.25">
      <c r="A29722" s="2">
        <v>29717</v>
      </c>
      <c r="B29722" s="3" t="str">
        <f>"201401002456"</f>
        <v>201401002456</v>
      </c>
    </row>
    <row r="29723" spans="1:2" x14ac:dyDescent="0.25">
      <c r="A29723" s="2">
        <v>29718</v>
      </c>
      <c r="B29723" s="3" t="str">
        <f>"201401002517"</f>
        <v>201401002517</v>
      </c>
    </row>
    <row r="29724" spans="1:2" x14ac:dyDescent="0.25">
      <c r="A29724" s="2">
        <v>29719</v>
      </c>
      <c r="B29724" s="3" t="str">
        <f>"201401002618"</f>
        <v>201401002618</v>
      </c>
    </row>
    <row r="29725" spans="1:2" x14ac:dyDescent="0.25">
      <c r="A29725" s="2">
        <v>29720</v>
      </c>
      <c r="B29725" s="3" t="str">
        <f>"201402000018"</f>
        <v>201402000018</v>
      </c>
    </row>
    <row r="29726" spans="1:2" x14ac:dyDescent="0.25">
      <c r="A29726" s="2">
        <v>29721</v>
      </c>
      <c r="B29726" s="3" t="str">
        <f>"201402000019"</f>
        <v>201402000019</v>
      </c>
    </row>
    <row r="29727" spans="1:2" x14ac:dyDescent="0.25">
      <c r="A29727" s="2">
        <v>29722</v>
      </c>
      <c r="B29727" s="3" t="str">
        <f>"201402000023"</f>
        <v>201402000023</v>
      </c>
    </row>
    <row r="29728" spans="1:2" x14ac:dyDescent="0.25">
      <c r="A29728" s="2">
        <v>29723</v>
      </c>
      <c r="B29728" s="3" t="str">
        <f>"201402000103"</f>
        <v>201402000103</v>
      </c>
    </row>
    <row r="29729" spans="1:2" x14ac:dyDescent="0.25">
      <c r="A29729" s="2">
        <v>29724</v>
      </c>
      <c r="B29729" s="3" t="str">
        <f>"201402000181"</f>
        <v>201402000181</v>
      </c>
    </row>
    <row r="29730" spans="1:2" x14ac:dyDescent="0.25">
      <c r="A29730" s="2">
        <v>29725</v>
      </c>
      <c r="B29730" s="3" t="str">
        <f>"201402000325"</f>
        <v>201402000325</v>
      </c>
    </row>
    <row r="29731" spans="1:2" x14ac:dyDescent="0.25">
      <c r="A29731" s="2">
        <v>29726</v>
      </c>
      <c r="B29731" s="3" t="str">
        <f>"201402000348"</f>
        <v>201402000348</v>
      </c>
    </row>
    <row r="29732" spans="1:2" x14ac:dyDescent="0.25">
      <c r="A29732" s="2">
        <v>29727</v>
      </c>
      <c r="B29732" s="3" t="str">
        <f>"201402000355"</f>
        <v>201402000355</v>
      </c>
    </row>
    <row r="29733" spans="1:2" x14ac:dyDescent="0.25">
      <c r="A29733" s="2">
        <v>29728</v>
      </c>
      <c r="B29733" s="3" t="str">
        <f>"201402000394"</f>
        <v>201402000394</v>
      </c>
    </row>
    <row r="29734" spans="1:2" x14ac:dyDescent="0.25">
      <c r="A29734" s="2">
        <v>29729</v>
      </c>
      <c r="B29734" s="3" t="str">
        <f>"201402000396"</f>
        <v>201402000396</v>
      </c>
    </row>
    <row r="29735" spans="1:2" x14ac:dyDescent="0.25">
      <c r="A29735" s="2">
        <v>29730</v>
      </c>
      <c r="B29735" s="3" t="str">
        <f>"201402000415"</f>
        <v>201402000415</v>
      </c>
    </row>
    <row r="29736" spans="1:2" x14ac:dyDescent="0.25">
      <c r="A29736" s="2">
        <v>29731</v>
      </c>
      <c r="B29736" s="3" t="str">
        <f>"201402000448"</f>
        <v>201402000448</v>
      </c>
    </row>
    <row r="29737" spans="1:2" x14ac:dyDescent="0.25">
      <c r="A29737" s="2">
        <v>29732</v>
      </c>
      <c r="B29737" s="3" t="str">
        <f>"201402000508"</f>
        <v>201402000508</v>
      </c>
    </row>
    <row r="29738" spans="1:2" x14ac:dyDescent="0.25">
      <c r="A29738" s="2">
        <v>29733</v>
      </c>
      <c r="B29738" s="3" t="str">
        <f>"201402000524"</f>
        <v>201402000524</v>
      </c>
    </row>
    <row r="29739" spans="1:2" x14ac:dyDescent="0.25">
      <c r="A29739" s="2">
        <v>29734</v>
      </c>
      <c r="B29739" s="3" t="str">
        <f>"201402000540"</f>
        <v>201402000540</v>
      </c>
    </row>
    <row r="29740" spans="1:2" x14ac:dyDescent="0.25">
      <c r="A29740" s="2">
        <v>29735</v>
      </c>
      <c r="B29740" s="3" t="str">
        <f>"201402000582"</f>
        <v>201402000582</v>
      </c>
    </row>
    <row r="29741" spans="1:2" x14ac:dyDescent="0.25">
      <c r="A29741" s="2">
        <v>29736</v>
      </c>
      <c r="B29741" s="3" t="str">
        <f>"201402000591"</f>
        <v>201402000591</v>
      </c>
    </row>
    <row r="29742" spans="1:2" x14ac:dyDescent="0.25">
      <c r="A29742" s="2">
        <v>29737</v>
      </c>
      <c r="B29742" s="3" t="str">
        <f>"201402000607"</f>
        <v>201402000607</v>
      </c>
    </row>
    <row r="29743" spans="1:2" x14ac:dyDescent="0.25">
      <c r="A29743" s="2">
        <v>29738</v>
      </c>
      <c r="B29743" s="3" t="str">
        <f>"201402000662"</f>
        <v>201402000662</v>
      </c>
    </row>
    <row r="29744" spans="1:2" x14ac:dyDescent="0.25">
      <c r="A29744" s="2">
        <v>29739</v>
      </c>
      <c r="B29744" s="3" t="str">
        <f>"201402000688"</f>
        <v>201402000688</v>
      </c>
    </row>
    <row r="29745" spans="1:2" x14ac:dyDescent="0.25">
      <c r="A29745" s="2">
        <v>29740</v>
      </c>
      <c r="B29745" s="3" t="str">
        <f>"201402000689"</f>
        <v>201402000689</v>
      </c>
    </row>
    <row r="29746" spans="1:2" x14ac:dyDescent="0.25">
      <c r="A29746" s="2">
        <v>29741</v>
      </c>
      <c r="B29746" s="3" t="str">
        <f>"201402000690"</f>
        <v>201402000690</v>
      </c>
    </row>
    <row r="29747" spans="1:2" x14ac:dyDescent="0.25">
      <c r="A29747" s="2">
        <v>29742</v>
      </c>
      <c r="B29747" s="3" t="str">
        <f>"201402000701"</f>
        <v>201402000701</v>
      </c>
    </row>
    <row r="29748" spans="1:2" x14ac:dyDescent="0.25">
      <c r="A29748" s="2">
        <v>29743</v>
      </c>
      <c r="B29748" s="3" t="str">
        <f>"201402000749"</f>
        <v>201402000749</v>
      </c>
    </row>
    <row r="29749" spans="1:2" x14ac:dyDescent="0.25">
      <c r="A29749" s="2">
        <v>29744</v>
      </c>
      <c r="B29749" s="3" t="str">
        <f>"201402000855"</f>
        <v>201402000855</v>
      </c>
    </row>
    <row r="29750" spans="1:2" x14ac:dyDescent="0.25">
      <c r="A29750" s="2">
        <v>29745</v>
      </c>
      <c r="B29750" s="3" t="str">
        <f>"201402000871"</f>
        <v>201402000871</v>
      </c>
    </row>
    <row r="29751" spans="1:2" x14ac:dyDescent="0.25">
      <c r="A29751" s="2">
        <v>29746</v>
      </c>
      <c r="B29751" s="3" t="str">
        <f>"201402000912"</f>
        <v>201402000912</v>
      </c>
    </row>
    <row r="29752" spans="1:2" x14ac:dyDescent="0.25">
      <c r="A29752" s="2">
        <v>29747</v>
      </c>
      <c r="B29752" s="3" t="str">
        <f>"201402001079"</f>
        <v>201402001079</v>
      </c>
    </row>
    <row r="29753" spans="1:2" x14ac:dyDescent="0.25">
      <c r="A29753" s="2">
        <v>29748</v>
      </c>
      <c r="B29753" s="3" t="str">
        <f>"201402001086"</f>
        <v>201402001086</v>
      </c>
    </row>
    <row r="29754" spans="1:2" x14ac:dyDescent="0.25">
      <c r="A29754" s="2">
        <v>29749</v>
      </c>
      <c r="B29754" s="3" t="str">
        <f>"201402001106"</f>
        <v>201402001106</v>
      </c>
    </row>
    <row r="29755" spans="1:2" x14ac:dyDescent="0.25">
      <c r="A29755" s="2">
        <v>29750</v>
      </c>
      <c r="B29755" s="3" t="str">
        <f>"201402001113"</f>
        <v>201402001113</v>
      </c>
    </row>
    <row r="29756" spans="1:2" x14ac:dyDescent="0.25">
      <c r="A29756" s="2">
        <v>29751</v>
      </c>
      <c r="B29756" s="3" t="str">
        <f>"201402001170"</f>
        <v>201402001170</v>
      </c>
    </row>
    <row r="29757" spans="1:2" x14ac:dyDescent="0.25">
      <c r="A29757" s="2">
        <v>29752</v>
      </c>
      <c r="B29757" s="3" t="str">
        <f>"201402001176"</f>
        <v>201402001176</v>
      </c>
    </row>
    <row r="29758" spans="1:2" x14ac:dyDescent="0.25">
      <c r="A29758" s="2">
        <v>29753</v>
      </c>
      <c r="B29758" s="3" t="str">
        <f>"201402001213"</f>
        <v>201402001213</v>
      </c>
    </row>
    <row r="29759" spans="1:2" x14ac:dyDescent="0.25">
      <c r="A29759" s="2">
        <v>29754</v>
      </c>
      <c r="B29759" s="3" t="str">
        <f>"201402001230"</f>
        <v>201402001230</v>
      </c>
    </row>
    <row r="29760" spans="1:2" x14ac:dyDescent="0.25">
      <c r="A29760" s="2">
        <v>29755</v>
      </c>
      <c r="B29760" s="3" t="str">
        <f>"201402001284"</f>
        <v>201402001284</v>
      </c>
    </row>
    <row r="29761" spans="1:2" x14ac:dyDescent="0.25">
      <c r="A29761" s="2">
        <v>29756</v>
      </c>
      <c r="B29761" s="3" t="str">
        <f>"201402001327"</f>
        <v>201402001327</v>
      </c>
    </row>
    <row r="29762" spans="1:2" x14ac:dyDescent="0.25">
      <c r="A29762" s="2">
        <v>29757</v>
      </c>
      <c r="B29762" s="3" t="str">
        <f>"201402001349"</f>
        <v>201402001349</v>
      </c>
    </row>
    <row r="29763" spans="1:2" x14ac:dyDescent="0.25">
      <c r="A29763" s="2">
        <v>29758</v>
      </c>
      <c r="B29763" s="3" t="str">
        <f>"201402001365"</f>
        <v>201402001365</v>
      </c>
    </row>
    <row r="29764" spans="1:2" x14ac:dyDescent="0.25">
      <c r="A29764" s="2">
        <v>29759</v>
      </c>
      <c r="B29764" s="3" t="str">
        <f>"201402001367"</f>
        <v>201402001367</v>
      </c>
    </row>
    <row r="29765" spans="1:2" x14ac:dyDescent="0.25">
      <c r="A29765" s="2">
        <v>29760</v>
      </c>
      <c r="B29765" s="3" t="str">
        <f>"201402001409"</f>
        <v>201402001409</v>
      </c>
    </row>
    <row r="29766" spans="1:2" x14ac:dyDescent="0.25">
      <c r="A29766" s="2">
        <v>29761</v>
      </c>
      <c r="B29766" s="3" t="str">
        <f>"201402001470"</f>
        <v>201402001470</v>
      </c>
    </row>
    <row r="29767" spans="1:2" x14ac:dyDescent="0.25">
      <c r="A29767" s="2">
        <v>29762</v>
      </c>
      <c r="B29767" s="3" t="str">
        <f>"201402001511"</f>
        <v>201402001511</v>
      </c>
    </row>
    <row r="29768" spans="1:2" x14ac:dyDescent="0.25">
      <c r="A29768" s="2">
        <v>29763</v>
      </c>
      <c r="B29768" s="3" t="str">
        <f>"201402001530"</f>
        <v>201402001530</v>
      </c>
    </row>
    <row r="29769" spans="1:2" x14ac:dyDescent="0.25">
      <c r="A29769" s="2">
        <v>29764</v>
      </c>
      <c r="B29769" s="3" t="str">
        <f>"201402001580"</f>
        <v>201402001580</v>
      </c>
    </row>
    <row r="29770" spans="1:2" x14ac:dyDescent="0.25">
      <c r="A29770" s="2">
        <v>29765</v>
      </c>
      <c r="B29770" s="3" t="str">
        <f>"201402001679"</f>
        <v>201402001679</v>
      </c>
    </row>
    <row r="29771" spans="1:2" x14ac:dyDescent="0.25">
      <c r="A29771" s="2">
        <v>29766</v>
      </c>
      <c r="B29771" s="3" t="str">
        <f>"201402001683"</f>
        <v>201402001683</v>
      </c>
    </row>
    <row r="29772" spans="1:2" x14ac:dyDescent="0.25">
      <c r="A29772" s="2">
        <v>29767</v>
      </c>
      <c r="B29772" s="3" t="str">
        <f>"201402001731"</f>
        <v>201402001731</v>
      </c>
    </row>
    <row r="29773" spans="1:2" x14ac:dyDescent="0.25">
      <c r="A29773" s="2">
        <v>29768</v>
      </c>
      <c r="B29773" s="3" t="str">
        <f>"201402001732"</f>
        <v>201402001732</v>
      </c>
    </row>
    <row r="29774" spans="1:2" x14ac:dyDescent="0.25">
      <c r="A29774" s="2">
        <v>29769</v>
      </c>
      <c r="B29774" s="3" t="str">
        <f>"201402001757"</f>
        <v>201402001757</v>
      </c>
    </row>
    <row r="29775" spans="1:2" x14ac:dyDescent="0.25">
      <c r="A29775" s="2">
        <v>29770</v>
      </c>
      <c r="B29775" s="3" t="str">
        <f>"201402001765"</f>
        <v>201402001765</v>
      </c>
    </row>
    <row r="29776" spans="1:2" x14ac:dyDescent="0.25">
      <c r="A29776" s="2">
        <v>29771</v>
      </c>
      <c r="B29776" s="3" t="str">
        <f>"201402001920"</f>
        <v>201402001920</v>
      </c>
    </row>
    <row r="29777" spans="1:2" x14ac:dyDescent="0.25">
      <c r="A29777" s="2">
        <v>29772</v>
      </c>
      <c r="B29777" s="3" t="str">
        <f>"201402001958"</f>
        <v>201402001958</v>
      </c>
    </row>
    <row r="29778" spans="1:2" x14ac:dyDescent="0.25">
      <c r="A29778" s="2">
        <v>29773</v>
      </c>
      <c r="B29778" s="3" t="str">
        <f>"201402001961"</f>
        <v>201402001961</v>
      </c>
    </row>
    <row r="29779" spans="1:2" x14ac:dyDescent="0.25">
      <c r="A29779" s="2">
        <v>29774</v>
      </c>
      <c r="B29779" s="3" t="str">
        <f>"201402002053"</f>
        <v>201402002053</v>
      </c>
    </row>
    <row r="29780" spans="1:2" x14ac:dyDescent="0.25">
      <c r="A29780" s="2">
        <v>29775</v>
      </c>
      <c r="B29780" s="3" t="str">
        <f>"201402002071"</f>
        <v>201402002071</v>
      </c>
    </row>
    <row r="29781" spans="1:2" x14ac:dyDescent="0.25">
      <c r="A29781" s="2">
        <v>29776</v>
      </c>
      <c r="B29781" s="3" t="str">
        <f>"201402002075"</f>
        <v>201402002075</v>
      </c>
    </row>
    <row r="29782" spans="1:2" x14ac:dyDescent="0.25">
      <c r="A29782" s="2">
        <v>29777</v>
      </c>
      <c r="B29782" s="3" t="str">
        <f>"201402002171"</f>
        <v>201402002171</v>
      </c>
    </row>
    <row r="29783" spans="1:2" x14ac:dyDescent="0.25">
      <c r="A29783" s="2">
        <v>29778</v>
      </c>
      <c r="B29783" s="3" t="str">
        <f>"201402002201"</f>
        <v>201402002201</v>
      </c>
    </row>
    <row r="29784" spans="1:2" x14ac:dyDescent="0.25">
      <c r="A29784" s="2">
        <v>29779</v>
      </c>
      <c r="B29784" s="3" t="str">
        <f>"201402002276"</f>
        <v>201402002276</v>
      </c>
    </row>
    <row r="29785" spans="1:2" x14ac:dyDescent="0.25">
      <c r="A29785" s="2">
        <v>29780</v>
      </c>
      <c r="B29785" s="3" t="str">
        <f>"201402002315"</f>
        <v>201402002315</v>
      </c>
    </row>
    <row r="29786" spans="1:2" x14ac:dyDescent="0.25">
      <c r="A29786" s="2">
        <v>29781</v>
      </c>
      <c r="B29786" s="3" t="str">
        <f>"201402002320"</f>
        <v>201402002320</v>
      </c>
    </row>
    <row r="29787" spans="1:2" x14ac:dyDescent="0.25">
      <c r="A29787" s="2">
        <v>29782</v>
      </c>
      <c r="B29787" s="3" t="str">
        <f>"201402002357"</f>
        <v>201402002357</v>
      </c>
    </row>
    <row r="29788" spans="1:2" x14ac:dyDescent="0.25">
      <c r="A29788" s="2">
        <v>29783</v>
      </c>
      <c r="B29788" s="3" t="str">
        <f>"201402002367"</f>
        <v>201402002367</v>
      </c>
    </row>
    <row r="29789" spans="1:2" x14ac:dyDescent="0.25">
      <c r="A29789" s="2">
        <v>29784</v>
      </c>
      <c r="B29789" s="3" t="str">
        <f>"201402002424"</f>
        <v>201402002424</v>
      </c>
    </row>
    <row r="29790" spans="1:2" x14ac:dyDescent="0.25">
      <c r="A29790" s="2">
        <v>29785</v>
      </c>
      <c r="B29790" s="3" t="str">
        <f>"201402002468"</f>
        <v>201402002468</v>
      </c>
    </row>
    <row r="29791" spans="1:2" x14ac:dyDescent="0.25">
      <c r="A29791" s="2">
        <v>29786</v>
      </c>
      <c r="B29791" s="3" t="str">
        <f>"201402002479"</f>
        <v>201402002479</v>
      </c>
    </row>
    <row r="29792" spans="1:2" x14ac:dyDescent="0.25">
      <c r="A29792" s="2">
        <v>29787</v>
      </c>
      <c r="B29792" s="3" t="str">
        <f>"201402002512"</f>
        <v>201402002512</v>
      </c>
    </row>
    <row r="29793" spans="1:2" x14ac:dyDescent="0.25">
      <c r="A29793" s="2">
        <v>29788</v>
      </c>
      <c r="B29793" s="3" t="str">
        <f>"201402002515"</f>
        <v>201402002515</v>
      </c>
    </row>
    <row r="29794" spans="1:2" x14ac:dyDescent="0.25">
      <c r="A29794" s="2">
        <v>29789</v>
      </c>
      <c r="B29794" s="3" t="str">
        <f>"201402002519"</f>
        <v>201402002519</v>
      </c>
    </row>
    <row r="29795" spans="1:2" x14ac:dyDescent="0.25">
      <c r="A29795" s="2">
        <v>29790</v>
      </c>
      <c r="B29795" s="3" t="str">
        <f>"201402002543"</f>
        <v>201402002543</v>
      </c>
    </row>
    <row r="29796" spans="1:2" x14ac:dyDescent="0.25">
      <c r="A29796" s="2">
        <v>29791</v>
      </c>
      <c r="B29796" s="3" t="str">
        <f>"201402002569"</f>
        <v>201402002569</v>
      </c>
    </row>
    <row r="29797" spans="1:2" x14ac:dyDescent="0.25">
      <c r="A29797" s="2">
        <v>29792</v>
      </c>
      <c r="B29797" s="3" t="str">
        <f>"201402002575"</f>
        <v>201402002575</v>
      </c>
    </row>
    <row r="29798" spans="1:2" x14ac:dyDescent="0.25">
      <c r="A29798" s="2">
        <v>29793</v>
      </c>
      <c r="B29798" s="3" t="str">
        <f>"201402002600"</f>
        <v>201402002600</v>
      </c>
    </row>
    <row r="29799" spans="1:2" x14ac:dyDescent="0.25">
      <c r="A29799" s="2">
        <v>29794</v>
      </c>
      <c r="B29799" s="3" t="str">
        <f>"201402002609"</f>
        <v>201402002609</v>
      </c>
    </row>
    <row r="29800" spans="1:2" x14ac:dyDescent="0.25">
      <c r="A29800" s="2">
        <v>29795</v>
      </c>
      <c r="B29800" s="3" t="str">
        <f>"201402002712"</f>
        <v>201402002712</v>
      </c>
    </row>
    <row r="29801" spans="1:2" x14ac:dyDescent="0.25">
      <c r="A29801" s="2">
        <v>29796</v>
      </c>
      <c r="B29801" s="3" t="str">
        <f>"201402002758"</f>
        <v>201402002758</v>
      </c>
    </row>
    <row r="29802" spans="1:2" x14ac:dyDescent="0.25">
      <c r="A29802" s="2">
        <v>29797</v>
      </c>
      <c r="B29802" s="3" t="str">
        <f>"201402002759"</f>
        <v>201402002759</v>
      </c>
    </row>
    <row r="29803" spans="1:2" x14ac:dyDescent="0.25">
      <c r="A29803" s="2">
        <v>29798</v>
      </c>
      <c r="B29803" s="3" t="str">
        <f>"201402002769"</f>
        <v>201402002769</v>
      </c>
    </row>
    <row r="29804" spans="1:2" x14ac:dyDescent="0.25">
      <c r="A29804" s="2">
        <v>29799</v>
      </c>
      <c r="B29804" s="3" t="str">
        <f>"201402002770"</f>
        <v>201402002770</v>
      </c>
    </row>
    <row r="29805" spans="1:2" x14ac:dyDescent="0.25">
      <c r="A29805" s="2">
        <v>29800</v>
      </c>
      <c r="B29805" s="3" t="str">
        <f>"201402002777"</f>
        <v>201402002777</v>
      </c>
    </row>
    <row r="29806" spans="1:2" x14ac:dyDescent="0.25">
      <c r="A29806" s="2">
        <v>29801</v>
      </c>
      <c r="B29806" s="3" t="str">
        <f>"201402002836"</f>
        <v>201402002836</v>
      </c>
    </row>
    <row r="29807" spans="1:2" x14ac:dyDescent="0.25">
      <c r="A29807" s="2">
        <v>29802</v>
      </c>
      <c r="B29807" s="3" t="str">
        <f>"201402002840"</f>
        <v>201402002840</v>
      </c>
    </row>
    <row r="29808" spans="1:2" x14ac:dyDescent="0.25">
      <c r="A29808" s="2">
        <v>29803</v>
      </c>
      <c r="B29808" s="3" t="str">
        <f>"201402002861"</f>
        <v>201402002861</v>
      </c>
    </row>
    <row r="29809" spans="1:2" x14ac:dyDescent="0.25">
      <c r="A29809" s="2">
        <v>29804</v>
      </c>
      <c r="B29809" s="3" t="str">
        <f>"201402002888"</f>
        <v>201402002888</v>
      </c>
    </row>
    <row r="29810" spans="1:2" x14ac:dyDescent="0.25">
      <c r="A29810" s="2">
        <v>29805</v>
      </c>
      <c r="B29810" s="3" t="str">
        <f>"201402002891"</f>
        <v>201402002891</v>
      </c>
    </row>
    <row r="29811" spans="1:2" x14ac:dyDescent="0.25">
      <c r="A29811" s="2">
        <v>29806</v>
      </c>
      <c r="B29811" s="3" t="str">
        <f>"201402002894"</f>
        <v>201402002894</v>
      </c>
    </row>
    <row r="29812" spans="1:2" x14ac:dyDescent="0.25">
      <c r="A29812" s="2">
        <v>29807</v>
      </c>
      <c r="B29812" s="3" t="str">
        <f>"201402002899"</f>
        <v>201402002899</v>
      </c>
    </row>
    <row r="29813" spans="1:2" x14ac:dyDescent="0.25">
      <c r="A29813" s="2">
        <v>29808</v>
      </c>
      <c r="B29813" s="3" t="str">
        <f>"201402002938"</f>
        <v>201402002938</v>
      </c>
    </row>
    <row r="29814" spans="1:2" x14ac:dyDescent="0.25">
      <c r="A29814" s="2">
        <v>29809</v>
      </c>
      <c r="B29814" s="3" t="str">
        <f>"201402002985"</f>
        <v>201402002985</v>
      </c>
    </row>
    <row r="29815" spans="1:2" x14ac:dyDescent="0.25">
      <c r="A29815" s="2">
        <v>29810</v>
      </c>
      <c r="B29815" s="3" t="str">
        <f>"201402003007"</f>
        <v>201402003007</v>
      </c>
    </row>
    <row r="29816" spans="1:2" x14ac:dyDescent="0.25">
      <c r="A29816" s="2">
        <v>29811</v>
      </c>
      <c r="B29816" s="3" t="str">
        <f>"201402003038"</f>
        <v>201402003038</v>
      </c>
    </row>
    <row r="29817" spans="1:2" x14ac:dyDescent="0.25">
      <c r="A29817" s="2">
        <v>29812</v>
      </c>
      <c r="B29817" s="3" t="str">
        <f>"201402003044"</f>
        <v>201402003044</v>
      </c>
    </row>
    <row r="29818" spans="1:2" x14ac:dyDescent="0.25">
      <c r="A29818" s="2">
        <v>29813</v>
      </c>
      <c r="B29818" s="3" t="str">
        <f>"201402003049"</f>
        <v>201402003049</v>
      </c>
    </row>
    <row r="29819" spans="1:2" x14ac:dyDescent="0.25">
      <c r="A29819" s="2">
        <v>29814</v>
      </c>
      <c r="B29819" s="3" t="str">
        <f>"201402003055"</f>
        <v>201402003055</v>
      </c>
    </row>
    <row r="29820" spans="1:2" x14ac:dyDescent="0.25">
      <c r="A29820" s="2">
        <v>29815</v>
      </c>
      <c r="B29820" s="3" t="str">
        <f>"201402003067"</f>
        <v>201402003067</v>
      </c>
    </row>
    <row r="29821" spans="1:2" x14ac:dyDescent="0.25">
      <c r="A29821" s="2">
        <v>29816</v>
      </c>
      <c r="B29821" s="3" t="str">
        <f>"201402003130"</f>
        <v>201402003130</v>
      </c>
    </row>
    <row r="29822" spans="1:2" x14ac:dyDescent="0.25">
      <c r="A29822" s="2">
        <v>29817</v>
      </c>
      <c r="B29822" s="3" t="str">
        <f>"201402003141"</f>
        <v>201402003141</v>
      </c>
    </row>
    <row r="29823" spans="1:2" x14ac:dyDescent="0.25">
      <c r="A29823" s="2">
        <v>29818</v>
      </c>
      <c r="B29823" s="3" t="str">
        <f>"201402003203"</f>
        <v>201402003203</v>
      </c>
    </row>
    <row r="29824" spans="1:2" x14ac:dyDescent="0.25">
      <c r="A29824" s="2">
        <v>29819</v>
      </c>
      <c r="B29824" s="3" t="str">
        <f>"201402003204"</f>
        <v>201402003204</v>
      </c>
    </row>
    <row r="29825" spans="1:2" x14ac:dyDescent="0.25">
      <c r="A29825" s="2">
        <v>29820</v>
      </c>
      <c r="B29825" s="3" t="str">
        <f>"201402003223"</f>
        <v>201402003223</v>
      </c>
    </row>
    <row r="29826" spans="1:2" x14ac:dyDescent="0.25">
      <c r="A29826" s="2">
        <v>29821</v>
      </c>
      <c r="B29826" s="3" t="str">
        <f>"201402003282"</f>
        <v>201402003282</v>
      </c>
    </row>
    <row r="29827" spans="1:2" x14ac:dyDescent="0.25">
      <c r="A29827" s="2">
        <v>29822</v>
      </c>
      <c r="B29827" s="3" t="str">
        <f>"201402003286"</f>
        <v>201402003286</v>
      </c>
    </row>
    <row r="29828" spans="1:2" x14ac:dyDescent="0.25">
      <c r="A29828" s="2">
        <v>29823</v>
      </c>
      <c r="B29828" s="3" t="str">
        <f>"201402003326"</f>
        <v>201402003326</v>
      </c>
    </row>
    <row r="29829" spans="1:2" x14ac:dyDescent="0.25">
      <c r="A29829" s="2">
        <v>29824</v>
      </c>
      <c r="B29829" s="3" t="str">
        <f>"201402003327"</f>
        <v>201402003327</v>
      </c>
    </row>
    <row r="29830" spans="1:2" x14ac:dyDescent="0.25">
      <c r="A29830" s="2">
        <v>29825</v>
      </c>
      <c r="B29830" s="3" t="str">
        <f>"201402003368"</f>
        <v>201402003368</v>
      </c>
    </row>
    <row r="29831" spans="1:2" x14ac:dyDescent="0.25">
      <c r="A29831" s="2">
        <v>29826</v>
      </c>
      <c r="B29831" s="3" t="str">
        <f>"201402003415"</f>
        <v>201402003415</v>
      </c>
    </row>
    <row r="29832" spans="1:2" x14ac:dyDescent="0.25">
      <c r="A29832" s="2">
        <v>29827</v>
      </c>
      <c r="B29832" s="3" t="str">
        <f>"201402003431"</f>
        <v>201402003431</v>
      </c>
    </row>
    <row r="29833" spans="1:2" x14ac:dyDescent="0.25">
      <c r="A29833" s="2">
        <v>29828</v>
      </c>
      <c r="B29833" s="3" t="str">
        <f>"201402003477"</f>
        <v>201402003477</v>
      </c>
    </row>
    <row r="29834" spans="1:2" x14ac:dyDescent="0.25">
      <c r="A29834" s="2">
        <v>29829</v>
      </c>
      <c r="B29834" s="3" t="str">
        <f>"201402003539"</f>
        <v>201402003539</v>
      </c>
    </row>
    <row r="29835" spans="1:2" x14ac:dyDescent="0.25">
      <c r="A29835" s="2">
        <v>29830</v>
      </c>
      <c r="B29835" s="3" t="str">
        <f>"201402003594"</f>
        <v>201402003594</v>
      </c>
    </row>
    <row r="29836" spans="1:2" x14ac:dyDescent="0.25">
      <c r="A29836" s="2">
        <v>29831</v>
      </c>
      <c r="B29836" s="3" t="str">
        <f>"201402003607"</f>
        <v>201402003607</v>
      </c>
    </row>
    <row r="29837" spans="1:2" x14ac:dyDescent="0.25">
      <c r="A29837" s="2">
        <v>29832</v>
      </c>
      <c r="B29837" s="3" t="str">
        <f>"201402003670"</f>
        <v>201402003670</v>
      </c>
    </row>
    <row r="29838" spans="1:2" x14ac:dyDescent="0.25">
      <c r="A29838" s="2">
        <v>29833</v>
      </c>
      <c r="B29838" s="3" t="str">
        <f>"201402003672"</f>
        <v>201402003672</v>
      </c>
    </row>
    <row r="29839" spans="1:2" x14ac:dyDescent="0.25">
      <c r="A29839" s="2">
        <v>29834</v>
      </c>
      <c r="B29839" s="3" t="str">
        <f>"201402003677"</f>
        <v>201402003677</v>
      </c>
    </row>
    <row r="29840" spans="1:2" x14ac:dyDescent="0.25">
      <c r="A29840" s="2">
        <v>29835</v>
      </c>
      <c r="B29840" s="3" t="str">
        <f>"201402003700"</f>
        <v>201402003700</v>
      </c>
    </row>
    <row r="29841" spans="1:2" x14ac:dyDescent="0.25">
      <c r="A29841" s="2">
        <v>29836</v>
      </c>
      <c r="B29841" s="3" t="str">
        <f>"201402003730"</f>
        <v>201402003730</v>
      </c>
    </row>
    <row r="29842" spans="1:2" x14ac:dyDescent="0.25">
      <c r="A29842" s="2">
        <v>29837</v>
      </c>
      <c r="B29842" s="3" t="str">
        <f>"201402003776"</f>
        <v>201402003776</v>
      </c>
    </row>
    <row r="29843" spans="1:2" x14ac:dyDescent="0.25">
      <c r="A29843" s="2">
        <v>29838</v>
      </c>
      <c r="B29843" s="3" t="str">
        <f>"201402003787"</f>
        <v>201402003787</v>
      </c>
    </row>
    <row r="29844" spans="1:2" x14ac:dyDescent="0.25">
      <c r="A29844" s="2">
        <v>29839</v>
      </c>
      <c r="B29844" s="3" t="str">
        <f>"201402003796"</f>
        <v>201402003796</v>
      </c>
    </row>
    <row r="29845" spans="1:2" x14ac:dyDescent="0.25">
      <c r="A29845" s="2">
        <v>29840</v>
      </c>
      <c r="B29845" s="3" t="str">
        <f>"201402003910"</f>
        <v>201402003910</v>
      </c>
    </row>
    <row r="29846" spans="1:2" x14ac:dyDescent="0.25">
      <c r="A29846" s="2">
        <v>29841</v>
      </c>
      <c r="B29846" s="3" t="str">
        <f>"201402003930"</f>
        <v>201402003930</v>
      </c>
    </row>
    <row r="29847" spans="1:2" x14ac:dyDescent="0.25">
      <c r="A29847" s="2">
        <v>29842</v>
      </c>
      <c r="B29847" s="3" t="str">
        <f>"201402003934"</f>
        <v>201402003934</v>
      </c>
    </row>
    <row r="29848" spans="1:2" x14ac:dyDescent="0.25">
      <c r="A29848" s="2">
        <v>29843</v>
      </c>
      <c r="B29848" s="3" t="str">
        <f>"201402003935"</f>
        <v>201402003935</v>
      </c>
    </row>
    <row r="29849" spans="1:2" x14ac:dyDescent="0.25">
      <c r="A29849" s="2">
        <v>29844</v>
      </c>
      <c r="B29849" s="3" t="str">
        <f>"201402003963"</f>
        <v>201402003963</v>
      </c>
    </row>
    <row r="29850" spans="1:2" x14ac:dyDescent="0.25">
      <c r="A29850" s="2">
        <v>29845</v>
      </c>
      <c r="B29850" s="3" t="str">
        <f>"201402003965"</f>
        <v>201402003965</v>
      </c>
    </row>
    <row r="29851" spans="1:2" x14ac:dyDescent="0.25">
      <c r="A29851" s="2">
        <v>29846</v>
      </c>
      <c r="B29851" s="3" t="str">
        <f>"201402003973"</f>
        <v>201402003973</v>
      </c>
    </row>
    <row r="29852" spans="1:2" x14ac:dyDescent="0.25">
      <c r="A29852" s="2">
        <v>29847</v>
      </c>
      <c r="B29852" s="3" t="str">
        <f>"201402003977"</f>
        <v>201402003977</v>
      </c>
    </row>
    <row r="29853" spans="1:2" x14ac:dyDescent="0.25">
      <c r="A29853" s="2">
        <v>29848</v>
      </c>
      <c r="B29853" s="3" t="str">
        <f>"201402004020"</f>
        <v>201402004020</v>
      </c>
    </row>
    <row r="29854" spans="1:2" x14ac:dyDescent="0.25">
      <c r="A29854" s="2">
        <v>29849</v>
      </c>
      <c r="B29854" s="3" t="str">
        <f>"201402004055"</f>
        <v>201402004055</v>
      </c>
    </row>
    <row r="29855" spans="1:2" x14ac:dyDescent="0.25">
      <c r="A29855" s="2">
        <v>29850</v>
      </c>
      <c r="B29855" s="3" t="str">
        <f>"201402004057"</f>
        <v>201402004057</v>
      </c>
    </row>
    <row r="29856" spans="1:2" x14ac:dyDescent="0.25">
      <c r="A29856" s="2">
        <v>29851</v>
      </c>
      <c r="B29856" s="3" t="str">
        <f>"201402004060"</f>
        <v>201402004060</v>
      </c>
    </row>
    <row r="29857" spans="1:2" x14ac:dyDescent="0.25">
      <c r="A29857" s="2">
        <v>29852</v>
      </c>
      <c r="B29857" s="3" t="str">
        <f>"201402004066"</f>
        <v>201402004066</v>
      </c>
    </row>
    <row r="29858" spans="1:2" x14ac:dyDescent="0.25">
      <c r="A29858" s="2">
        <v>29853</v>
      </c>
      <c r="B29858" s="3" t="str">
        <f>"201402004083"</f>
        <v>201402004083</v>
      </c>
    </row>
    <row r="29859" spans="1:2" x14ac:dyDescent="0.25">
      <c r="A29859" s="2">
        <v>29854</v>
      </c>
      <c r="B29859" s="3" t="str">
        <f>"201402004100"</f>
        <v>201402004100</v>
      </c>
    </row>
    <row r="29860" spans="1:2" x14ac:dyDescent="0.25">
      <c r="A29860" s="2">
        <v>29855</v>
      </c>
      <c r="B29860" s="3" t="str">
        <f>"201402004117"</f>
        <v>201402004117</v>
      </c>
    </row>
    <row r="29861" spans="1:2" x14ac:dyDescent="0.25">
      <c r="A29861" s="2">
        <v>29856</v>
      </c>
      <c r="B29861" s="3" t="str">
        <f>"201402004135"</f>
        <v>201402004135</v>
      </c>
    </row>
    <row r="29862" spans="1:2" x14ac:dyDescent="0.25">
      <c r="A29862" s="2">
        <v>29857</v>
      </c>
      <c r="B29862" s="3" t="str">
        <f>"201402004198"</f>
        <v>201402004198</v>
      </c>
    </row>
    <row r="29863" spans="1:2" x14ac:dyDescent="0.25">
      <c r="A29863" s="2">
        <v>29858</v>
      </c>
      <c r="B29863" s="3" t="str">
        <f>"201402004239"</f>
        <v>201402004239</v>
      </c>
    </row>
    <row r="29864" spans="1:2" x14ac:dyDescent="0.25">
      <c r="A29864" s="2">
        <v>29859</v>
      </c>
      <c r="B29864" s="3" t="str">
        <f>"201402004318"</f>
        <v>201402004318</v>
      </c>
    </row>
    <row r="29865" spans="1:2" x14ac:dyDescent="0.25">
      <c r="A29865" s="2">
        <v>29860</v>
      </c>
      <c r="B29865" s="3" t="str">
        <f>"201402004340"</f>
        <v>201402004340</v>
      </c>
    </row>
    <row r="29866" spans="1:2" x14ac:dyDescent="0.25">
      <c r="A29866" s="2">
        <v>29861</v>
      </c>
      <c r="B29866" s="3" t="str">
        <f>"201402004350"</f>
        <v>201402004350</v>
      </c>
    </row>
    <row r="29867" spans="1:2" x14ac:dyDescent="0.25">
      <c r="A29867" s="2">
        <v>29862</v>
      </c>
      <c r="B29867" s="3" t="str">
        <f>"201402004353"</f>
        <v>201402004353</v>
      </c>
    </row>
    <row r="29868" spans="1:2" x14ac:dyDescent="0.25">
      <c r="A29868" s="2">
        <v>29863</v>
      </c>
      <c r="B29868" s="3" t="str">
        <f>"201402004385"</f>
        <v>201402004385</v>
      </c>
    </row>
    <row r="29869" spans="1:2" x14ac:dyDescent="0.25">
      <c r="A29869" s="2">
        <v>29864</v>
      </c>
      <c r="B29869" s="3" t="str">
        <f>"201402004444"</f>
        <v>201402004444</v>
      </c>
    </row>
    <row r="29870" spans="1:2" x14ac:dyDescent="0.25">
      <c r="A29870" s="2">
        <v>29865</v>
      </c>
      <c r="B29870" s="3" t="str">
        <f>"201402004504"</f>
        <v>201402004504</v>
      </c>
    </row>
    <row r="29871" spans="1:2" x14ac:dyDescent="0.25">
      <c r="A29871" s="2">
        <v>29866</v>
      </c>
      <c r="B29871" s="3" t="str">
        <f>"201402004515"</f>
        <v>201402004515</v>
      </c>
    </row>
    <row r="29872" spans="1:2" x14ac:dyDescent="0.25">
      <c r="A29872" s="2">
        <v>29867</v>
      </c>
      <c r="B29872" s="3" t="str">
        <f>"201402004517"</f>
        <v>201402004517</v>
      </c>
    </row>
    <row r="29873" spans="1:2" x14ac:dyDescent="0.25">
      <c r="A29873" s="2">
        <v>29868</v>
      </c>
      <c r="B29873" s="3" t="str">
        <f>"201402004539"</f>
        <v>201402004539</v>
      </c>
    </row>
    <row r="29874" spans="1:2" x14ac:dyDescent="0.25">
      <c r="A29874" s="2">
        <v>29869</v>
      </c>
      <c r="B29874" s="3" t="str">
        <f>"201402004576"</f>
        <v>201402004576</v>
      </c>
    </row>
    <row r="29875" spans="1:2" x14ac:dyDescent="0.25">
      <c r="A29875" s="2">
        <v>29870</v>
      </c>
      <c r="B29875" s="3" t="str">
        <f>"201402004653"</f>
        <v>201402004653</v>
      </c>
    </row>
    <row r="29876" spans="1:2" x14ac:dyDescent="0.25">
      <c r="A29876" s="2">
        <v>29871</v>
      </c>
      <c r="B29876" s="3" t="str">
        <f>"201402004944"</f>
        <v>201402004944</v>
      </c>
    </row>
    <row r="29877" spans="1:2" x14ac:dyDescent="0.25">
      <c r="A29877" s="2">
        <v>29872</v>
      </c>
      <c r="B29877" s="3" t="str">
        <f>"201402004955"</f>
        <v>201402004955</v>
      </c>
    </row>
    <row r="29878" spans="1:2" x14ac:dyDescent="0.25">
      <c r="A29878" s="2">
        <v>29873</v>
      </c>
      <c r="B29878" s="3" t="str">
        <f>"201402004958"</f>
        <v>201402004958</v>
      </c>
    </row>
    <row r="29879" spans="1:2" x14ac:dyDescent="0.25">
      <c r="A29879" s="2">
        <v>29874</v>
      </c>
      <c r="B29879" s="3" t="str">
        <f>"201402005003"</f>
        <v>201402005003</v>
      </c>
    </row>
    <row r="29880" spans="1:2" x14ac:dyDescent="0.25">
      <c r="A29880" s="2">
        <v>29875</v>
      </c>
      <c r="B29880" s="3" t="str">
        <f>"201402005012"</f>
        <v>201402005012</v>
      </c>
    </row>
    <row r="29881" spans="1:2" x14ac:dyDescent="0.25">
      <c r="A29881" s="2">
        <v>29876</v>
      </c>
      <c r="B29881" s="3" t="str">
        <f>"201402005041"</f>
        <v>201402005041</v>
      </c>
    </row>
    <row r="29882" spans="1:2" x14ac:dyDescent="0.25">
      <c r="A29882" s="2">
        <v>29877</v>
      </c>
      <c r="B29882" s="3" t="str">
        <f>"201402005046"</f>
        <v>201402005046</v>
      </c>
    </row>
    <row r="29883" spans="1:2" x14ac:dyDescent="0.25">
      <c r="A29883" s="2">
        <v>29878</v>
      </c>
      <c r="B29883" s="3" t="str">
        <f>"201402005053"</f>
        <v>201402005053</v>
      </c>
    </row>
    <row r="29884" spans="1:2" x14ac:dyDescent="0.25">
      <c r="A29884" s="2">
        <v>29879</v>
      </c>
      <c r="B29884" s="3" t="str">
        <f>"201402005077"</f>
        <v>201402005077</v>
      </c>
    </row>
    <row r="29885" spans="1:2" x14ac:dyDescent="0.25">
      <c r="A29885" s="2">
        <v>29880</v>
      </c>
      <c r="B29885" s="3" t="str">
        <f>"201402005151"</f>
        <v>201402005151</v>
      </c>
    </row>
    <row r="29886" spans="1:2" x14ac:dyDescent="0.25">
      <c r="A29886" s="2">
        <v>29881</v>
      </c>
      <c r="B29886" s="3" t="str">
        <f>"201402005161"</f>
        <v>201402005161</v>
      </c>
    </row>
    <row r="29887" spans="1:2" x14ac:dyDescent="0.25">
      <c r="A29887" s="2">
        <v>29882</v>
      </c>
      <c r="B29887" s="3" t="str">
        <f>"201402005163"</f>
        <v>201402005163</v>
      </c>
    </row>
    <row r="29888" spans="1:2" x14ac:dyDescent="0.25">
      <c r="A29888" s="2">
        <v>29883</v>
      </c>
      <c r="B29888" s="3" t="str">
        <f>"201402005197"</f>
        <v>201402005197</v>
      </c>
    </row>
    <row r="29889" spans="1:2" x14ac:dyDescent="0.25">
      <c r="A29889" s="2">
        <v>29884</v>
      </c>
      <c r="B29889" s="3" t="str">
        <f>"201402005226"</f>
        <v>201402005226</v>
      </c>
    </row>
    <row r="29890" spans="1:2" x14ac:dyDescent="0.25">
      <c r="A29890" s="2">
        <v>29885</v>
      </c>
      <c r="B29890" s="3" t="str">
        <f>"201402005231"</f>
        <v>201402005231</v>
      </c>
    </row>
    <row r="29891" spans="1:2" x14ac:dyDescent="0.25">
      <c r="A29891" s="2">
        <v>29886</v>
      </c>
      <c r="B29891" s="3" t="str">
        <f>"201402005284"</f>
        <v>201402005284</v>
      </c>
    </row>
    <row r="29892" spans="1:2" x14ac:dyDescent="0.25">
      <c r="A29892" s="2">
        <v>29887</v>
      </c>
      <c r="B29892" s="3" t="str">
        <f>"201402005357"</f>
        <v>201402005357</v>
      </c>
    </row>
    <row r="29893" spans="1:2" x14ac:dyDescent="0.25">
      <c r="A29893" s="2">
        <v>29888</v>
      </c>
      <c r="B29893" s="3" t="str">
        <f>"201402005362"</f>
        <v>201402005362</v>
      </c>
    </row>
    <row r="29894" spans="1:2" x14ac:dyDescent="0.25">
      <c r="A29894" s="2">
        <v>29889</v>
      </c>
      <c r="B29894" s="3" t="str">
        <f>"201402005376"</f>
        <v>201402005376</v>
      </c>
    </row>
    <row r="29895" spans="1:2" x14ac:dyDescent="0.25">
      <c r="A29895" s="2">
        <v>29890</v>
      </c>
      <c r="B29895" s="3" t="str">
        <f>"201402005483"</f>
        <v>201402005483</v>
      </c>
    </row>
    <row r="29896" spans="1:2" x14ac:dyDescent="0.25">
      <c r="A29896" s="2">
        <v>29891</v>
      </c>
      <c r="B29896" s="3" t="str">
        <f>"201402005494"</f>
        <v>201402005494</v>
      </c>
    </row>
    <row r="29897" spans="1:2" x14ac:dyDescent="0.25">
      <c r="A29897" s="2">
        <v>29892</v>
      </c>
      <c r="B29897" s="3" t="str">
        <f>"201402005502"</f>
        <v>201402005502</v>
      </c>
    </row>
    <row r="29898" spans="1:2" x14ac:dyDescent="0.25">
      <c r="A29898" s="2">
        <v>29893</v>
      </c>
      <c r="B29898" s="3" t="str">
        <f>"201402005603"</f>
        <v>201402005603</v>
      </c>
    </row>
    <row r="29899" spans="1:2" x14ac:dyDescent="0.25">
      <c r="A29899" s="2">
        <v>29894</v>
      </c>
      <c r="B29899" s="3" t="str">
        <f>"201402005607"</f>
        <v>201402005607</v>
      </c>
    </row>
    <row r="29900" spans="1:2" x14ac:dyDescent="0.25">
      <c r="A29900" s="2">
        <v>29895</v>
      </c>
      <c r="B29900" s="3" t="str">
        <f>"201402005614"</f>
        <v>201402005614</v>
      </c>
    </row>
    <row r="29901" spans="1:2" x14ac:dyDescent="0.25">
      <c r="A29901" s="2">
        <v>29896</v>
      </c>
      <c r="B29901" s="3" t="str">
        <f>"201402005616"</f>
        <v>201402005616</v>
      </c>
    </row>
    <row r="29902" spans="1:2" x14ac:dyDescent="0.25">
      <c r="A29902" s="2">
        <v>29897</v>
      </c>
      <c r="B29902" s="3" t="str">
        <f>"201402005695"</f>
        <v>201402005695</v>
      </c>
    </row>
    <row r="29903" spans="1:2" x14ac:dyDescent="0.25">
      <c r="A29903" s="2">
        <v>29898</v>
      </c>
      <c r="B29903" s="3" t="str">
        <f>"201402005703"</f>
        <v>201402005703</v>
      </c>
    </row>
    <row r="29904" spans="1:2" x14ac:dyDescent="0.25">
      <c r="A29904" s="2">
        <v>29899</v>
      </c>
      <c r="B29904" s="3" t="str">
        <f>"201402005749"</f>
        <v>201402005749</v>
      </c>
    </row>
    <row r="29905" spans="1:2" x14ac:dyDescent="0.25">
      <c r="A29905" s="2">
        <v>29900</v>
      </c>
      <c r="B29905" s="3" t="str">
        <f>"201402005751"</f>
        <v>201402005751</v>
      </c>
    </row>
    <row r="29906" spans="1:2" x14ac:dyDescent="0.25">
      <c r="A29906" s="2">
        <v>29901</v>
      </c>
      <c r="B29906" s="3" t="str">
        <f>"201402005812"</f>
        <v>201402005812</v>
      </c>
    </row>
    <row r="29907" spans="1:2" x14ac:dyDescent="0.25">
      <c r="A29907" s="2">
        <v>29902</v>
      </c>
      <c r="B29907" s="3" t="str">
        <f>"201402005821"</f>
        <v>201402005821</v>
      </c>
    </row>
    <row r="29908" spans="1:2" x14ac:dyDescent="0.25">
      <c r="A29908" s="2">
        <v>29903</v>
      </c>
      <c r="B29908" s="3" t="str">
        <f>"201402005825"</f>
        <v>201402005825</v>
      </c>
    </row>
    <row r="29909" spans="1:2" x14ac:dyDescent="0.25">
      <c r="A29909" s="2">
        <v>29904</v>
      </c>
      <c r="B29909" s="3" t="str">
        <f>"201402005828"</f>
        <v>201402005828</v>
      </c>
    </row>
    <row r="29910" spans="1:2" x14ac:dyDescent="0.25">
      <c r="A29910" s="2">
        <v>29905</v>
      </c>
      <c r="B29910" s="3" t="str">
        <f>"201402005850"</f>
        <v>201402005850</v>
      </c>
    </row>
    <row r="29911" spans="1:2" x14ac:dyDescent="0.25">
      <c r="A29911" s="2">
        <v>29906</v>
      </c>
      <c r="B29911" s="3" t="str">
        <f>"201402005866"</f>
        <v>201402005866</v>
      </c>
    </row>
    <row r="29912" spans="1:2" x14ac:dyDescent="0.25">
      <c r="A29912" s="2">
        <v>29907</v>
      </c>
      <c r="B29912" s="3" t="str">
        <f>"201402005904"</f>
        <v>201402005904</v>
      </c>
    </row>
    <row r="29913" spans="1:2" x14ac:dyDescent="0.25">
      <c r="A29913" s="2">
        <v>29908</v>
      </c>
      <c r="B29913" s="3" t="str">
        <f>"201402005908"</f>
        <v>201402005908</v>
      </c>
    </row>
    <row r="29914" spans="1:2" x14ac:dyDescent="0.25">
      <c r="A29914" s="2">
        <v>29909</v>
      </c>
      <c r="B29914" s="3" t="str">
        <f>"201402005915"</f>
        <v>201402005915</v>
      </c>
    </row>
    <row r="29915" spans="1:2" x14ac:dyDescent="0.25">
      <c r="A29915" s="2">
        <v>29910</v>
      </c>
      <c r="B29915" s="3" t="str">
        <f>"201402005939"</f>
        <v>201402005939</v>
      </c>
    </row>
    <row r="29916" spans="1:2" x14ac:dyDescent="0.25">
      <c r="A29916" s="2">
        <v>29911</v>
      </c>
      <c r="B29916" s="3" t="str">
        <f>"201402005971"</f>
        <v>201402005971</v>
      </c>
    </row>
    <row r="29917" spans="1:2" x14ac:dyDescent="0.25">
      <c r="A29917" s="2">
        <v>29912</v>
      </c>
      <c r="B29917" s="3" t="str">
        <f>"201402005978"</f>
        <v>201402005978</v>
      </c>
    </row>
    <row r="29918" spans="1:2" x14ac:dyDescent="0.25">
      <c r="A29918" s="2">
        <v>29913</v>
      </c>
      <c r="B29918" s="3" t="str">
        <f>"201402005990"</f>
        <v>201402005990</v>
      </c>
    </row>
    <row r="29919" spans="1:2" x14ac:dyDescent="0.25">
      <c r="A29919" s="2">
        <v>29914</v>
      </c>
      <c r="B29919" s="3" t="str">
        <f>"201402006083"</f>
        <v>201402006083</v>
      </c>
    </row>
    <row r="29920" spans="1:2" x14ac:dyDescent="0.25">
      <c r="A29920" s="2">
        <v>29915</v>
      </c>
      <c r="B29920" s="3" t="str">
        <f>"201402006141"</f>
        <v>201402006141</v>
      </c>
    </row>
    <row r="29921" spans="1:2" x14ac:dyDescent="0.25">
      <c r="A29921" s="2">
        <v>29916</v>
      </c>
      <c r="B29921" s="3" t="str">
        <f>"201402006200"</f>
        <v>201402006200</v>
      </c>
    </row>
    <row r="29922" spans="1:2" x14ac:dyDescent="0.25">
      <c r="A29922" s="2">
        <v>29917</v>
      </c>
      <c r="B29922" s="3" t="str">
        <f>"201402006229"</f>
        <v>201402006229</v>
      </c>
    </row>
    <row r="29923" spans="1:2" x14ac:dyDescent="0.25">
      <c r="A29923" s="2">
        <v>29918</v>
      </c>
      <c r="B29923" s="3" t="str">
        <f>"201402006259"</f>
        <v>201402006259</v>
      </c>
    </row>
    <row r="29924" spans="1:2" x14ac:dyDescent="0.25">
      <c r="A29924" s="2">
        <v>29919</v>
      </c>
      <c r="B29924" s="3" t="str">
        <f>"201402006321"</f>
        <v>201402006321</v>
      </c>
    </row>
    <row r="29925" spans="1:2" x14ac:dyDescent="0.25">
      <c r="A29925" s="2">
        <v>29920</v>
      </c>
      <c r="B29925" s="3" t="str">
        <f>"201402006326"</f>
        <v>201402006326</v>
      </c>
    </row>
    <row r="29926" spans="1:2" x14ac:dyDescent="0.25">
      <c r="A29926" s="2">
        <v>29921</v>
      </c>
      <c r="B29926" s="3" t="str">
        <f>"201402006379"</f>
        <v>201402006379</v>
      </c>
    </row>
    <row r="29927" spans="1:2" x14ac:dyDescent="0.25">
      <c r="A29927" s="2">
        <v>29922</v>
      </c>
      <c r="B29927" s="3" t="str">
        <f>"201402006411"</f>
        <v>201402006411</v>
      </c>
    </row>
    <row r="29928" spans="1:2" x14ac:dyDescent="0.25">
      <c r="A29928" s="2">
        <v>29923</v>
      </c>
      <c r="B29928" s="3" t="str">
        <f>"201402006433"</f>
        <v>201402006433</v>
      </c>
    </row>
    <row r="29929" spans="1:2" x14ac:dyDescent="0.25">
      <c r="A29929" s="2">
        <v>29924</v>
      </c>
      <c r="B29929" s="3" t="str">
        <f>"201402006441"</f>
        <v>201402006441</v>
      </c>
    </row>
    <row r="29930" spans="1:2" x14ac:dyDescent="0.25">
      <c r="A29930" s="2">
        <v>29925</v>
      </c>
      <c r="B29930" s="3" t="str">
        <f>"201402006453"</f>
        <v>201402006453</v>
      </c>
    </row>
    <row r="29931" spans="1:2" x14ac:dyDescent="0.25">
      <c r="A29931" s="2">
        <v>29926</v>
      </c>
      <c r="B29931" s="3" t="str">
        <f>"201402006471"</f>
        <v>201402006471</v>
      </c>
    </row>
    <row r="29932" spans="1:2" x14ac:dyDescent="0.25">
      <c r="A29932" s="2">
        <v>29927</v>
      </c>
      <c r="B29932" s="3" t="str">
        <f>"201402006542"</f>
        <v>201402006542</v>
      </c>
    </row>
    <row r="29933" spans="1:2" x14ac:dyDescent="0.25">
      <c r="A29933" s="2">
        <v>29928</v>
      </c>
      <c r="B29933" s="3" t="str">
        <f>"201402006569"</f>
        <v>201402006569</v>
      </c>
    </row>
    <row r="29934" spans="1:2" x14ac:dyDescent="0.25">
      <c r="A29934" s="2">
        <v>29929</v>
      </c>
      <c r="B29934" s="3" t="str">
        <f>"201402006571"</f>
        <v>201402006571</v>
      </c>
    </row>
    <row r="29935" spans="1:2" x14ac:dyDescent="0.25">
      <c r="A29935" s="2">
        <v>29930</v>
      </c>
      <c r="B29935" s="3" t="str">
        <f>"201402006639"</f>
        <v>201402006639</v>
      </c>
    </row>
    <row r="29936" spans="1:2" x14ac:dyDescent="0.25">
      <c r="A29936" s="2">
        <v>29931</v>
      </c>
      <c r="B29936" s="3" t="str">
        <f>"201402006647"</f>
        <v>201402006647</v>
      </c>
    </row>
    <row r="29937" spans="1:2" x14ac:dyDescent="0.25">
      <c r="A29937" s="2">
        <v>29932</v>
      </c>
      <c r="B29937" s="3" t="str">
        <f>"201402006672"</f>
        <v>201402006672</v>
      </c>
    </row>
    <row r="29938" spans="1:2" x14ac:dyDescent="0.25">
      <c r="A29938" s="2">
        <v>29933</v>
      </c>
      <c r="B29938" s="3" t="str">
        <f>"201402006935"</f>
        <v>201402006935</v>
      </c>
    </row>
    <row r="29939" spans="1:2" x14ac:dyDescent="0.25">
      <c r="A29939" s="2">
        <v>29934</v>
      </c>
      <c r="B29939" s="3" t="str">
        <f>"201402006955"</f>
        <v>201402006955</v>
      </c>
    </row>
    <row r="29940" spans="1:2" x14ac:dyDescent="0.25">
      <c r="A29940" s="2">
        <v>29935</v>
      </c>
      <c r="B29940" s="3" t="str">
        <f>"201402007025"</f>
        <v>201402007025</v>
      </c>
    </row>
    <row r="29941" spans="1:2" x14ac:dyDescent="0.25">
      <c r="A29941" s="2">
        <v>29936</v>
      </c>
      <c r="B29941" s="3" t="str">
        <f>"201402007035"</f>
        <v>201402007035</v>
      </c>
    </row>
    <row r="29942" spans="1:2" x14ac:dyDescent="0.25">
      <c r="A29942" s="2">
        <v>29937</v>
      </c>
      <c r="B29942" s="3" t="str">
        <f>"201402007044"</f>
        <v>201402007044</v>
      </c>
    </row>
    <row r="29943" spans="1:2" x14ac:dyDescent="0.25">
      <c r="A29943" s="2">
        <v>29938</v>
      </c>
      <c r="B29943" s="3" t="str">
        <f>"201402007048"</f>
        <v>201402007048</v>
      </c>
    </row>
    <row r="29944" spans="1:2" x14ac:dyDescent="0.25">
      <c r="A29944" s="2">
        <v>29939</v>
      </c>
      <c r="B29944" s="3" t="str">
        <f>"201402007068"</f>
        <v>201402007068</v>
      </c>
    </row>
    <row r="29945" spans="1:2" x14ac:dyDescent="0.25">
      <c r="A29945" s="2">
        <v>29940</v>
      </c>
      <c r="B29945" s="3" t="str">
        <f>"201402007077"</f>
        <v>201402007077</v>
      </c>
    </row>
    <row r="29946" spans="1:2" x14ac:dyDescent="0.25">
      <c r="A29946" s="2">
        <v>29941</v>
      </c>
      <c r="B29946" s="3" t="str">
        <f>"201402007097"</f>
        <v>201402007097</v>
      </c>
    </row>
    <row r="29947" spans="1:2" x14ac:dyDescent="0.25">
      <c r="A29947" s="2">
        <v>29942</v>
      </c>
      <c r="B29947" s="3" t="str">
        <f>"201402007106"</f>
        <v>201402007106</v>
      </c>
    </row>
    <row r="29948" spans="1:2" x14ac:dyDescent="0.25">
      <c r="A29948" s="2">
        <v>29943</v>
      </c>
      <c r="B29948" s="3" t="str">
        <f>"201402007149"</f>
        <v>201402007149</v>
      </c>
    </row>
    <row r="29949" spans="1:2" x14ac:dyDescent="0.25">
      <c r="A29949" s="2">
        <v>29944</v>
      </c>
      <c r="B29949" s="3" t="str">
        <f>"201402007164"</f>
        <v>201402007164</v>
      </c>
    </row>
    <row r="29950" spans="1:2" x14ac:dyDescent="0.25">
      <c r="A29950" s="2">
        <v>29945</v>
      </c>
      <c r="B29950" s="3" t="str">
        <f>"201402007216"</f>
        <v>201402007216</v>
      </c>
    </row>
    <row r="29951" spans="1:2" x14ac:dyDescent="0.25">
      <c r="A29951" s="2">
        <v>29946</v>
      </c>
      <c r="B29951" s="3" t="str">
        <f>"201402007222"</f>
        <v>201402007222</v>
      </c>
    </row>
    <row r="29952" spans="1:2" x14ac:dyDescent="0.25">
      <c r="A29952" s="2">
        <v>29947</v>
      </c>
      <c r="B29952" s="3" t="str">
        <f>"201402007316"</f>
        <v>201402007316</v>
      </c>
    </row>
    <row r="29953" spans="1:2" x14ac:dyDescent="0.25">
      <c r="A29953" s="2">
        <v>29948</v>
      </c>
      <c r="B29953" s="3" t="str">
        <f>"201402007342"</f>
        <v>201402007342</v>
      </c>
    </row>
    <row r="29954" spans="1:2" x14ac:dyDescent="0.25">
      <c r="A29954" s="2">
        <v>29949</v>
      </c>
      <c r="B29954" s="3" t="str">
        <f>"201402007384"</f>
        <v>201402007384</v>
      </c>
    </row>
    <row r="29955" spans="1:2" x14ac:dyDescent="0.25">
      <c r="A29955" s="2">
        <v>29950</v>
      </c>
      <c r="B29955" s="3" t="str">
        <f>"201402007401"</f>
        <v>201402007401</v>
      </c>
    </row>
    <row r="29956" spans="1:2" x14ac:dyDescent="0.25">
      <c r="A29956" s="2">
        <v>29951</v>
      </c>
      <c r="B29956" s="3" t="str">
        <f>"201402007408"</f>
        <v>201402007408</v>
      </c>
    </row>
    <row r="29957" spans="1:2" x14ac:dyDescent="0.25">
      <c r="A29957" s="2">
        <v>29952</v>
      </c>
      <c r="B29957" s="3" t="str">
        <f>"201402007429"</f>
        <v>201402007429</v>
      </c>
    </row>
    <row r="29958" spans="1:2" x14ac:dyDescent="0.25">
      <c r="A29958" s="2">
        <v>29953</v>
      </c>
      <c r="B29958" s="3" t="str">
        <f>"201402007467"</f>
        <v>201402007467</v>
      </c>
    </row>
    <row r="29959" spans="1:2" x14ac:dyDescent="0.25">
      <c r="A29959" s="2">
        <v>29954</v>
      </c>
      <c r="B29959" s="3" t="str">
        <f>"201402007469"</f>
        <v>201402007469</v>
      </c>
    </row>
    <row r="29960" spans="1:2" x14ac:dyDescent="0.25">
      <c r="A29960" s="2">
        <v>29955</v>
      </c>
      <c r="B29960" s="3" t="str">
        <f>"201402007476"</f>
        <v>201402007476</v>
      </c>
    </row>
    <row r="29961" spans="1:2" x14ac:dyDescent="0.25">
      <c r="A29961" s="2">
        <v>29956</v>
      </c>
      <c r="B29961" s="3" t="str">
        <f>"201402007481"</f>
        <v>201402007481</v>
      </c>
    </row>
    <row r="29962" spans="1:2" x14ac:dyDescent="0.25">
      <c r="A29962" s="2">
        <v>29957</v>
      </c>
      <c r="B29962" s="3" t="str">
        <f>"201402007495"</f>
        <v>201402007495</v>
      </c>
    </row>
    <row r="29963" spans="1:2" x14ac:dyDescent="0.25">
      <c r="A29963" s="2">
        <v>29958</v>
      </c>
      <c r="B29963" s="3" t="str">
        <f>"201402007523"</f>
        <v>201402007523</v>
      </c>
    </row>
    <row r="29964" spans="1:2" x14ac:dyDescent="0.25">
      <c r="A29964" s="2">
        <v>29959</v>
      </c>
      <c r="B29964" s="3" t="str">
        <f>"201402007549"</f>
        <v>201402007549</v>
      </c>
    </row>
    <row r="29965" spans="1:2" x14ac:dyDescent="0.25">
      <c r="A29965" s="2">
        <v>29960</v>
      </c>
      <c r="B29965" s="3" t="str">
        <f>"201402007564"</f>
        <v>201402007564</v>
      </c>
    </row>
    <row r="29966" spans="1:2" x14ac:dyDescent="0.25">
      <c r="A29966" s="2">
        <v>29961</v>
      </c>
      <c r="B29966" s="3" t="str">
        <f>"201402007598"</f>
        <v>201402007598</v>
      </c>
    </row>
    <row r="29967" spans="1:2" x14ac:dyDescent="0.25">
      <c r="A29967" s="2">
        <v>29962</v>
      </c>
      <c r="B29967" s="3" t="str">
        <f>"201402007609"</f>
        <v>201402007609</v>
      </c>
    </row>
    <row r="29968" spans="1:2" x14ac:dyDescent="0.25">
      <c r="A29968" s="2">
        <v>29963</v>
      </c>
      <c r="B29968" s="3" t="str">
        <f>"201402007642"</f>
        <v>201402007642</v>
      </c>
    </row>
    <row r="29969" spans="1:2" x14ac:dyDescent="0.25">
      <c r="A29969" s="2">
        <v>29964</v>
      </c>
      <c r="B29969" s="3" t="str">
        <f>"201402007651"</f>
        <v>201402007651</v>
      </c>
    </row>
    <row r="29970" spans="1:2" x14ac:dyDescent="0.25">
      <c r="A29970" s="2">
        <v>29965</v>
      </c>
      <c r="B29970" s="3" t="str">
        <f>"201402007695"</f>
        <v>201402007695</v>
      </c>
    </row>
    <row r="29971" spans="1:2" x14ac:dyDescent="0.25">
      <c r="A29971" s="2">
        <v>29966</v>
      </c>
      <c r="B29971" s="3" t="str">
        <f>"201402007703"</f>
        <v>201402007703</v>
      </c>
    </row>
    <row r="29972" spans="1:2" x14ac:dyDescent="0.25">
      <c r="A29972" s="2">
        <v>29967</v>
      </c>
      <c r="B29972" s="3" t="str">
        <f>"201402007706"</f>
        <v>201402007706</v>
      </c>
    </row>
    <row r="29973" spans="1:2" x14ac:dyDescent="0.25">
      <c r="A29973" s="2">
        <v>29968</v>
      </c>
      <c r="B29973" s="3" t="str">
        <f>"201402007728"</f>
        <v>201402007728</v>
      </c>
    </row>
    <row r="29974" spans="1:2" x14ac:dyDescent="0.25">
      <c r="A29974" s="2">
        <v>29969</v>
      </c>
      <c r="B29974" s="3" t="str">
        <f>"201402007735"</f>
        <v>201402007735</v>
      </c>
    </row>
    <row r="29975" spans="1:2" x14ac:dyDescent="0.25">
      <c r="A29975" s="2">
        <v>29970</v>
      </c>
      <c r="B29975" s="3" t="str">
        <f>"201402007745"</f>
        <v>201402007745</v>
      </c>
    </row>
    <row r="29976" spans="1:2" x14ac:dyDescent="0.25">
      <c r="A29976" s="2">
        <v>29971</v>
      </c>
      <c r="B29976" s="3" t="str">
        <f>"201402007776"</f>
        <v>201402007776</v>
      </c>
    </row>
    <row r="29977" spans="1:2" x14ac:dyDescent="0.25">
      <c r="A29977" s="2">
        <v>29972</v>
      </c>
      <c r="B29977" s="3" t="str">
        <f>"201402007805"</f>
        <v>201402007805</v>
      </c>
    </row>
    <row r="29978" spans="1:2" x14ac:dyDescent="0.25">
      <c r="A29978" s="2">
        <v>29973</v>
      </c>
      <c r="B29978" s="3" t="str">
        <f>"201402007807"</f>
        <v>201402007807</v>
      </c>
    </row>
    <row r="29979" spans="1:2" x14ac:dyDescent="0.25">
      <c r="A29979" s="2">
        <v>29974</v>
      </c>
      <c r="B29979" s="3" t="str">
        <f>"201402007841"</f>
        <v>201402007841</v>
      </c>
    </row>
    <row r="29980" spans="1:2" x14ac:dyDescent="0.25">
      <c r="A29980" s="2">
        <v>29975</v>
      </c>
      <c r="B29980" s="3" t="str">
        <f>"201402007843"</f>
        <v>201402007843</v>
      </c>
    </row>
    <row r="29981" spans="1:2" x14ac:dyDescent="0.25">
      <c r="A29981" s="2">
        <v>29976</v>
      </c>
      <c r="B29981" s="3" t="str">
        <f>"201402007922"</f>
        <v>201402007922</v>
      </c>
    </row>
    <row r="29982" spans="1:2" x14ac:dyDescent="0.25">
      <c r="A29982" s="2">
        <v>29977</v>
      </c>
      <c r="B29982" s="3" t="str">
        <f>"201402007953"</f>
        <v>201402007953</v>
      </c>
    </row>
    <row r="29983" spans="1:2" x14ac:dyDescent="0.25">
      <c r="A29983" s="2">
        <v>29978</v>
      </c>
      <c r="B29983" s="3" t="str">
        <f>"201402007983"</f>
        <v>201402007983</v>
      </c>
    </row>
    <row r="29984" spans="1:2" x14ac:dyDescent="0.25">
      <c r="A29984" s="2">
        <v>29979</v>
      </c>
      <c r="B29984" s="3" t="str">
        <f>"201402008010"</f>
        <v>201402008010</v>
      </c>
    </row>
    <row r="29985" spans="1:2" x14ac:dyDescent="0.25">
      <c r="A29985" s="2">
        <v>29980</v>
      </c>
      <c r="B29985" s="3" t="str">
        <f>"201402008038"</f>
        <v>201402008038</v>
      </c>
    </row>
    <row r="29986" spans="1:2" x14ac:dyDescent="0.25">
      <c r="A29986" s="2">
        <v>29981</v>
      </c>
      <c r="B29986" s="3" t="str">
        <f>"201402008049"</f>
        <v>201402008049</v>
      </c>
    </row>
    <row r="29987" spans="1:2" x14ac:dyDescent="0.25">
      <c r="A29987" s="2">
        <v>29982</v>
      </c>
      <c r="B29987" s="3" t="str">
        <f>"201402008054"</f>
        <v>201402008054</v>
      </c>
    </row>
    <row r="29988" spans="1:2" x14ac:dyDescent="0.25">
      <c r="A29988" s="2">
        <v>29983</v>
      </c>
      <c r="B29988" s="3" t="str">
        <f>"201402008062"</f>
        <v>201402008062</v>
      </c>
    </row>
    <row r="29989" spans="1:2" x14ac:dyDescent="0.25">
      <c r="A29989" s="2">
        <v>29984</v>
      </c>
      <c r="B29989" s="3" t="str">
        <f>"201402008064"</f>
        <v>201402008064</v>
      </c>
    </row>
    <row r="29990" spans="1:2" x14ac:dyDescent="0.25">
      <c r="A29990" s="2">
        <v>29985</v>
      </c>
      <c r="B29990" s="3" t="str">
        <f>"201402008070"</f>
        <v>201402008070</v>
      </c>
    </row>
    <row r="29991" spans="1:2" x14ac:dyDescent="0.25">
      <c r="A29991" s="2">
        <v>29986</v>
      </c>
      <c r="B29991" s="3" t="str">
        <f>"201402008088"</f>
        <v>201402008088</v>
      </c>
    </row>
    <row r="29992" spans="1:2" x14ac:dyDescent="0.25">
      <c r="A29992" s="2">
        <v>29987</v>
      </c>
      <c r="B29992" s="3" t="str">
        <f>"201402008095"</f>
        <v>201402008095</v>
      </c>
    </row>
    <row r="29993" spans="1:2" x14ac:dyDescent="0.25">
      <c r="A29993" s="2">
        <v>29988</v>
      </c>
      <c r="B29993" s="3" t="str">
        <f>"201402008130"</f>
        <v>201402008130</v>
      </c>
    </row>
    <row r="29994" spans="1:2" x14ac:dyDescent="0.25">
      <c r="A29994" s="2">
        <v>29989</v>
      </c>
      <c r="B29994" s="3" t="str">
        <f>"201402008139"</f>
        <v>201402008139</v>
      </c>
    </row>
    <row r="29995" spans="1:2" x14ac:dyDescent="0.25">
      <c r="A29995" s="2">
        <v>29990</v>
      </c>
      <c r="B29995" s="3" t="str">
        <f>"201402008166"</f>
        <v>201402008166</v>
      </c>
    </row>
    <row r="29996" spans="1:2" x14ac:dyDescent="0.25">
      <c r="A29996" s="2">
        <v>29991</v>
      </c>
      <c r="B29996" s="3" t="str">
        <f>"201402008185"</f>
        <v>201402008185</v>
      </c>
    </row>
    <row r="29997" spans="1:2" x14ac:dyDescent="0.25">
      <c r="A29997" s="2">
        <v>29992</v>
      </c>
      <c r="B29997" s="3" t="str">
        <f>"201402008210"</f>
        <v>201402008210</v>
      </c>
    </row>
    <row r="29998" spans="1:2" x14ac:dyDescent="0.25">
      <c r="A29998" s="2">
        <v>29993</v>
      </c>
      <c r="B29998" s="3" t="str">
        <f>"201402008295"</f>
        <v>201402008295</v>
      </c>
    </row>
    <row r="29999" spans="1:2" x14ac:dyDescent="0.25">
      <c r="A29999" s="2">
        <v>29994</v>
      </c>
      <c r="B29999" s="3" t="str">
        <f>"201402008313"</f>
        <v>201402008313</v>
      </c>
    </row>
    <row r="30000" spans="1:2" x14ac:dyDescent="0.25">
      <c r="A30000" s="2">
        <v>29995</v>
      </c>
      <c r="B30000" s="3" t="str">
        <f>"201402008333"</f>
        <v>201402008333</v>
      </c>
    </row>
    <row r="30001" spans="1:2" x14ac:dyDescent="0.25">
      <c r="A30001" s="2">
        <v>29996</v>
      </c>
      <c r="B30001" s="3" t="str">
        <f>"201402008338"</f>
        <v>201402008338</v>
      </c>
    </row>
    <row r="30002" spans="1:2" x14ac:dyDescent="0.25">
      <c r="A30002" s="2">
        <v>29997</v>
      </c>
      <c r="B30002" s="3" t="str">
        <f>"201402008366"</f>
        <v>201402008366</v>
      </c>
    </row>
    <row r="30003" spans="1:2" x14ac:dyDescent="0.25">
      <c r="A30003" s="2">
        <v>29998</v>
      </c>
      <c r="B30003" s="3" t="str">
        <f>"201402008375"</f>
        <v>201402008375</v>
      </c>
    </row>
    <row r="30004" spans="1:2" x14ac:dyDescent="0.25">
      <c r="A30004" s="2">
        <v>29999</v>
      </c>
      <c r="B30004" s="3" t="str">
        <f>"201402008396"</f>
        <v>201402008396</v>
      </c>
    </row>
    <row r="30005" spans="1:2" x14ac:dyDescent="0.25">
      <c r="A30005" s="2">
        <v>30000</v>
      </c>
      <c r="B30005" s="3" t="str">
        <f>"201402008425"</f>
        <v>201402008425</v>
      </c>
    </row>
    <row r="30006" spans="1:2" x14ac:dyDescent="0.25">
      <c r="A30006" s="2">
        <v>30001</v>
      </c>
      <c r="B30006" s="3" t="str">
        <f>"201402008453"</f>
        <v>201402008453</v>
      </c>
    </row>
    <row r="30007" spans="1:2" x14ac:dyDescent="0.25">
      <c r="A30007" s="2">
        <v>30002</v>
      </c>
      <c r="B30007" s="3" t="str">
        <f>"201402008457"</f>
        <v>201402008457</v>
      </c>
    </row>
    <row r="30008" spans="1:2" x14ac:dyDescent="0.25">
      <c r="A30008" s="2">
        <v>30003</v>
      </c>
      <c r="B30008" s="3" t="str">
        <f>"201402008492"</f>
        <v>201402008492</v>
      </c>
    </row>
    <row r="30009" spans="1:2" x14ac:dyDescent="0.25">
      <c r="A30009" s="2">
        <v>30004</v>
      </c>
      <c r="B30009" s="3" t="str">
        <f>"201402008502"</f>
        <v>201402008502</v>
      </c>
    </row>
    <row r="30010" spans="1:2" x14ac:dyDescent="0.25">
      <c r="A30010" s="2">
        <v>30005</v>
      </c>
      <c r="B30010" s="3" t="str">
        <f>"201402008562"</f>
        <v>201402008562</v>
      </c>
    </row>
    <row r="30011" spans="1:2" x14ac:dyDescent="0.25">
      <c r="A30011" s="2">
        <v>30006</v>
      </c>
      <c r="B30011" s="3" t="str">
        <f>"201402008582"</f>
        <v>201402008582</v>
      </c>
    </row>
    <row r="30012" spans="1:2" x14ac:dyDescent="0.25">
      <c r="A30012" s="2">
        <v>30007</v>
      </c>
      <c r="B30012" s="3" t="str">
        <f>"201402008637"</f>
        <v>201402008637</v>
      </c>
    </row>
    <row r="30013" spans="1:2" x14ac:dyDescent="0.25">
      <c r="A30013" s="2">
        <v>30008</v>
      </c>
      <c r="B30013" s="3" t="str">
        <f>"201402008691"</f>
        <v>201402008691</v>
      </c>
    </row>
    <row r="30014" spans="1:2" x14ac:dyDescent="0.25">
      <c r="A30014" s="2">
        <v>30009</v>
      </c>
      <c r="B30014" s="3" t="str">
        <f>"201402008701"</f>
        <v>201402008701</v>
      </c>
    </row>
    <row r="30015" spans="1:2" x14ac:dyDescent="0.25">
      <c r="A30015" s="2">
        <v>30010</v>
      </c>
      <c r="B30015" s="3" t="str">
        <f>"201402008749"</f>
        <v>201402008749</v>
      </c>
    </row>
    <row r="30016" spans="1:2" x14ac:dyDescent="0.25">
      <c r="A30016" s="2">
        <v>30011</v>
      </c>
      <c r="B30016" s="3" t="str">
        <f>"201402008755"</f>
        <v>201402008755</v>
      </c>
    </row>
    <row r="30017" spans="1:2" x14ac:dyDescent="0.25">
      <c r="A30017" s="2">
        <v>30012</v>
      </c>
      <c r="B30017" s="3" t="str">
        <f>"201402008756"</f>
        <v>201402008756</v>
      </c>
    </row>
    <row r="30018" spans="1:2" x14ac:dyDescent="0.25">
      <c r="A30018" s="2">
        <v>30013</v>
      </c>
      <c r="B30018" s="3" t="str">
        <f>"201402008778"</f>
        <v>201402008778</v>
      </c>
    </row>
    <row r="30019" spans="1:2" x14ac:dyDescent="0.25">
      <c r="A30019" s="2">
        <v>30014</v>
      </c>
      <c r="B30019" s="3" t="str">
        <f>"201402008830"</f>
        <v>201402008830</v>
      </c>
    </row>
    <row r="30020" spans="1:2" x14ac:dyDescent="0.25">
      <c r="A30020" s="2">
        <v>30015</v>
      </c>
      <c r="B30020" s="3" t="str">
        <f>"201402008841"</f>
        <v>201402008841</v>
      </c>
    </row>
    <row r="30021" spans="1:2" x14ac:dyDescent="0.25">
      <c r="A30021" s="2">
        <v>30016</v>
      </c>
      <c r="B30021" s="3" t="str">
        <f>"201402008845"</f>
        <v>201402008845</v>
      </c>
    </row>
    <row r="30022" spans="1:2" x14ac:dyDescent="0.25">
      <c r="A30022" s="2">
        <v>30017</v>
      </c>
      <c r="B30022" s="3" t="str">
        <f>"201402008894"</f>
        <v>201402008894</v>
      </c>
    </row>
    <row r="30023" spans="1:2" x14ac:dyDescent="0.25">
      <c r="A30023" s="2">
        <v>30018</v>
      </c>
      <c r="B30023" s="3" t="str">
        <f>"201402008912"</f>
        <v>201402008912</v>
      </c>
    </row>
    <row r="30024" spans="1:2" x14ac:dyDescent="0.25">
      <c r="A30024" s="2">
        <v>30019</v>
      </c>
      <c r="B30024" s="3" t="str">
        <f>"201402008916"</f>
        <v>201402008916</v>
      </c>
    </row>
    <row r="30025" spans="1:2" x14ac:dyDescent="0.25">
      <c r="A30025" s="2">
        <v>30020</v>
      </c>
      <c r="B30025" s="3" t="str">
        <f>"201402008946"</f>
        <v>201402008946</v>
      </c>
    </row>
    <row r="30026" spans="1:2" x14ac:dyDescent="0.25">
      <c r="A30026" s="2">
        <v>30021</v>
      </c>
      <c r="B30026" s="3" t="str">
        <f>"201402008955"</f>
        <v>201402008955</v>
      </c>
    </row>
    <row r="30027" spans="1:2" x14ac:dyDescent="0.25">
      <c r="A30027" s="2">
        <v>30022</v>
      </c>
      <c r="B30027" s="3" t="str">
        <f>"201402009025"</f>
        <v>201402009025</v>
      </c>
    </row>
    <row r="30028" spans="1:2" x14ac:dyDescent="0.25">
      <c r="A30028" s="2">
        <v>30023</v>
      </c>
      <c r="B30028" s="3" t="str">
        <f>"201402009047"</f>
        <v>201402009047</v>
      </c>
    </row>
    <row r="30029" spans="1:2" x14ac:dyDescent="0.25">
      <c r="A30029" s="2">
        <v>30024</v>
      </c>
      <c r="B30029" s="3" t="str">
        <f>"201402009072"</f>
        <v>201402009072</v>
      </c>
    </row>
    <row r="30030" spans="1:2" x14ac:dyDescent="0.25">
      <c r="A30030" s="2">
        <v>30025</v>
      </c>
      <c r="B30030" s="3" t="str">
        <f>"201402009138"</f>
        <v>201402009138</v>
      </c>
    </row>
    <row r="30031" spans="1:2" x14ac:dyDescent="0.25">
      <c r="A30031" s="2">
        <v>30026</v>
      </c>
      <c r="B30031" s="3" t="str">
        <f>"201402009139"</f>
        <v>201402009139</v>
      </c>
    </row>
    <row r="30032" spans="1:2" x14ac:dyDescent="0.25">
      <c r="A30032" s="2">
        <v>30027</v>
      </c>
      <c r="B30032" s="3" t="str">
        <f>"201402009186"</f>
        <v>201402009186</v>
      </c>
    </row>
    <row r="30033" spans="1:2" x14ac:dyDescent="0.25">
      <c r="A30033" s="2">
        <v>30028</v>
      </c>
      <c r="B30033" s="3" t="str">
        <f>"201402009212"</f>
        <v>201402009212</v>
      </c>
    </row>
    <row r="30034" spans="1:2" x14ac:dyDescent="0.25">
      <c r="A30034" s="2">
        <v>30029</v>
      </c>
      <c r="B30034" s="3" t="str">
        <f>"201402009216"</f>
        <v>201402009216</v>
      </c>
    </row>
    <row r="30035" spans="1:2" x14ac:dyDescent="0.25">
      <c r="A30035" s="2">
        <v>30030</v>
      </c>
      <c r="B30035" s="3" t="str">
        <f>"201402009223"</f>
        <v>201402009223</v>
      </c>
    </row>
    <row r="30036" spans="1:2" x14ac:dyDescent="0.25">
      <c r="A30036" s="2">
        <v>30031</v>
      </c>
      <c r="B30036" s="3" t="str">
        <f>"201402009239"</f>
        <v>201402009239</v>
      </c>
    </row>
    <row r="30037" spans="1:2" x14ac:dyDescent="0.25">
      <c r="A30037" s="2">
        <v>30032</v>
      </c>
      <c r="B30037" s="3" t="str">
        <f>"201402009243"</f>
        <v>201402009243</v>
      </c>
    </row>
    <row r="30038" spans="1:2" x14ac:dyDescent="0.25">
      <c r="A30038" s="2">
        <v>30033</v>
      </c>
      <c r="B30038" s="3" t="str">
        <f>"201402009259"</f>
        <v>201402009259</v>
      </c>
    </row>
    <row r="30039" spans="1:2" x14ac:dyDescent="0.25">
      <c r="A30039" s="2">
        <v>30034</v>
      </c>
      <c r="B30039" s="3" t="str">
        <f>"201402009286"</f>
        <v>201402009286</v>
      </c>
    </row>
    <row r="30040" spans="1:2" x14ac:dyDescent="0.25">
      <c r="A30040" s="2">
        <v>30035</v>
      </c>
      <c r="B30040" s="3" t="str">
        <f>"201402009288"</f>
        <v>201402009288</v>
      </c>
    </row>
    <row r="30041" spans="1:2" x14ac:dyDescent="0.25">
      <c r="A30041" s="2">
        <v>30036</v>
      </c>
      <c r="B30041" s="3" t="str">
        <f>"201402009311"</f>
        <v>201402009311</v>
      </c>
    </row>
    <row r="30042" spans="1:2" x14ac:dyDescent="0.25">
      <c r="A30042" s="2">
        <v>30037</v>
      </c>
      <c r="B30042" s="3" t="str">
        <f>"201402009315"</f>
        <v>201402009315</v>
      </c>
    </row>
    <row r="30043" spans="1:2" x14ac:dyDescent="0.25">
      <c r="A30043" s="2">
        <v>30038</v>
      </c>
      <c r="B30043" s="3" t="str">
        <f>"201402009323"</f>
        <v>201402009323</v>
      </c>
    </row>
    <row r="30044" spans="1:2" x14ac:dyDescent="0.25">
      <c r="A30044" s="2">
        <v>30039</v>
      </c>
      <c r="B30044" s="3" t="str">
        <f>"201402009325"</f>
        <v>201402009325</v>
      </c>
    </row>
    <row r="30045" spans="1:2" x14ac:dyDescent="0.25">
      <c r="A30045" s="2">
        <v>30040</v>
      </c>
      <c r="B30045" s="3" t="str">
        <f>"201402009332"</f>
        <v>201402009332</v>
      </c>
    </row>
    <row r="30046" spans="1:2" x14ac:dyDescent="0.25">
      <c r="A30046" s="2">
        <v>30041</v>
      </c>
      <c r="B30046" s="3" t="str">
        <f>"201402009346"</f>
        <v>201402009346</v>
      </c>
    </row>
    <row r="30047" spans="1:2" x14ac:dyDescent="0.25">
      <c r="A30047" s="2">
        <v>30042</v>
      </c>
      <c r="B30047" s="3" t="str">
        <f>"201402009349"</f>
        <v>201402009349</v>
      </c>
    </row>
    <row r="30048" spans="1:2" x14ac:dyDescent="0.25">
      <c r="A30048" s="2">
        <v>30043</v>
      </c>
      <c r="B30048" s="3" t="str">
        <f>"201402009512"</f>
        <v>201402009512</v>
      </c>
    </row>
    <row r="30049" spans="1:2" x14ac:dyDescent="0.25">
      <c r="A30049" s="2">
        <v>30044</v>
      </c>
      <c r="B30049" s="3" t="str">
        <f>"201402009519"</f>
        <v>201402009519</v>
      </c>
    </row>
    <row r="30050" spans="1:2" x14ac:dyDescent="0.25">
      <c r="A30050" s="2">
        <v>30045</v>
      </c>
      <c r="B30050" s="3" t="str">
        <f>"201402009528"</f>
        <v>201402009528</v>
      </c>
    </row>
    <row r="30051" spans="1:2" x14ac:dyDescent="0.25">
      <c r="A30051" s="2">
        <v>30046</v>
      </c>
      <c r="B30051" s="3" t="str">
        <f>"201402009535"</f>
        <v>201402009535</v>
      </c>
    </row>
    <row r="30052" spans="1:2" x14ac:dyDescent="0.25">
      <c r="A30052" s="2">
        <v>30047</v>
      </c>
      <c r="B30052" s="3" t="str">
        <f>"201402009546"</f>
        <v>201402009546</v>
      </c>
    </row>
    <row r="30053" spans="1:2" x14ac:dyDescent="0.25">
      <c r="A30053" s="2">
        <v>30048</v>
      </c>
      <c r="B30053" s="3" t="str">
        <f>"201402009562"</f>
        <v>201402009562</v>
      </c>
    </row>
    <row r="30054" spans="1:2" x14ac:dyDescent="0.25">
      <c r="A30054" s="2">
        <v>30049</v>
      </c>
      <c r="B30054" s="3" t="str">
        <f>"201402009570"</f>
        <v>201402009570</v>
      </c>
    </row>
    <row r="30055" spans="1:2" x14ac:dyDescent="0.25">
      <c r="A30055" s="2">
        <v>30050</v>
      </c>
      <c r="B30055" s="3" t="str">
        <f>"201402009571"</f>
        <v>201402009571</v>
      </c>
    </row>
    <row r="30056" spans="1:2" x14ac:dyDescent="0.25">
      <c r="A30056" s="2">
        <v>30051</v>
      </c>
      <c r="B30056" s="3" t="str">
        <f>"201402009581"</f>
        <v>201402009581</v>
      </c>
    </row>
    <row r="30057" spans="1:2" x14ac:dyDescent="0.25">
      <c r="A30057" s="2">
        <v>30052</v>
      </c>
      <c r="B30057" s="3" t="str">
        <f>"201402009595"</f>
        <v>201402009595</v>
      </c>
    </row>
    <row r="30058" spans="1:2" x14ac:dyDescent="0.25">
      <c r="A30058" s="2">
        <v>30053</v>
      </c>
      <c r="B30058" s="3" t="str">
        <f>"201402009641"</f>
        <v>201402009641</v>
      </c>
    </row>
    <row r="30059" spans="1:2" x14ac:dyDescent="0.25">
      <c r="A30059" s="2">
        <v>30054</v>
      </c>
      <c r="B30059" s="3" t="str">
        <f>"201402009648"</f>
        <v>201402009648</v>
      </c>
    </row>
    <row r="30060" spans="1:2" x14ac:dyDescent="0.25">
      <c r="A30060" s="2">
        <v>30055</v>
      </c>
      <c r="B30060" s="3" t="str">
        <f>"201402009663"</f>
        <v>201402009663</v>
      </c>
    </row>
    <row r="30061" spans="1:2" x14ac:dyDescent="0.25">
      <c r="A30061" s="2">
        <v>30056</v>
      </c>
      <c r="B30061" s="3" t="str">
        <f>"201402009669"</f>
        <v>201402009669</v>
      </c>
    </row>
    <row r="30062" spans="1:2" x14ac:dyDescent="0.25">
      <c r="A30062" s="2">
        <v>30057</v>
      </c>
      <c r="B30062" s="3" t="str">
        <f>"201402009672"</f>
        <v>201402009672</v>
      </c>
    </row>
    <row r="30063" spans="1:2" x14ac:dyDescent="0.25">
      <c r="A30063" s="2">
        <v>30058</v>
      </c>
      <c r="B30063" s="3" t="str">
        <f>"201402009680"</f>
        <v>201402009680</v>
      </c>
    </row>
    <row r="30064" spans="1:2" x14ac:dyDescent="0.25">
      <c r="A30064" s="2">
        <v>30059</v>
      </c>
      <c r="B30064" s="3" t="str">
        <f>"201402009728"</f>
        <v>201402009728</v>
      </c>
    </row>
    <row r="30065" spans="1:2" x14ac:dyDescent="0.25">
      <c r="A30065" s="2">
        <v>30060</v>
      </c>
      <c r="B30065" s="3" t="str">
        <f>"201402009767"</f>
        <v>201402009767</v>
      </c>
    </row>
    <row r="30066" spans="1:2" x14ac:dyDescent="0.25">
      <c r="A30066" s="2">
        <v>30061</v>
      </c>
      <c r="B30066" s="3" t="str">
        <f>"201402009848"</f>
        <v>201402009848</v>
      </c>
    </row>
    <row r="30067" spans="1:2" x14ac:dyDescent="0.25">
      <c r="A30067" s="2">
        <v>30062</v>
      </c>
      <c r="B30067" s="3" t="str">
        <f>"201402009956"</f>
        <v>201402009956</v>
      </c>
    </row>
    <row r="30068" spans="1:2" x14ac:dyDescent="0.25">
      <c r="A30068" s="2">
        <v>30063</v>
      </c>
      <c r="B30068" s="3" t="str">
        <f>"201402009959"</f>
        <v>201402009959</v>
      </c>
    </row>
    <row r="30069" spans="1:2" x14ac:dyDescent="0.25">
      <c r="A30069" s="2">
        <v>30064</v>
      </c>
      <c r="B30069" s="3" t="str">
        <f>"201402009977"</f>
        <v>201402009977</v>
      </c>
    </row>
    <row r="30070" spans="1:2" x14ac:dyDescent="0.25">
      <c r="A30070" s="2">
        <v>30065</v>
      </c>
      <c r="B30070" s="3" t="str">
        <f>"201402010009"</f>
        <v>201402010009</v>
      </c>
    </row>
    <row r="30071" spans="1:2" x14ac:dyDescent="0.25">
      <c r="A30071" s="2">
        <v>30066</v>
      </c>
      <c r="B30071" s="3" t="str">
        <f>"201402010023"</f>
        <v>201402010023</v>
      </c>
    </row>
    <row r="30072" spans="1:2" x14ac:dyDescent="0.25">
      <c r="A30072" s="2">
        <v>30067</v>
      </c>
      <c r="B30072" s="3" t="str">
        <f>"201402010050"</f>
        <v>201402010050</v>
      </c>
    </row>
    <row r="30073" spans="1:2" x14ac:dyDescent="0.25">
      <c r="A30073" s="2">
        <v>30068</v>
      </c>
      <c r="B30073" s="3" t="str">
        <f>"201402010063"</f>
        <v>201402010063</v>
      </c>
    </row>
    <row r="30074" spans="1:2" x14ac:dyDescent="0.25">
      <c r="A30074" s="2">
        <v>30069</v>
      </c>
      <c r="B30074" s="3" t="str">
        <f>"201402010094"</f>
        <v>201402010094</v>
      </c>
    </row>
    <row r="30075" spans="1:2" x14ac:dyDescent="0.25">
      <c r="A30075" s="2">
        <v>30070</v>
      </c>
      <c r="B30075" s="3" t="str">
        <f>"201402010138"</f>
        <v>201402010138</v>
      </c>
    </row>
    <row r="30076" spans="1:2" x14ac:dyDescent="0.25">
      <c r="A30076" s="2">
        <v>30071</v>
      </c>
      <c r="B30076" s="3" t="str">
        <f>"201402010146"</f>
        <v>201402010146</v>
      </c>
    </row>
    <row r="30077" spans="1:2" x14ac:dyDescent="0.25">
      <c r="A30077" s="2">
        <v>30072</v>
      </c>
      <c r="B30077" s="3" t="str">
        <f>"201402010192"</f>
        <v>201402010192</v>
      </c>
    </row>
    <row r="30078" spans="1:2" x14ac:dyDescent="0.25">
      <c r="A30078" s="2">
        <v>30073</v>
      </c>
      <c r="B30078" s="3" t="str">
        <f>"201402010211"</f>
        <v>201402010211</v>
      </c>
    </row>
    <row r="30079" spans="1:2" x14ac:dyDescent="0.25">
      <c r="A30079" s="2">
        <v>30074</v>
      </c>
      <c r="B30079" s="3" t="str">
        <f>"201402010229"</f>
        <v>201402010229</v>
      </c>
    </row>
    <row r="30080" spans="1:2" x14ac:dyDescent="0.25">
      <c r="A30080" s="2">
        <v>30075</v>
      </c>
      <c r="B30080" s="3" t="str">
        <f>"201402010244"</f>
        <v>201402010244</v>
      </c>
    </row>
    <row r="30081" spans="1:2" x14ac:dyDescent="0.25">
      <c r="A30081" s="2">
        <v>30076</v>
      </c>
      <c r="B30081" s="3" t="str">
        <f>"201402010290"</f>
        <v>201402010290</v>
      </c>
    </row>
    <row r="30082" spans="1:2" x14ac:dyDescent="0.25">
      <c r="A30082" s="2">
        <v>30077</v>
      </c>
      <c r="B30082" s="3" t="str">
        <f>"201402010329"</f>
        <v>201402010329</v>
      </c>
    </row>
    <row r="30083" spans="1:2" x14ac:dyDescent="0.25">
      <c r="A30083" s="2">
        <v>30078</v>
      </c>
      <c r="B30083" s="3" t="str">
        <f>"201402010364"</f>
        <v>201402010364</v>
      </c>
    </row>
    <row r="30084" spans="1:2" x14ac:dyDescent="0.25">
      <c r="A30084" s="2">
        <v>30079</v>
      </c>
      <c r="B30084" s="3" t="str">
        <f>"201402010436"</f>
        <v>201402010436</v>
      </c>
    </row>
    <row r="30085" spans="1:2" x14ac:dyDescent="0.25">
      <c r="A30085" s="2">
        <v>30080</v>
      </c>
      <c r="B30085" s="3" t="str">
        <f>"201402010461"</f>
        <v>201402010461</v>
      </c>
    </row>
    <row r="30086" spans="1:2" x14ac:dyDescent="0.25">
      <c r="A30086" s="2">
        <v>30081</v>
      </c>
      <c r="B30086" s="3" t="str">
        <f>"201402010477"</f>
        <v>201402010477</v>
      </c>
    </row>
    <row r="30087" spans="1:2" x14ac:dyDescent="0.25">
      <c r="A30087" s="2">
        <v>30082</v>
      </c>
      <c r="B30087" s="3" t="str">
        <f>"201402010508"</f>
        <v>201402010508</v>
      </c>
    </row>
    <row r="30088" spans="1:2" x14ac:dyDescent="0.25">
      <c r="A30088" s="2">
        <v>30083</v>
      </c>
      <c r="B30088" s="3" t="str">
        <f>"201402010519"</f>
        <v>201402010519</v>
      </c>
    </row>
    <row r="30089" spans="1:2" x14ac:dyDescent="0.25">
      <c r="A30089" s="2">
        <v>30084</v>
      </c>
      <c r="B30089" s="3" t="str">
        <f>"201402010533"</f>
        <v>201402010533</v>
      </c>
    </row>
    <row r="30090" spans="1:2" x14ac:dyDescent="0.25">
      <c r="A30090" s="2">
        <v>30085</v>
      </c>
      <c r="B30090" s="3" t="str">
        <f>"201402010534"</f>
        <v>201402010534</v>
      </c>
    </row>
    <row r="30091" spans="1:2" x14ac:dyDescent="0.25">
      <c r="A30091" s="2">
        <v>30086</v>
      </c>
      <c r="B30091" s="3" t="str">
        <f>"201402010537"</f>
        <v>201402010537</v>
      </c>
    </row>
    <row r="30092" spans="1:2" x14ac:dyDescent="0.25">
      <c r="A30092" s="2">
        <v>30087</v>
      </c>
      <c r="B30092" s="3" t="str">
        <f>"201402010540"</f>
        <v>201402010540</v>
      </c>
    </row>
    <row r="30093" spans="1:2" x14ac:dyDescent="0.25">
      <c r="A30093" s="2">
        <v>30088</v>
      </c>
      <c r="B30093" s="3" t="str">
        <f>"201402010550"</f>
        <v>201402010550</v>
      </c>
    </row>
    <row r="30094" spans="1:2" x14ac:dyDescent="0.25">
      <c r="A30094" s="2">
        <v>30089</v>
      </c>
      <c r="B30094" s="3" t="str">
        <f>"201402010563"</f>
        <v>201402010563</v>
      </c>
    </row>
    <row r="30095" spans="1:2" x14ac:dyDescent="0.25">
      <c r="A30095" s="2">
        <v>30090</v>
      </c>
      <c r="B30095" s="3" t="str">
        <f>"201402010567"</f>
        <v>201402010567</v>
      </c>
    </row>
    <row r="30096" spans="1:2" x14ac:dyDescent="0.25">
      <c r="A30096" s="2">
        <v>30091</v>
      </c>
      <c r="B30096" s="3" t="str">
        <f>"201402010576"</f>
        <v>201402010576</v>
      </c>
    </row>
    <row r="30097" spans="1:2" x14ac:dyDescent="0.25">
      <c r="A30097" s="2">
        <v>30092</v>
      </c>
      <c r="B30097" s="3" t="str">
        <f>"201402010585"</f>
        <v>201402010585</v>
      </c>
    </row>
    <row r="30098" spans="1:2" x14ac:dyDescent="0.25">
      <c r="A30098" s="2">
        <v>30093</v>
      </c>
      <c r="B30098" s="3" t="str">
        <f>"201402010652"</f>
        <v>201402010652</v>
      </c>
    </row>
    <row r="30099" spans="1:2" x14ac:dyDescent="0.25">
      <c r="A30099" s="2">
        <v>30094</v>
      </c>
      <c r="B30099" s="3" t="str">
        <f>"201402010673"</f>
        <v>201402010673</v>
      </c>
    </row>
    <row r="30100" spans="1:2" x14ac:dyDescent="0.25">
      <c r="A30100" s="2">
        <v>30095</v>
      </c>
      <c r="B30100" s="3" t="str">
        <f>"201402010679"</f>
        <v>201402010679</v>
      </c>
    </row>
    <row r="30101" spans="1:2" x14ac:dyDescent="0.25">
      <c r="A30101" s="2">
        <v>30096</v>
      </c>
      <c r="B30101" s="3" t="str">
        <f>"201402010705"</f>
        <v>201402010705</v>
      </c>
    </row>
    <row r="30102" spans="1:2" x14ac:dyDescent="0.25">
      <c r="A30102" s="2">
        <v>30097</v>
      </c>
      <c r="B30102" s="3" t="str">
        <f>"201402010743"</f>
        <v>201402010743</v>
      </c>
    </row>
    <row r="30103" spans="1:2" x14ac:dyDescent="0.25">
      <c r="A30103" s="2">
        <v>30098</v>
      </c>
      <c r="B30103" s="3" t="str">
        <f>"201402010746"</f>
        <v>201402010746</v>
      </c>
    </row>
    <row r="30104" spans="1:2" x14ac:dyDescent="0.25">
      <c r="A30104" s="2">
        <v>30099</v>
      </c>
      <c r="B30104" s="3" t="str">
        <f>"201402010766"</f>
        <v>201402010766</v>
      </c>
    </row>
    <row r="30105" spans="1:2" x14ac:dyDescent="0.25">
      <c r="A30105" s="2">
        <v>30100</v>
      </c>
      <c r="B30105" s="3" t="str">
        <f>"201402010768"</f>
        <v>201402010768</v>
      </c>
    </row>
    <row r="30106" spans="1:2" x14ac:dyDescent="0.25">
      <c r="A30106" s="2">
        <v>30101</v>
      </c>
      <c r="B30106" s="3" t="str">
        <f>"201402010811"</f>
        <v>201402010811</v>
      </c>
    </row>
    <row r="30107" spans="1:2" x14ac:dyDescent="0.25">
      <c r="A30107" s="2">
        <v>30102</v>
      </c>
      <c r="B30107" s="3" t="str">
        <f>"201402010814"</f>
        <v>201402010814</v>
      </c>
    </row>
    <row r="30108" spans="1:2" x14ac:dyDescent="0.25">
      <c r="A30108" s="2">
        <v>30103</v>
      </c>
      <c r="B30108" s="3" t="str">
        <f>"201402010839"</f>
        <v>201402010839</v>
      </c>
    </row>
    <row r="30109" spans="1:2" x14ac:dyDescent="0.25">
      <c r="A30109" s="2">
        <v>30104</v>
      </c>
      <c r="B30109" s="3" t="str">
        <f>"201402010875"</f>
        <v>201402010875</v>
      </c>
    </row>
    <row r="30110" spans="1:2" x14ac:dyDescent="0.25">
      <c r="A30110" s="2">
        <v>30105</v>
      </c>
      <c r="B30110" s="3" t="str">
        <f>"201402010884"</f>
        <v>201402010884</v>
      </c>
    </row>
    <row r="30111" spans="1:2" x14ac:dyDescent="0.25">
      <c r="A30111" s="2">
        <v>30106</v>
      </c>
      <c r="B30111" s="3" t="str">
        <f>"201402010890"</f>
        <v>201402010890</v>
      </c>
    </row>
    <row r="30112" spans="1:2" x14ac:dyDescent="0.25">
      <c r="A30112" s="2">
        <v>30107</v>
      </c>
      <c r="B30112" s="3" t="str">
        <f>"201402010901"</f>
        <v>201402010901</v>
      </c>
    </row>
    <row r="30113" spans="1:2" x14ac:dyDescent="0.25">
      <c r="A30113" s="2">
        <v>30108</v>
      </c>
      <c r="B30113" s="3" t="str">
        <f>"201402010902"</f>
        <v>201402010902</v>
      </c>
    </row>
    <row r="30114" spans="1:2" x14ac:dyDescent="0.25">
      <c r="A30114" s="2">
        <v>30109</v>
      </c>
      <c r="B30114" s="3" t="str">
        <f>"201402010914"</f>
        <v>201402010914</v>
      </c>
    </row>
    <row r="30115" spans="1:2" x14ac:dyDescent="0.25">
      <c r="A30115" s="2">
        <v>30110</v>
      </c>
      <c r="B30115" s="3" t="str">
        <f>"201402010918"</f>
        <v>201402010918</v>
      </c>
    </row>
    <row r="30116" spans="1:2" x14ac:dyDescent="0.25">
      <c r="A30116" s="2">
        <v>30111</v>
      </c>
      <c r="B30116" s="3" t="str">
        <f>"201402010922"</f>
        <v>201402010922</v>
      </c>
    </row>
    <row r="30117" spans="1:2" x14ac:dyDescent="0.25">
      <c r="A30117" s="2">
        <v>30112</v>
      </c>
      <c r="B30117" s="3" t="str">
        <f>"201402010940"</f>
        <v>201402010940</v>
      </c>
    </row>
    <row r="30118" spans="1:2" x14ac:dyDescent="0.25">
      <c r="A30118" s="2">
        <v>30113</v>
      </c>
      <c r="B30118" s="3" t="str">
        <f>"201402010943"</f>
        <v>201402010943</v>
      </c>
    </row>
    <row r="30119" spans="1:2" x14ac:dyDescent="0.25">
      <c r="A30119" s="2">
        <v>30114</v>
      </c>
      <c r="B30119" s="3" t="str">
        <f>"201402010967"</f>
        <v>201402010967</v>
      </c>
    </row>
    <row r="30120" spans="1:2" x14ac:dyDescent="0.25">
      <c r="A30120" s="2">
        <v>30115</v>
      </c>
      <c r="B30120" s="3" t="str">
        <f>"201402010972"</f>
        <v>201402010972</v>
      </c>
    </row>
    <row r="30121" spans="1:2" x14ac:dyDescent="0.25">
      <c r="A30121" s="2">
        <v>30116</v>
      </c>
      <c r="B30121" s="3" t="str">
        <f>"201402010978"</f>
        <v>201402010978</v>
      </c>
    </row>
    <row r="30122" spans="1:2" x14ac:dyDescent="0.25">
      <c r="A30122" s="2">
        <v>30117</v>
      </c>
      <c r="B30122" s="3" t="str">
        <f>"201402011013"</f>
        <v>201402011013</v>
      </c>
    </row>
    <row r="30123" spans="1:2" x14ac:dyDescent="0.25">
      <c r="A30123" s="2">
        <v>30118</v>
      </c>
      <c r="B30123" s="3" t="str">
        <f>"201402011038"</f>
        <v>201402011038</v>
      </c>
    </row>
    <row r="30124" spans="1:2" x14ac:dyDescent="0.25">
      <c r="A30124" s="2">
        <v>30119</v>
      </c>
      <c r="B30124" s="3" t="str">
        <f>"201402011099"</f>
        <v>201402011099</v>
      </c>
    </row>
    <row r="30125" spans="1:2" x14ac:dyDescent="0.25">
      <c r="A30125" s="2">
        <v>30120</v>
      </c>
      <c r="B30125" s="3" t="str">
        <f>"201402011221"</f>
        <v>201402011221</v>
      </c>
    </row>
    <row r="30126" spans="1:2" x14ac:dyDescent="0.25">
      <c r="A30126" s="2">
        <v>30121</v>
      </c>
      <c r="B30126" s="3" t="str">
        <f>"201402011259"</f>
        <v>201402011259</v>
      </c>
    </row>
    <row r="30127" spans="1:2" x14ac:dyDescent="0.25">
      <c r="A30127" s="2">
        <v>30122</v>
      </c>
      <c r="B30127" s="3" t="str">
        <f>"201402011270"</f>
        <v>201402011270</v>
      </c>
    </row>
    <row r="30128" spans="1:2" x14ac:dyDescent="0.25">
      <c r="A30128" s="2">
        <v>30123</v>
      </c>
      <c r="B30128" s="3" t="str">
        <f>"201402011299"</f>
        <v>201402011299</v>
      </c>
    </row>
    <row r="30129" spans="1:2" x14ac:dyDescent="0.25">
      <c r="A30129" s="2">
        <v>30124</v>
      </c>
      <c r="B30129" s="3" t="str">
        <f>"201402011308"</f>
        <v>201402011308</v>
      </c>
    </row>
    <row r="30130" spans="1:2" x14ac:dyDescent="0.25">
      <c r="A30130" s="2">
        <v>30125</v>
      </c>
      <c r="B30130" s="3" t="str">
        <f>"201402011314"</f>
        <v>201402011314</v>
      </c>
    </row>
    <row r="30131" spans="1:2" x14ac:dyDescent="0.25">
      <c r="A30131" s="2">
        <v>30126</v>
      </c>
      <c r="B30131" s="3" t="str">
        <f>"201402011357"</f>
        <v>201402011357</v>
      </c>
    </row>
    <row r="30132" spans="1:2" x14ac:dyDescent="0.25">
      <c r="A30132" s="2">
        <v>30127</v>
      </c>
      <c r="B30132" s="3" t="str">
        <f>"201402011370"</f>
        <v>201402011370</v>
      </c>
    </row>
    <row r="30133" spans="1:2" x14ac:dyDescent="0.25">
      <c r="A30133" s="2">
        <v>30128</v>
      </c>
      <c r="B30133" s="3" t="str">
        <f>"201402011379"</f>
        <v>201402011379</v>
      </c>
    </row>
    <row r="30134" spans="1:2" x14ac:dyDescent="0.25">
      <c r="A30134" s="2">
        <v>30129</v>
      </c>
      <c r="B30134" s="3" t="str">
        <f>"201402011405"</f>
        <v>201402011405</v>
      </c>
    </row>
    <row r="30135" spans="1:2" x14ac:dyDescent="0.25">
      <c r="A30135" s="2">
        <v>30130</v>
      </c>
      <c r="B30135" s="3" t="str">
        <f>"201402011423"</f>
        <v>201402011423</v>
      </c>
    </row>
    <row r="30136" spans="1:2" x14ac:dyDescent="0.25">
      <c r="A30136" s="2">
        <v>30131</v>
      </c>
      <c r="B30136" s="3" t="str">
        <f>"201402011443"</f>
        <v>201402011443</v>
      </c>
    </row>
    <row r="30137" spans="1:2" x14ac:dyDescent="0.25">
      <c r="A30137" s="2">
        <v>30132</v>
      </c>
      <c r="B30137" s="3" t="str">
        <f>"201402011467"</f>
        <v>201402011467</v>
      </c>
    </row>
    <row r="30138" spans="1:2" x14ac:dyDescent="0.25">
      <c r="A30138" s="2">
        <v>30133</v>
      </c>
      <c r="B30138" s="3" t="str">
        <f>"201402011534"</f>
        <v>201402011534</v>
      </c>
    </row>
    <row r="30139" spans="1:2" x14ac:dyDescent="0.25">
      <c r="A30139" s="2">
        <v>30134</v>
      </c>
      <c r="B30139" s="3" t="str">
        <f>"201402011617"</f>
        <v>201402011617</v>
      </c>
    </row>
    <row r="30140" spans="1:2" x14ac:dyDescent="0.25">
      <c r="A30140" s="2">
        <v>30135</v>
      </c>
      <c r="B30140" s="3" t="str">
        <f>"201402011627"</f>
        <v>201402011627</v>
      </c>
    </row>
    <row r="30141" spans="1:2" x14ac:dyDescent="0.25">
      <c r="A30141" s="2">
        <v>30136</v>
      </c>
      <c r="B30141" s="3" t="str">
        <f>"201402011658"</f>
        <v>201402011658</v>
      </c>
    </row>
    <row r="30142" spans="1:2" x14ac:dyDescent="0.25">
      <c r="A30142" s="2">
        <v>30137</v>
      </c>
      <c r="B30142" s="3" t="str">
        <f>"201402011661"</f>
        <v>201402011661</v>
      </c>
    </row>
    <row r="30143" spans="1:2" x14ac:dyDescent="0.25">
      <c r="A30143" s="2">
        <v>30138</v>
      </c>
      <c r="B30143" s="3" t="str">
        <f>"201402011663"</f>
        <v>201402011663</v>
      </c>
    </row>
    <row r="30144" spans="1:2" x14ac:dyDescent="0.25">
      <c r="A30144" s="2">
        <v>30139</v>
      </c>
      <c r="B30144" s="3" t="str">
        <f>"201402011670"</f>
        <v>201402011670</v>
      </c>
    </row>
    <row r="30145" spans="1:2" x14ac:dyDescent="0.25">
      <c r="A30145" s="2">
        <v>30140</v>
      </c>
      <c r="B30145" s="3" t="str">
        <f>"201402011675"</f>
        <v>201402011675</v>
      </c>
    </row>
    <row r="30146" spans="1:2" x14ac:dyDescent="0.25">
      <c r="A30146" s="2">
        <v>30141</v>
      </c>
      <c r="B30146" s="3" t="str">
        <f>"201402011725"</f>
        <v>201402011725</v>
      </c>
    </row>
    <row r="30147" spans="1:2" x14ac:dyDescent="0.25">
      <c r="A30147" s="2">
        <v>30142</v>
      </c>
      <c r="B30147" s="3" t="str">
        <f>"201402011733"</f>
        <v>201402011733</v>
      </c>
    </row>
    <row r="30148" spans="1:2" x14ac:dyDescent="0.25">
      <c r="A30148" s="2">
        <v>30143</v>
      </c>
      <c r="B30148" s="3" t="str">
        <f>"201402011743"</f>
        <v>201402011743</v>
      </c>
    </row>
    <row r="30149" spans="1:2" x14ac:dyDescent="0.25">
      <c r="A30149" s="2">
        <v>30144</v>
      </c>
      <c r="B30149" s="3" t="str">
        <f>"201402011755"</f>
        <v>201402011755</v>
      </c>
    </row>
    <row r="30150" spans="1:2" x14ac:dyDescent="0.25">
      <c r="A30150" s="2">
        <v>30145</v>
      </c>
      <c r="B30150" s="3" t="str">
        <f>"201402011792"</f>
        <v>201402011792</v>
      </c>
    </row>
    <row r="30151" spans="1:2" x14ac:dyDescent="0.25">
      <c r="A30151" s="2">
        <v>30146</v>
      </c>
      <c r="B30151" s="3" t="str">
        <f>"201402011828"</f>
        <v>201402011828</v>
      </c>
    </row>
    <row r="30152" spans="1:2" x14ac:dyDescent="0.25">
      <c r="A30152" s="2">
        <v>30147</v>
      </c>
      <c r="B30152" s="3" t="str">
        <f>"201402011837"</f>
        <v>201402011837</v>
      </c>
    </row>
    <row r="30153" spans="1:2" x14ac:dyDescent="0.25">
      <c r="A30153" s="2">
        <v>30148</v>
      </c>
      <c r="B30153" s="3" t="str">
        <f>"201402011847"</f>
        <v>201402011847</v>
      </c>
    </row>
    <row r="30154" spans="1:2" x14ac:dyDescent="0.25">
      <c r="A30154" s="2">
        <v>30149</v>
      </c>
      <c r="B30154" s="3" t="str">
        <f>"201402011859"</f>
        <v>201402011859</v>
      </c>
    </row>
    <row r="30155" spans="1:2" x14ac:dyDescent="0.25">
      <c r="A30155" s="2">
        <v>30150</v>
      </c>
      <c r="B30155" s="3" t="str">
        <f>"201402011882"</f>
        <v>201402011882</v>
      </c>
    </row>
    <row r="30156" spans="1:2" x14ac:dyDescent="0.25">
      <c r="A30156" s="2">
        <v>30151</v>
      </c>
      <c r="B30156" s="3" t="str">
        <f>"201402011909"</f>
        <v>201402011909</v>
      </c>
    </row>
    <row r="30157" spans="1:2" x14ac:dyDescent="0.25">
      <c r="A30157" s="2">
        <v>30152</v>
      </c>
      <c r="B30157" s="3" t="str">
        <f>"201402011910"</f>
        <v>201402011910</v>
      </c>
    </row>
    <row r="30158" spans="1:2" x14ac:dyDescent="0.25">
      <c r="A30158" s="2">
        <v>30153</v>
      </c>
      <c r="B30158" s="3" t="str">
        <f>"201402011921"</f>
        <v>201402011921</v>
      </c>
    </row>
    <row r="30159" spans="1:2" x14ac:dyDescent="0.25">
      <c r="A30159" s="2">
        <v>30154</v>
      </c>
      <c r="B30159" s="3" t="str">
        <f>"201402011926"</f>
        <v>201402011926</v>
      </c>
    </row>
    <row r="30160" spans="1:2" x14ac:dyDescent="0.25">
      <c r="A30160" s="2">
        <v>30155</v>
      </c>
      <c r="B30160" s="3" t="str">
        <f>"201402011927"</f>
        <v>201402011927</v>
      </c>
    </row>
    <row r="30161" spans="1:2" x14ac:dyDescent="0.25">
      <c r="A30161" s="2">
        <v>30156</v>
      </c>
      <c r="B30161" s="3" t="str">
        <f>"201402012048"</f>
        <v>201402012048</v>
      </c>
    </row>
    <row r="30162" spans="1:2" x14ac:dyDescent="0.25">
      <c r="A30162" s="2">
        <v>30157</v>
      </c>
      <c r="B30162" s="3" t="str">
        <f>"201402012056"</f>
        <v>201402012056</v>
      </c>
    </row>
    <row r="30163" spans="1:2" x14ac:dyDescent="0.25">
      <c r="A30163" s="2">
        <v>30158</v>
      </c>
      <c r="B30163" s="3" t="str">
        <f>"201402012085"</f>
        <v>201402012085</v>
      </c>
    </row>
    <row r="30164" spans="1:2" x14ac:dyDescent="0.25">
      <c r="A30164" s="2">
        <v>30159</v>
      </c>
      <c r="B30164" s="3" t="str">
        <f>"201402012100"</f>
        <v>201402012100</v>
      </c>
    </row>
    <row r="30165" spans="1:2" x14ac:dyDescent="0.25">
      <c r="A30165" s="2">
        <v>30160</v>
      </c>
      <c r="B30165" s="3" t="str">
        <f>"201402012129"</f>
        <v>201402012129</v>
      </c>
    </row>
    <row r="30166" spans="1:2" x14ac:dyDescent="0.25">
      <c r="A30166" s="2">
        <v>30161</v>
      </c>
      <c r="B30166" s="3" t="str">
        <f>"201402012181"</f>
        <v>201402012181</v>
      </c>
    </row>
    <row r="30167" spans="1:2" x14ac:dyDescent="0.25">
      <c r="A30167" s="2">
        <v>30162</v>
      </c>
      <c r="B30167" s="3" t="str">
        <f>"201402012192"</f>
        <v>201402012192</v>
      </c>
    </row>
    <row r="30168" spans="1:2" x14ac:dyDescent="0.25">
      <c r="A30168" s="2">
        <v>30163</v>
      </c>
      <c r="B30168" s="3" t="str">
        <f>"201402012217"</f>
        <v>201402012217</v>
      </c>
    </row>
    <row r="30169" spans="1:2" x14ac:dyDescent="0.25">
      <c r="A30169" s="2">
        <v>30164</v>
      </c>
      <c r="B30169" s="3" t="str">
        <f>"201402012235"</f>
        <v>201402012235</v>
      </c>
    </row>
    <row r="30170" spans="1:2" x14ac:dyDescent="0.25">
      <c r="A30170" s="2">
        <v>30165</v>
      </c>
      <c r="B30170" s="3" t="str">
        <f>"201402012287"</f>
        <v>201402012287</v>
      </c>
    </row>
    <row r="30171" spans="1:2" x14ac:dyDescent="0.25">
      <c r="A30171" s="2">
        <v>30166</v>
      </c>
      <c r="B30171" s="3" t="str">
        <f>"201402012318"</f>
        <v>201402012318</v>
      </c>
    </row>
    <row r="30172" spans="1:2" x14ac:dyDescent="0.25">
      <c r="A30172" s="2">
        <v>30167</v>
      </c>
      <c r="B30172" s="3" t="str">
        <f>"201402012353"</f>
        <v>201402012353</v>
      </c>
    </row>
    <row r="30173" spans="1:2" x14ac:dyDescent="0.25">
      <c r="A30173" s="2">
        <v>30168</v>
      </c>
      <c r="B30173" s="3" t="str">
        <f>"201402012367"</f>
        <v>201402012367</v>
      </c>
    </row>
    <row r="30174" spans="1:2" x14ac:dyDescent="0.25">
      <c r="A30174" s="2">
        <v>30169</v>
      </c>
      <c r="B30174" s="3" t="str">
        <f>"201402012394"</f>
        <v>201402012394</v>
      </c>
    </row>
    <row r="30175" spans="1:2" x14ac:dyDescent="0.25">
      <c r="A30175" s="2">
        <v>30170</v>
      </c>
      <c r="B30175" s="3" t="str">
        <f>"201402012454"</f>
        <v>201402012454</v>
      </c>
    </row>
    <row r="30176" spans="1:2" x14ac:dyDescent="0.25">
      <c r="A30176" s="2">
        <v>30171</v>
      </c>
      <c r="B30176" s="3" t="str">
        <f>"201402012471"</f>
        <v>201402012471</v>
      </c>
    </row>
    <row r="30177" spans="1:2" x14ac:dyDescent="0.25">
      <c r="A30177" s="2">
        <v>30172</v>
      </c>
      <c r="B30177" s="3" t="str">
        <f>"201402012509"</f>
        <v>201402012509</v>
      </c>
    </row>
    <row r="30178" spans="1:2" x14ac:dyDescent="0.25">
      <c r="A30178" s="2">
        <v>30173</v>
      </c>
      <c r="B30178" s="3" t="str">
        <f>"201402012556"</f>
        <v>201402012556</v>
      </c>
    </row>
    <row r="30179" spans="1:2" x14ac:dyDescent="0.25">
      <c r="A30179" s="2">
        <v>30174</v>
      </c>
      <c r="B30179" s="3" t="str">
        <f>"201403000052"</f>
        <v>201403000052</v>
      </c>
    </row>
    <row r="30180" spans="1:2" x14ac:dyDescent="0.25">
      <c r="A30180" s="2">
        <v>30175</v>
      </c>
      <c r="B30180" s="3" t="str">
        <f>"201403000053"</f>
        <v>201403000053</v>
      </c>
    </row>
    <row r="30181" spans="1:2" x14ac:dyDescent="0.25">
      <c r="A30181" s="2">
        <v>30176</v>
      </c>
      <c r="B30181" s="3" t="str">
        <f>"201403000132"</f>
        <v>201403000132</v>
      </c>
    </row>
    <row r="30182" spans="1:2" x14ac:dyDescent="0.25">
      <c r="A30182" s="2">
        <v>30177</v>
      </c>
      <c r="B30182" s="3" t="str">
        <f>"201403000165"</f>
        <v>201403000165</v>
      </c>
    </row>
    <row r="30183" spans="1:2" x14ac:dyDescent="0.25">
      <c r="A30183" s="2">
        <v>30178</v>
      </c>
      <c r="B30183" s="3" t="str">
        <f>"201403000177"</f>
        <v>201403000177</v>
      </c>
    </row>
    <row r="30184" spans="1:2" x14ac:dyDescent="0.25">
      <c r="A30184" s="2">
        <v>30179</v>
      </c>
      <c r="B30184" s="3" t="str">
        <f>"201403000221"</f>
        <v>201403000221</v>
      </c>
    </row>
    <row r="30185" spans="1:2" x14ac:dyDescent="0.25">
      <c r="A30185" s="2">
        <v>30180</v>
      </c>
      <c r="B30185" s="3" t="str">
        <f>"201404000048"</f>
        <v>201404000048</v>
      </c>
    </row>
    <row r="30186" spans="1:2" x14ac:dyDescent="0.25">
      <c r="A30186" s="2">
        <v>30181</v>
      </c>
      <c r="B30186" s="3" t="str">
        <f>"201404000076"</f>
        <v>201404000076</v>
      </c>
    </row>
    <row r="30187" spans="1:2" x14ac:dyDescent="0.25">
      <c r="A30187" s="2">
        <v>30182</v>
      </c>
      <c r="B30187" s="3" t="str">
        <f>"201404000092"</f>
        <v>201404000092</v>
      </c>
    </row>
    <row r="30188" spans="1:2" x14ac:dyDescent="0.25">
      <c r="A30188" s="2">
        <v>30183</v>
      </c>
      <c r="B30188" s="3" t="str">
        <f>"201404000096"</f>
        <v>201404000096</v>
      </c>
    </row>
    <row r="30189" spans="1:2" x14ac:dyDescent="0.25">
      <c r="A30189" s="2">
        <v>30184</v>
      </c>
      <c r="B30189" s="3" t="str">
        <f>"201404000131"</f>
        <v>201404000131</v>
      </c>
    </row>
    <row r="30190" spans="1:2" x14ac:dyDescent="0.25">
      <c r="A30190" s="2">
        <v>30185</v>
      </c>
      <c r="B30190" s="3" t="str">
        <f>"201404000134"</f>
        <v>201404000134</v>
      </c>
    </row>
    <row r="30191" spans="1:2" x14ac:dyDescent="0.25">
      <c r="A30191" s="2">
        <v>30186</v>
      </c>
      <c r="B30191" s="3" t="str">
        <f>"201405000008"</f>
        <v>201405000008</v>
      </c>
    </row>
    <row r="30192" spans="1:2" x14ac:dyDescent="0.25">
      <c r="A30192" s="2">
        <v>30187</v>
      </c>
      <c r="B30192" s="3" t="str">
        <f>"201405000019"</f>
        <v>201405000019</v>
      </c>
    </row>
    <row r="30193" spans="1:2" x14ac:dyDescent="0.25">
      <c r="A30193" s="2">
        <v>30188</v>
      </c>
      <c r="B30193" s="3" t="str">
        <f>"201405000036"</f>
        <v>201405000036</v>
      </c>
    </row>
    <row r="30194" spans="1:2" x14ac:dyDescent="0.25">
      <c r="A30194" s="2">
        <v>30189</v>
      </c>
      <c r="B30194" s="3" t="str">
        <f>"201405000041"</f>
        <v>201405000041</v>
      </c>
    </row>
    <row r="30195" spans="1:2" x14ac:dyDescent="0.25">
      <c r="A30195" s="2">
        <v>30190</v>
      </c>
      <c r="B30195" s="3" t="str">
        <f>"201405000071"</f>
        <v>201405000071</v>
      </c>
    </row>
    <row r="30196" spans="1:2" x14ac:dyDescent="0.25">
      <c r="A30196" s="2">
        <v>30191</v>
      </c>
      <c r="B30196" s="3" t="str">
        <f>"201405000128"</f>
        <v>201405000128</v>
      </c>
    </row>
    <row r="30197" spans="1:2" x14ac:dyDescent="0.25">
      <c r="A30197" s="2">
        <v>30192</v>
      </c>
      <c r="B30197" s="3" t="str">
        <f>"201405000133"</f>
        <v>201405000133</v>
      </c>
    </row>
    <row r="30198" spans="1:2" x14ac:dyDescent="0.25">
      <c r="A30198" s="2">
        <v>30193</v>
      </c>
      <c r="B30198" s="3" t="str">
        <f>"201405000138"</f>
        <v>201405000138</v>
      </c>
    </row>
    <row r="30199" spans="1:2" x14ac:dyDescent="0.25">
      <c r="A30199" s="2">
        <v>30194</v>
      </c>
      <c r="B30199" s="3" t="str">
        <f>"201405000139"</f>
        <v>201405000139</v>
      </c>
    </row>
    <row r="30200" spans="1:2" x14ac:dyDescent="0.25">
      <c r="A30200" s="2">
        <v>30195</v>
      </c>
      <c r="B30200" s="3" t="str">
        <f>"201405000173"</f>
        <v>201405000173</v>
      </c>
    </row>
    <row r="30201" spans="1:2" x14ac:dyDescent="0.25">
      <c r="A30201" s="2">
        <v>30196</v>
      </c>
      <c r="B30201" s="3" t="str">
        <f>"201405000179"</f>
        <v>201405000179</v>
      </c>
    </row>
    <row r="30202" spans="1:2" x14ac:dyDescent="0.25">
      <c r="A30202" s="2">
        <v>30197</v>
      </c>
      <c r="B30202" s="3" t="str">
        <f>"201405000193"</f>
        <v>201405000193</v>
      </c>
    </row>
    <row r="30203" spans="1:2" x14ac:dyDescent="0.25">
      <c r="A30203" s="2">
        <v>30198</v>
      </c>
      <c r="B30203" s="3" t="str">
        <f>"201405000207"</f>
        <v>201405000207</v>
      </c>
    </row>
    <row r="30204" spans="1:2" x14ac:dyDescent="0.25">
      <c r="A30204" s="2">
        <v>30199</v>
      </c>
      <c r="B30204" s="3" t="str">
        <f>"201405000211"</f>
        <v>201405000211</v>
      </c>
    </row>
    <row r="30205" spans="1:2" x14ac:dyDescent="0.25">
      <c r="A30205" s="2">
        <v>30200</v>
      </c>
      <c r="B30205" s="3" t="str">
        <f>"201405000227"</f>
        <v>201405000227</v>
      </c>
    </row>
    <row r="30206" spans="1:2" x14ac:dyDescent="0.25">
      <c r="A30206" s="2">
        <v>30201</v>
      </c>
      <c r="B30206" s="3" t="str">
        <f>"201405000251"</f>
        <v>201405000251</v>
      </c>
    </row>
    <row r="30207" spans="1:2" x14ac:dyDescent="0.25">
      <c r="A30207" s="2">
        <v>30202</v>
      </c>
      <c r="B30207" s="3" t="str">
        <f>"201405000254"</f>
        <v>201405000254</v>
      </c>
    </row>
    <row r="30208" spans="1:2" x14ac:dyDescent="0.25">
      <c r="A30208" s="2">
        <v>30203</v>
      </c>
      <c r="B30208" s="3" t="str">
        <f>"201405000258"</f>
        <v>201405000258</v>
      </c>
    </row>
    <row r="30209" spans="1:2" x14ac:dyDescent="0.25">
      <c r="A30209" s="2">
        <v>30204</v>
      </c>
      <c r="B30209" s="3" t="str">
        <f>"201405000260"</f>
        <v>201405000260</v>
      </c>
    </row>
    <row r="30210" spans="1:2" x14ac:dyDescent="0.25">
      <c r="A30210" s="2">
        <v>30205</v>
      </c>
      <c r="B30210" s="3" t="str">
        <f>"201405000282"</f>
        <v>201405000282</v>
      </c>
    </row>
    <row r="30211" spans="1:2" x14ac:dyDescent="0.25">
      <c r="A30211" s="2">
        <v>30206</v>
      </c>
      <c r="B30211" s="3" t="str">
        <f>"201405000311"</f>
        <v>201405000311</v>
      </c>
    </row>
    <row r="30212" spans="1:2" x14ac:dyDescent="0.25">
      <c r="A30212" s="2">
        <v>30207</v>
      </c>
      <c r="B30212" s="3" t="str">
        <f>"201405000314"</f>
        <v>201405000314</v>
      </c>
    </row>
    <row r="30213" spans="1:2" x14ac:dyDescent="0.25">
      <c r="A30213" s="2">
        <v>30208</v>
      </c>
      <c r="B30213" s="3" t="str">
        <f>"201405000318"</f>
        <v>201405000318</v>
      </c>
    </row>
    <row r="30214" spans="1:2" x14ac:dyDescent="0.25">
      <c r="A30214" s="2">
        <v>30209</v>
      </c>
      <c r="B30214" s="3" t="str">
        <f>"201405000320"</f>
        <v>201405000320</v>
      </c>
    </row>
    <row r="30215" spans="1:2" x14ac:dyDescent="0.25">
      <c r="A30215" s="2">
        <v>30210</v>
      </c>
      <c r="B30215" s="3" t="str">
        <f>"201405000326"</f>
        <v>201405000326</v>
      </c>
    </row>
    <row r="30216" spans="1:2" x14ac:dyDescent="0.25">
      <c r="A30216" s="2">
        <v>30211</v>
      </c>
      <c r="B30216" s="3" t="str">
        <f>"201405000335"</f>
        <v>201405000335</v>
      </c>
    </row>
    <row r="30217" spans="1:2" x14ac:dyDescent="0.25">
      <c r="A30217" s="2">
        <v>30212</v>
      </c>
      <c r="B30217" s="3" t="str">
        <f>"201405000337"</f>
        <v>201405000337</v>
      </c>
    </row>
    <row r="30218" spans="1:2" x14ac:dyDescent="0.25">
      <c r="A30218" s="2">
        <v>30213</v>
      </c>
      <c r="B30218" s="3" t="str">
        <f>"201405000343"</f>
        <v>201405000343</v>
      </c>
    </row>
    <row r="30219" spans="1:2" x14ac:dyDescent="0.25">
      <c r="A30219" s="2">
        <v>30214</v>
      </c>
      <c r="B30219" s="3" t="str">
        <f>"201405000361"</f>
        <v>201405000361</v>
      </c>
    </row>
    <row r="30220" spans="1:2" x14ac:dyDescent="0.25">
      <c r="A30220" s="2">
        <v>30215</v>
      </c>
      <c r="B30220" s="3" t="str">
        <f>"201405000373"</f>
        <v>201405000373</v>
      </c>
    </row>
    <row r="30221" spans="1:2" x14ac:dyDescent="0.25">
      <c r="A30221" s="2">
        <v>30216</v>
      </c>
      <c r="B30221" s="3" t="str">
        <f>"201405000407"</f>
        <v>201405000407</v>
      </c>
    </row>
    <row r="30222" spans="1:2" x14ac:dyDescent="0.25">
      <c r="A30222" s="2">
        <v>30217</v>
      </c>
      <c r="B30222" s="3" t="str">
        <f>"201405000430"</f>
        <v>201405000430</v>
      </c>
    </row>
    <row r="30223" spans="1:2" x14ac:dyDescent="0.25">
      <c r="A30223" s="2">
        <v>30218</v>
      </c>
      <c r="B30223" s="3" t="str">
        <f>"201405000435"</f>
        <v>201405000435</v>
      </c>
    </row>
    <row r="30224" spans="1:2" x14ac:dyDescent="0.25">
      <c r="A30224" s="2">
        <v>30219</v>
      </c>
      <c r="B30224" s="3" t="str">
        <f>"201405000463"</f>
        <v>201405000463</v>
      </c>
    </row>
    <row r="30225" spans="1:2" x14ac:dyDescent="0.25">
      <c r="A30225" s="2">
        <v>30220</v>
      </c>
      <c r="B30225" s="3" t="str">
        <f>"201405000472"</f>
        <v>201405000472</v>
      </c>
    </row>
    <row r="30226" spans="1:2" x14ac:dyDescent="0.25">
      <c r="A30226" s="2">
        <v>30221</v>
      </c>
      <c r="B30226" s="3" t="str">
        <f>"201405000514"</f>
        <v>201405000514</v>
      </c>
    </row>
    <row r="30227" spans="1:2" x14ac:dyDescent="0.25">
      <c r="A30227" s="2">
        <v>30222</v>
      </c>
      <c r="B30227" s="3" t="str">
        <f>"201405000534"</f>
        <v>201405000534</v>
      </c>
    </row>
    <row r="30228" spans="1:2" x14ac:dyDescent="0.25">
      <c r="A30228" s="2">
        <v>30223</v>
      </c>
      <c r="B30228" s="3" t="str">
        <f>"201405000552"</f>
        <v>201405000552</v>
      </c>
    </row>
    <row r="30229" spans="1:2" x14ac:dyDescent="0.25">
      <c r="A30229" s="2">
        <v>30224</v>
      </c>
      <c r="B30229" s="3" t="str">
        <f>"201405000556"</f>
        <v>201405000556</v>
      </c>
    </row>
    <row r="30230" spans="1:2" x14ac:dyDescent="0.25">
      <c r="A30230" s="2">
        <v>30225</v>
      </c>
      <c r="B30230" s="3" t="str">
        <f>"201405000573"</f>
        <v>201405000573</v>
      </c>
    </row>
    <row r="30231" spans="1:2" x14ac:dyDescent="0.25">
      <c r="A30231" s="2">
        <v>30226</v>
      </c>
      <c r="B30231" s="3" t="str">
        <f>"201405000576"</f>
        <v>201405000576</v>
      </c>
    </row>
    <row r="30232" spans="1:2" x14ac:dyDescent="0.25">
      <c r="A30232" s="2">
        <v>30227</v>
      </c>
      <c r="B30232" s="3" t="str">
        <f>"201405000598"</f>
        <v>201405000598</v>
      </c>
    </row>
    <row r="30233" spans="1:2" x14ac:dyDescent="0.25">
      <c r="A30233" s="2">
        <v>30228</v>
      </c>
      <c r="B30233" s="3" t="str">
        <f>"201405000624"</f>
        <v>201405000624</v>
      </c>
    </row>
    <row r="30234" spans="1:2" x14ac:dyDescent="0.25">
      <c r="A30234" s="2">
        <v>30229</v>
      </c>
      <c r="B30234" s="3" t="str">
        <f>"201405000627"</f>
        <v>201405000627</v>
      </c>
    </row>
    <row r="30235" spans="1:2" x14ac:dyDescent="0.25">
      <c r="A30235" s="2">
        <v>30230</v>
      </c>
      <c r="B30235" s="3" t="str">
        <f>"201405000643"</f>
        <v>201405000643</v>
      </c>
    </row>
    <row r="30236" spans="1:2" x14ac:dyDescent="0.25">
      <c r="A30236" s="2">
        <v>30231</v>
      </c>
      <c r="B30236" s="3" t="str">
        <f>"201405000655"</f>
        <v>201405000655</v>
      </c>
    </row>
    <row r="30237" spans="1:2" x14ac:dyDescent="0.25">
      <c r="A30237" s="2">
        <v>30232</v>
      </c>
      <c r="B30237" s="3" t="str">
        <f>"201405000656"</f>
        <v>201405000656</v>
      </c>
    </row>
    <row r="30238" spans="1:2" x14ac:dyDescent="0.25">
      <c r="A30238" s="2">
        <v>30233</v>
      </c>
      <c r="B30238" s="3" t="str">
        <f>"201405000678"</f>
        <v>201405000678</v>
      </c>
    </row>
    <row r="30239" spans="1:2" x14ac:dyDescent="0.25">
      <c r="A30239" s="2">
        <v>30234</v>
      </c>
      <c r="B30239" s="3" t="str">
        <f>"201405000706"</f>
        <v>201405000706</v>
      </c>
    </row>
    <row r="30240" spans="1:2" x14ac:dyDescent="0.25">
      <c r="A30240" s="2">
        <v>30235</v>
      </c>
      <c r="B30240" s="3" t="str">
        <f>"201405000707"</f>
        <v>201405000707</v>
      </c>
    </row>
    <row r="30241" spans="1:2" x14ac:dyDescent="0.25">
      <c r="A30241" s="2">
        <v>30236</v>
      </c>
      <c r="B30241" s="3" t="str">
        <f>"201405000754"</f>
        <v>201405000754</v>
      </c>
    </row>
    <row r="30242" spans="1:2" x14ac:dyDescent="0.25">
      <c r="A30242" s="2">
        <v>30237</v>
      </c>
      <c r="B30242" s="3" t="str">
        <f>"201405000758"</f>
        <v>201405000758</v>
      </c>
    </row>
    <row r="30243" spans="1:2" x14ac:dyDescent="0.25">
      <c r="A30243" s="2">
        <v>30238</v>
      </c>
      <c r="B30243" s="3" t="str">
        <f>"201405000764"</f>
        <v>201405000764</v>
      </c>
    </row>
    <row r="30244" spans="1:2" x14ac:dyDescent="0.25">
      <c r="A30244" s="2">
        <v>30239</v>
      </c>
      <c r="B30244" s="3" t="str">
        <f>"201405000770"</f>
        <v>201405000770</v>
      </c>
    </row>
    <row r="30245" spans="1:2" x14ac:dyDescent="0.25">
      <c r="A30245" s="2">
        <v>30240</v>
      </c>
      <c r="B30245" s="3" t="str">
        <f>"201405000772"</f>
        <v>201405000772</v>
      </c>
    </row>
    <row r="30246" spans="1:2" x14ac:dyDescent="0.25">
      <c r="A30246" s="2">
        <v>30241</v>
      </c>
      <c r="B30246" s="3" t="str">
        <f>"201405000775"</f>
        <v>201405000775</v>
      </c>
    </row>
    <row r="30247" spans="1:2" x14ac:dyDescent="0.25">
      <c r="A30247" s="2">
        <v>30242</v>
      </c>
      <c r="B30247" s="3" t="str">
        <f>"201405000796"</f>
        <v>201405000796</v>
      </c>
    </row>
    <row r="30248" spans="1:2" x14ac:dyDescent="0.25">
      <c r="A30248" s="2">
        <v>30243</v>
      </c>
      <c r="B30248" s="3" t="str">
        <f>"201405000803"</f>
        <v>201405000803</v>
      </c>
    </row>
    <row r="30249" spans="1:2" x14ac:dyDescent="0.25">
      <c r="A30249" s="2">
        <v>30244</v>
      </c>
      <c r="B30249" s="3" t="str">
        <f>"201405000828"</f>
        <v>201405000828</v>
      </c>
    </row>
    <row r="30250" spans="1:2" x14ac:dyDescent="0.25">
      <c r="A30250" s="2">
        <v>30245</v>
      </c>
      <c r="B30250" s="3" t="str">
        <f>"201405000831"</f>
        <v>201405000831</v>
      </c>
    </row>
    <row r="30251" spans="1:2" x14ac:dyDescent="0.25">
      <c r="A30251" s="2">
        <v>30246</v>
      </c>
      <c r="B30251" s="3" t="str">
        <f>"201405000871"</f>
        <v>201405000871</v>
      </c>
    </row>
    <row r="30252" spans="1:2" x14ac:dyDescent="0.25">
      <c r="A30252" s="2">
        <v>30247</v>
      </c>
      <c r="B30252" s="3" t="str">
        <f>"201405000884"</f>
        <v>201405000884</v>
      </c>
    </row>
    <row r="30253" spans="1:2" x14ac:dyDescent="0.25">
      <c r="A30253" s="2">
        <v>30248</v>
      </c>
      <c r="B30253" s="3" t="str">
        <f>"201405000908"</f>
        <v>201405000908</v>
      </c>
    </row>
    <row r="30254" spans="1:2" x14ac:dyDescent="0.25">
      <c r="A30254" s="2">
        <v>30249</v>
      </c>
      <c r="B30254" s="3" t="str">
        <f>"201405000909"</f>
        <v>201405000909</v>
      </c>
    </row>
    <row r="30255" spans="1:2" x14ac:dyDescent="0.25">
      <c r="A30255" s="2">
        <v>30250</v>
      </c>
      <c r="B30255" s="3" t="str">
        <f>"201405000928"</f>
        <v>201405000928</v>
      </c>
    </row>
    <row r="30256" spans="1:2" x14ac:dyDescent="0.25">
      <c r="A30256" s="2">
        <v>30251</v>
      </c>
      <c r="B30256" s="3" t="str">
        <f>"201405000929"</f>
        <v>201405000929</v>
      </c>
    </row>
    <row r="30257" spans="1:2" x14ac:dyDescent="0.25">
      <c r="A30257" s="2">
        <v>30252</v>
      </c>
      <c r="B30257" s="3" t="str">
        <f>"201405000932"</f>
        <v>201405000932</v>
      </c>
    </row>
    <row r="30258" spans="1:2" x14ac:dyDescent="0.25">
      <c r="A30258" s="2">
        <v>30253</v>
      </c>
      <c r="B30258" s="3" t="str">
        <f>"201405000933"</f>
        <v>201405000933</v>
      </c>
    </row>
    <row r="30259" spans="1:2" x14ac:dyDescent="0.25">
      <c r="A30259" s="2">
        <v>30254</v>
      </c>
      <c r="B30259" s="3" t="str">
        <f>"201405000943"</f>
        <v>201405000943</v>
      </c>
    </row>
    <row r="30260" spans="1:2" x14ac:dyDescent="0.25">
      <c r="A30260" s="2">
        <v>30255</v>
      </c>
      <c r="B30260" s="3" t="str">
        <f>"201405000959"</f>
        <v>201405000959</v>
      </c>
    </row>
    <row r="30261" spans="1:2" x14ac:dyDescent="0.25">
      <c r="A30261" s="2">
        <v>30256</v>
      </c>
      <c r="B30261" s="3" t="str">
        <f>"201405000966"</f>
        <v>201405000966</v>
      </c>
    </row>
    <row r="30262" spans="1:2" x14ac:dyDescent="0.25">
      <c r="A30262" s="2">
        <v>30257</v>
      </c>
      <c r="B30262" s="3" t="str">
        <f>"201405000988"</f>
        <v>201405000988</v>
      </c>
    </row>
    <row r="30263" spans="1:2" x14ac:dyDescent="0.25">
      <c r="A30263" s="2">
        <v>30258</v>
      </c>
      <c r="B30263" s="3" t="str">
        <f>"201405000990"</f>
        <v>201405000990</v>
      </c>
    </row>
    <row r="30264" spans="1:2" x14ac:dyDescent="0.25">
      <c r="A30264" s="2">
        <v>30259</v>
      </c>
      <c r="B30264" s="3" t="str">
        <f>"201405000991"</f>
        <v>201405000991</v>
      </c>
    </row>
    <row r="30265" spans="1:2" x14ac:dyDescent="0.25">
      <c r="A30265" s="2">
        <v>30260</v>
      </c>
      <c r="B30265" s="3" t="str">
        <f>"201405001026"</f>
        <v>201405001026</v>
      </c>
    </row>
    <row r="30266" spans="1:2" x14ac:dyDescent="0.25">
      <c r="A30266" s="2">
        <v>30261</v>
      </c>
      <c r="B30266" s="3" t="str">
        <f>"201405001036"</f>
        <v>201405001036</v>
      </c>
    </row>
    <row r="30267" spans="1:2" x14ac:dyDescent="0.25">
      <c r="A30267" s="2">
        <v>30262</v>
      </c>
      <c r="B30267" s="3" t="str">
        <f>"201405001053"</f>
        <v>201405001053</v>
      </c>
    </row>
    <row r="30268" spans="1:2" x14ac:dyDescent="0.25">
      <c r="A30268" s="2">
        <v>30263</v>
      </c>
      <c r="B30268" s="3" t="str">
        <f>"201405001060"</f>
        <v>201405001060</v>
      </c>
    </row>
    <row r="30269" spans="1:2" x14ac:dyDescent="0.25">
      <c r="A30269" s="2">
        <v>30264</v>
      </c>
      <c r="B30269" s="3" t="str">
        <f>"201405001062"</f>
        <v>201405001062</v>
      </c>
    </row>
    <row r="30270" spans="1:2" x14ac:dyDescent="0.25">
      <c r="A30270" s="2">
        <v>30265</v>
      </c>
      <c r="B30270" s="3" t="str">
        <f>"201405001073"</f>
        <v>201405001073</v>
      </c>
    </row>
    <row r="30271" spans="1:2" x14ac:dyDescent="0.25">
      <c r="A30271" s="2">
        <v>30266</v>
      </c>
      <c r="B30271" s="3" t="str">
        <f>"201405001127"</f>
        <v>201405001127</v>
      </c>
    </row>
    <row r="30272" spans="1:2" x14ac:dyDescent="0.25">
      <c r="A30272" s="2">
        <v>30267</v>
      </c>
      <c r="B30272" s="3" t="str">
        <f>"201405001142"</f>
        <v>201405001142</v>
      </c>
    </row>
    <row r="30273" spans="1:2" x14ac:dyDescent="0.25">
      <c r="A30273" s="2">
        <v>30268</v>
      </c>
      <c r="B30273" s="3" t="str">
        <f>"201405001153"</f>
        <v>201405001153</v>
      </c>
    </row>
    <row r="30274" spans="1:2" x14ac:dyDescent="0.25">
      <c r="A30274" s="2">
        <v>30269</v>
      </c>
      <c r="B30274" s="3" t="str">
        <f>"201405001158"</f>
        <v>201405001158</v>
      </c>
    </row>
    <row r="30275" spans="1:2" x14ac:dyDescent="0.25">
      <c r="A30275" s="2">
        <v>30270</v>
      </c>
      <c r="B30275" s="3" t="str">
        <f>"201405001160"</f>
        <v>201405001160</v>
      </c>
    </row>
    <row r="30276" spans="1:2" x14ac:dyDescent="0.25">
      <c r="A30276" s="2">
        <v>30271</v>
      </c>
      <c r="B30276" s="3" t="str">
        <f>"201405001166"</f>
        <v>201405001166</v>
      </c>
    </row>
    <row r="30277" spans="1:2" x14ac:dyDescent="0.25">
      <c r="A30277" s="2">
        <v>30272</v>
      </c>
      <c r="B30277" s="3" t="str">
        <f>"201405001182"</f>
        <v>201405001182</v>
      </c>
    </row>
    <row r="30278" spans="1:2" x14ac:dyDescent="0.25">
      <c r="A30278" s="2">
        <v>30273</v>
      </c>
      <c r="B30278" s="3" t="str">
        <f>"201405001215"</f>
        <v>201405001215</v>
      </c>
    </row>
    <row r="30279" spans="1:2" x14ac:dyDescent="0.25">
      <c r="A30279" s="2">
        <v>30274</v>
      </c>
      <c r="B30279" s="3" t="str">
        <f>"201405001226"</f>
        <v>201405001226</v>
      </c>
    </row>
    <row r="30280" spans="1:2" x14ac:dyDescent="0.25">
      <c r="A30280" s="2">
        <v>30275</v>
      </c>
      <c r="B30280" s="3" t="str">
        <f>"201405001256"</f>
        <v>201405001256</v>
      </c>
    </row>
    <row r="30281" spans="1:2" x14ac:dyDescent="0.25">
      <c r="A30281" s="2">
        <v>30276</v>
      </c>
      <c r="B30281" s="3" t="str">
        <f>"201405001308"</f>
        <v>201405001308</v>
      </c>
    </row>
    <row r="30282" spans="1:2" x14ac:dyDescent="0.25">
      <c r="A30282" s="2">
        <v>30277</v>
      </c>
      <c r="B30282" s="3" t="str">
        <f>"201405001333"</f>
        <v>201405001333</v>
      </c>
    </row>
    <row r="30283" spans="1:2" x14ac:dyDescent="0.25">
      <c r="A30283" s="2">
        <v>30278</v>
      </c>
      <c r="B30283" s="3" t="str">
        <f>"201405001337"</f>
        <v>201405001337</v>
      </c>
    </row>
    <row r="30284" spans="1:2" x14ac:dyDescent="0.25">
      <c r="A30284" s="2">
        <v>30279</v>
      </c>
      <c r="B30284" s="3" t="str">
        <f>"201405001348"</f>
        <v>201405001348</v>
      </c>
    </row>
    <row r="30285" spans="1:2" x14ac:dyDescent="0.25">
      <c r="A30285" s="2">
        <v>30280</v>
      </c>
      <c r="B30285" s="3" t="str">
        <f>"201405001349"</f>
        <v>201405001349</v>
      </c>
    </row>
    <row r="30286" spans="1:2" x14ac:dyDescent="0.25">
      <c r="A30286" s="2">
        <v>30281</v>
      </c>
      <c r="B30286" s="3" t="str">
        <f>"201405001358"</f>
        <v>201405001358</v>
      </c>
    </row>
    <row r="30287" spans="1:2" x14ac:dyDescent="0.25">
      <c r="A30287" s="2">
        <v>30282</v>
      </c>
      <c r="B30287" s="3" t="str">
        <f>"201405001370"</f>
        <v>201405001370</v>
      </c>
    </row>
    <row r="30288" spans="1:2" x14ac:dyDescent="0.25">
      <c r="A30288" s="2">
        <v>30283</v>
      </c>
      <c r="B30288" s="3" t="str">
        <f>"201405001372"</f>
        <v>201405001372</v>
      </c>
    </row>
    <row r="30289" spans="1:2" x14ac:dyDescent="0.25">
      <c r="A30289" s="2">
        <v>30284</v>
      </c>
      <c r="B30289" s="3" t="str">
        <f>"201405001393"</f>
        <v>201405001393</v>
      </c>
    </row>
    <row r="30290" spans="1:2" x14ac:dyDescent="0.25">
      <c r="A30290" s="2">
        <v>30285</v>
      </c>
      <c r="B30290" s="3" t="str">
        <f>"201405001396"</f>
        <v>201405001396</v>
      </c>
    </row>
    <row r="30291" spans="1:2" x14ac:dyDescent="0.25">
      <c r="A30291" s="2">
        <v>30286</v>
      </c>
      <c r="B30291" s="3" t="str">
        <f>"201405001407"</f>
        <v>201405001407</v>
      </c>
    </row>
    <row r="30292" spans="1:2" x14ac:dyDescent="0.25">
      <c r="A30292" s="2">
        <v>30287</v>
      </c>
      <c r="B30292" s="3" t="str">
        <f>"201405001417"</f>
        <v>201405001417</v>
      </c>
    </row>
    <row r="30293" spans="1:2" x14ac:dyDescent="0.25">
      <c r="A30293" s="2">
        <v>30288</v>
      </c>
      <c r="B30293" s="3" t="str">
        <f>"201405001440"</f>
        <v>201405001440</v>
      </c>
    </row>
    <row r="30294" spans="1:2" x14ac:dyDescent="0.25">
      <c r="A30294" s="2">
        <v>30289</v>
      </c>
      <c r="B30294" s="3" t="str">
        <f>"201405001524"</f>
        <v>201405001524</v>
      </c>
    </row>
    <row r="30295" spans="1:2" x14ac:dyDescent="0.25">
      <c r="A30295" s="2">
        <v>30290</v>
      </c>
      <c r="B30295" s="3" t="str">
        <f>"201405001526"</f>
        <v>201405001526</v>
      </c>
    </row>
    <row r="30296" spans="1:2" x14ac:dyDescent="0.25">
      <c r="A30296" s="2">
        <v>30291</v>
      </c>
      <c r="B30296" s="3" t="str">
        <f>"201405001546"</f>
        <v>201405001546</v>
      </c>
    </row>
    <row r="30297" spans="1:2" x14ac:dyDescent="0.25">
      <c r="A30297" s="2">
        <v>30292</v>
      </c>
      <c r="B30297" s="3" t="str">
        <f>"201405001553"</f>
        <v>201405001553</v>
      </c>
    </row>
    <row r="30298" spans="1:2" x14ac:dyDescent="0.25">
      <c r="A30298" s="2">
        <v>30293</v>
      </c>
      <c r="B30298" s="3" t="str">
        <f>"201405001582"</f>
        <v>201405001582</v>
      </c>
    </row>
    <row r="30299" spans="1:2" x14ac:dyDescent="0.25">
      <c r="A30299" s="2">
        <v>30294</v>
      </c>
      <c r="B30299" s="3" t="str">
        <f>"201405001615"</f>
        <v>201405001615</v>
      </c>
    </row>
    <row r="30300" spans="1:2" x14ac:dyDescent="0.25">
      <c r="A30300" s="2">
        <v>30295</v>
      </c>
      <c r="B30300" s="3" t="str">
        <f>"201405001674"</f>
        <v>201405001674</v>
      </c>
    </row>
    <row r="30301" spans="1:2" x14ac:dyDescent="0.25">
      <c r="A30301" s="2">
        <v>30296</v>
      </c>
      <c r="B30301" s="3" t="str">
        <f>"201405001677"</f>
        <v>201405001677</v>
      </c>
    </row>
    <row r="30302" spans="1:2" x14ac:dyDescent="0.25">
      <c r="A30302" s="2">
        <v>30297</v>
      </c>
      <c r="B30302" s="3" t="str">
        <f>"201405001688"</f>
        <v>201405001688</v>
      </c>
    </row>
    <row r="30303" spans="1:2" x14ac:dyDescent="0.25">
      <c r="A30303" s="2">
        <v>30298</v>
      </c>
      <c r="B30303" s="3" t="str">
        <f>"201405001691"</f>
        <v>201405001691</v>
      </c>
    </row>
    <row r="30304" spans="1:2" x14ac:dyDescent="0.25">
      <c r="A30304" s="2">
        <v>30299</v>
      </c>
      <c r="B30304" s="3" t="str">
        <f>"201405001698"</f>
        <v>201405001698</v>
      </c>
    </row>
    <row r="30305" spans="1:2" x14ac:dyDescent="0.25">
      <c r="A30305" s="2">
        <v>30300</v>
      </c>
      <c r="B30305" s="3" t="str">
        <f>"201405001708"</f>
        <v>201405001708</v>
      </c>
    </row>
    <row r="30306" spans="1:2" x14ac:dyDescent="0.25">
      <c r="A30306" s="2">
        <v>30301</v>
      </c>
      <c r="B30306" s="3" t="str">
        <f>"201405001717"</f>
        <v>201405001717</v>
      </c>
    </row>
    <row r="30307" spans="1:2" x14ac:dyDescent="0.25">
      <c r="A30307" s="2">
        <v>30302</v>
      </c>
      <c r="B30307" s="3" t="str">
        <f>"201405001758"</f>
        <v>201405001758</v>
      </c>
    </row>
    <row r="30308" spans="1:2" x14ac:dyDescent="0.25">
      <c r="A30308" s="2">
        <v>30303</v>
      </c>
      <c r="B30308" s="3" t="str">
        <f>"201405001759"</f>
        <v>201405001759</v>
      </c>
    </row>
    <row r="30309" spans="1:2" x14ac:dyDescent="0.25">
      <c r="A30309" s="2">
        <v>30304</v>
      </c>
      <c r="B30309" s="3" t="str">
        <f>"201405001762"</f>
        <v>201405001762</v>
      </c>
    </row>
    <row r="30310" spans="1:2" x14ac:dyDescent="0.25">
      <c r="A30310" s="2">
        <v>30305</v>
      </c>
      <c r="B30310" s="3" t="str">
        <f>"201405001770"</f>
        <v>201405001770</v>
      </c>
    </row>
    <row r="30311" spans="1:2" x14ac:dyDescent="0.25">
      <c r="A30311" s="2">
        <v>30306</v>
      </c>
      <c r="B30311" s="3" t="str">
        <f>"201405001793"</f>
        <v>201405001793</v>
      </c>
    </row>
    <row r="30312" spans="1:2" x14ac:dyDescent="0.25">
      <c r="A30312" s="2">
        <v>30307</v>
      </c>
      <c r="B30312" s="3" t="str">
        <f>"201405001794"</f>
        <v>201405001794</v>
      </c>
    </row>
    <row r="30313" spans="1:2" x14ac:dyDescent="0.25">
      <c r="A30313" s="2">
        <v>30308</v>
      </c>
      <c r="B30313" s="3" t="str">
        <f>"201405001811"</f>
        <v>201405001811</v>
      </c>
    </row>
    <row r="30314" spans="1:2" x14ac:dyDescent="0.25">
      <c r="A30314" s="2">
        <v>30309</v>
      </c>
      <c r="B30314" s="3" t="str">
        <f>"201405001842"</f>
        <v>201405001842</v>
      </c>
    </row>
    <row r="30315" spans="1:2" x14ac:dyDescent="0.25">
      <c r="A30315" s="2">
        <v>30310</v>
      </c>
      <c r="B30315" s="3" t="str">
        <f>"201405001857"</f>
        <v>201405001857</v>
      </c>
    </row>
    <row r="30316" spans="1:2" x14ac:dyDescent="0.25">
      <c r="A30316" s="2">
        <v>30311</v>
      </c>
      <c r="B30316" s="3" t="str">
        <f>"201405001863"</f>
        <v>201405001863</v>
      </c>
    </row>
    <row r="30317" spans="1:2" x14ac:dyDescent="0.25">
      <c r="A30317" s="2">
        <v>30312</v>
      </c>
      <c r="B30317" s="3" t="str">
        <f>"201405001885"</f>
        <v>201405001885</v>
      </c>
    </row>
    <row r="30318" spans="1:2" x14ac:dyDescent="0.25">
      <c r="A30318" s="2">
        <v>30313</v>
      </c>
      <c r="B30318" s="3" t="str">
        <f>"201405001886"</f>
        <v>201405001886</v>
      </c>
    </row>
    <row r="30319" spans="1:2" x14ac:dyDescent="0.25">
      <c r="A30319" s="2">
        <v>30314</v>
      </c>
      <c r="B30319" s="3" t="str">
        <f>"201405001978"</f>
        <v>201405001978</v>
      </c>
    </row>
    <row r="30320" spans="1:2" x14ac:dyDescent="0.25">
      <c r="A30320" s="2">
        <v>30315</v>
      </c>
      <c r="B30320" s="3" t="str">
        <f>"201405001986"</f>
        <v>201405001986</v>
      </c>
    </row>
    <row r="30321" spans="1:2" x14ac:dyDescent="0.25">
      <c r="A30321" s="2">
        <v>30316</v>
      </c>
      <c r="B30321" s="3" t="str">
        <f>"201405001996"</f>
        <v>201405001996</v>
      </c>
    </row>
    <row r="30322" spans="1:2" x14ac:dyDescent="0.25">
      <c r="A30322" s="2">
        <v>30317</v>
      </c>
      <c r="B30322" s="3" t="str">
        <f>"201405002005"</f>
        <v>201405002005</v>
      </c>
    </row>
    <row r="30323" spans="1:2" x14ac:dyDescent="0.25">
      <c r="A30323" s="2">
        <v>30318</v>
      </c>
      <c r="B30323" s="3" t="str">
        <f>"201405002014"</f>
        <v>201405002014</v>
      </c>
    </row>
    <row r="30324" spans="1:2" x14ac:dyDescent="0.25">
      <c r="A30324" s="2">
        <v>30319</v>
      </c>
      <c r="B30324" s="3" t="str">
        <f>"201405002024"</f>
        <v>201405002024</v>
      </c>
    </row>
    <row r="30325" spans="1:2" x14ac:dyDescent="0.25">
      <c r="A30325" s="2">
        <v>30320</v>
      </c>
      <c r="B30325" s="3" t="str">
        <f>"201405002066"</f>
        <v>201405002066</v>
      </c>
    </row>
    <row r="30326" spans="1:2" x14ac:dyDescent="0.25">
      <c r="A30326" s="2">
        <v>30321</v>
      </c>
      <c r="B30326" s="3" t="str">
        <f>"201405002081"</f>
        <v>201405002081</v>
      </c>
    </row>
    <row r="30327" spans="1:2" x14ac:dyDescent="0.25">
      <c r="A30327" s="2">
        <v>30322</v>
      </c>
      <c r="B30327" s="3" t="str">
        <f>"201405002096"</f>
        <v>201405002096</v>
      </c>
    </row>
    <row r="30328" spans="1:2" x14ac:dyDescent="0.25">
      <c r="A30328" s="2">
        <v>30323</v>
      </c>
      <c r="B30328" s="3" t="str">
        <f>"201405002115"</f>
        <v>201405002115</v>
      </c>
    </row>
    <row r="30329" spans="1:2" x14ac:dyDescent="0.25">
      <c r="A30329" s="2">
        <v>30324</v>
      </c>
      <c r="B30329" s="3" t="str">
        <f>"201405002179"</f>
        <v>201405002179</v>
      </c>
    </row>
    <row r="30330" spans="1:2" x14ac:dyDescent="0.25">
      <c r="A30330" s="2">
        <v>30325</v>
      </c>
      <c r="B30330" s="3" t="str">
        <f>"201405002190"</f>
        <v>201405002190</v>
      </c>
    </row>
    <row r="30331" spans="1:2" x14ac:dyDescent="0.25">
      <c r="A30331" s="2">
        <v>30326</v>
      </c>
      <c r="B30331" s="3" t="str">
        <f>"201405002196"</f>
        <v>201405002196</v>
      </c>
    </row>
    <row r="30332" spans="1:2" x14ac:dyDescent="0.25">
      <c r="A30332" s="2">
        <v>30327</v>
      </c>
      <c r="B30332" s="3" t="str">
        <f>"201405002205"</f>
        <v>201405002205</v>
      </c>
    </row>
    <row r="30333" spans="1:2" x14ac:dyDescent="0.25">
      <c r="A30333" s="2">
        <v>30328</v>
      </c>
      <c r="B30333" s="3" t="str">
        <f>"201405002211"</f>
        <v>201405002211</v>
      </c>
    </row>
    <row r="30334" spans="1:2" x14ac:dyDescent="0.25">
      <c r="A30334" s="2">
        <v>30329</v>
      </c>
      <c r="B30334" s="3" t="str">
        <f>"201405002248"</f>
        <v>201405002248</v>
      </c>
    </row>
    <row r="30335" spans="1:2" x14ac:dyDescent="0.25">
      <c r="A30335" s="2">
        <v>30330</v>
      </c>
      <c r="B30335" s="3" t="str">
        <f>"201405002250"</f>
        <v>201405002250</v>
      </c>
    </row>
    <row r="30336" spans="1:2" x14ac:dyDescent="0.25">
      <c r="A30336" s="2">
        <v>30331</v>
      </c>
      <c r="B30336" s="3" t="str">
        <f>"201405002254"</f>
        <v>201405002254</v>
      </c>
    </row>
    <row r="30337" spans="1:2" x14ac:dyDescent="0.25">
      <c r="A30337" s="2">
        <v>30332</v>
      </c>
      <c r="B30337" s="3" t="str">
        <f>"201405002263"</f>
        <v>201405002263</v>
      </c>
    </row>
    <row r="30338" spans="1:2" x14ac:dyDescent="0.25">
      <c r="A30338" s="2">
        <v>30333</v>
      </c>
      <c r="B30338" s="3" t="str">
        <f>"201405002292"</f>
        <v>201405002292</v>
      </c>
    </row>
    <row r="30339" spans="1:2" x14ac:dyDescent="0.25">
      <c r="A30339" s="2">
        <v>30334</v>
      </c>
      <c r="B30339" s="3" t="str">
        <f>"201405002293"</f>
        <v>201405002293</v>
      </c>
    </row>
    <row r="30340" spans="1:2" x14ac:dyDescent="0.25">
      <c r="A30340" s="2">
        <v>30335</v>
      </c>
      <c r="B30340" s="3" t="str">
        <f>"201405002311"</f>
        <v>201405002311</v>
      </c>
    </row>
    <row r="30341" spans="1:2" x14ac:dyDescent="0.25">
      <c r="A30341" s="2">
        <v>30336</v>
      </c>
      <c r="B30341" s="3" t="str">
        <f>"201405002316"</f>
        <v>201405002316</v>
      </c>
    </row>
    <row r="30342" spans="1:2" x14ac:dyDescent="0.25">
      <c r="A30342" s="2">
        <v>30337</v>
      </c>
      <c r="B30342" s="3" t="str">
        <f>"201405002333"</f>
        <v>201405002333</v>
      </c>
    </row>
    <row r="30343" spans="1:2" x14ac:dyDescent="0.25">
      <c r="A30343" s="2">
        <v>30338</v>
      </c>
      <c r="B30343" s="3" t="str">
        <f>"201405002336"</f>
        <v>201405002336</v>
      </c>
    </row>
    <row r="30344" spans="1:2" x14ac:dyDescent="0.25">
      <c r="A30344" s="2">
        <v>30339</v>
      </c>
      <c r="B30344" s="3" t="str">
        <f>"201405002342"</f>
        <v>201405002342</v>
      </c>
    </row>
    <row r="30345" spans="1:2" x14ac:dyDescent="0.25">
      <c r="A30345" s="2">
        <v>30340</v>
      </c>
      <c r="B30345" s="3" t="str">
        <f>"201405002343"</f>
        <v>201405002343</v>
      </c>
    </row>
    <row r="30346" spans="1:2" x14ac:dyDescent="0.25">
      <c r="A30346" s="2">
        <v>30341</v>
      </c>
      <c r="B30346" s="3" t="str">
        <f>"201406000021"</f>
        <v>201406000021</v>
      </c>
    </row>
    <row r="30347" spans="1:2" x14ac:dyDescent="0.25">
      <c r="A30347" s="2">
        <v>30342</v>
      </c>
      <c r="B30347" s="3" t="str">
        <f>"201406000050"</f>
        <v>201406000050</v>
      </c>
    </row>
    <row r="30348" spans="1:2" x14ac:dyDescent="0.25">
      <c r="A30348" s="2">
        <v>30343</v>
      </c>
      <c r="B30348" s="3" t="str">
        <f>"201406000053"</f>
        <v>201406000053</v>
      </c>
    </row>
    <row r="30349" spans="1:2" x14ac:dyDescent="0.25">
      <c r="A30349" s="2">
        <v>30344</v>
      </c>
      <c r="B30349" s="3" t="str">
        <f>"201406000055"</f>
        <v>201406000055</v>
      </c>
    </row>
    <row r="30350" spans="1:2" x14ac:dyDescent="0.25">
      <c r="A30350" s="2">
        <v>30345</v>
      </c>
      <c r="B30350" s="3" t="str">
        <f>"201406000096"</f>
        <v>201406000096</v>
      </c>
    </row>
    <row r="30351" spans="1:2" x14ac:dyDescent="0.25">
      <c r="A30351" s="2">
        <v>30346</v>
      </c>
      <c r="B30351" s="3" t="str">
        <f>"201406000119"</f>
        <v>201406000119</v>
      </c>
    </row>
    <row r="30352" spans="1:2" x14ac:dyDescent="0.25">
      <c r="A30352" s="2">
        <v>30347</v>
      </c>
      <c r="B30352" s="3" t="str">
        <f>"201406000130"</f>
        <v>201406000130</v>
      </c>
    </row>
    <row r="30353" spans="1:2" x14ac:dyDescent="0.25">
      <c r="A30353" s="2">
        <v>30348</v>
      </c>
      <c r="B30353" s="3" t="str">
        <f>"201406000133"</f>
        <v>201406000133</v>
      </c>
    </row>
    <row r="30354" spans="1:2" x14ac:dyDescent="0.25">
      <c r="A30354" s="2">
        <v>30349</v>
      </c>
      <c r="B30354" s="3" t="str">
        <f>"201406000197"</f>
        <v>201406000197</v>
      </c>
    </row>
    <row r="30355" spans="1:2" x14ac:dyDescent="0.25">
      <c r="A30355" s="2">
        <v>30350</v>
      </c>
      <c r="B30355" s="3" t="str">
        <f>"201406000212"</f>
        <v>201406000212</v>
      </c>
    </row>
    <row r="30356" spans="1:2" x14ac:dyDescent="0.25">
      <c r="A30356" s="2">
        <v>30351</v>
      </c>
      <c r="B30356" s="3" t="str">
        <f>"201406000228"</f>
        <v>201406000228</v>
      </c>
    </row>
    <row r="30357" spans="1:2" x14ac:dyDescent="0.25">
      <c r="A30357" s="2">
        <v>30352</v>
      </c>
      <c r="B30357" s="3" t="str">
        <f>"201406000235"</f>
        <v>201406000235</v>
      </c>
    </row>
    <row r="30358" spans="1:2" x14ac:dyDescent="0.25">
      <c r="A30358" s="2">
        <v>30353</v>
      </c>
      <c r="B30358" s="3" t="str">
        <f>"201406000239"</f>
        <v>201406000239</v>
      </c>
    </row>
    <row r="30359" spans="1:2" x14ac:dyDescent="0.25">
      <c r="A30359" s="2">
        <v>30354</v>
      </c>
      <c r="B30359" s="3" t="str">
        <f>"201406000251"</f>
        <v>201406000251</v>
      </c>
    </row>
    <row r="30360" spans="1:2" x14ac:dyDescent="0.25">
      <c r="A30360" s="2">
        <v>30355</v>
      </c>
      <c r="B30360" s="3" t="str">
        <f>"201406000256"</f>
        <v>201406000256</v>
      </c>
    </row>
    <row r="30361" spans="1:2" x14ac:dyDescent="0.25">
      <c r="A30361" s="2">
        <v>30356</v>
      </c>
      <c r="B30361" s="3" t="str">
        <f>"201406000279"</f>
        <v>201406000279</v>
      </c>
    </row>
    <row r="30362" spans="1:2" x14ac:dyDescent="0.25">
      <c r="A30362" s="2">
        <v>30357</v>
      </c>
      <c r="B30362" s="3" t="str">
        <f>"201406000286"</f>
        <v>201406000286</v>
      </c>
    </row>
    <row r="30363" spans="1:2" x14ac:dyDescent="0.25">
      <c r="A30363" s="2">
        <v>30358</v>
      </c>
      <c r="B30363" s="3" t="str">
        <f>"201406000290"</f>
        <v>201406000290</v>
      </c>
    </row>
    <row r="30364" spans="1:2" x14ac:dyDescent="0.25">
      <c r="A30364" s="2">
        <v>30359</v>
      </c>
      <c r="B30364" s="3" t="str">
        <f>"201406000298"</f>
        <v>201406000298</v>
      </c>
    </row>
    <row r="30365" spans="1:2" x14ac:dyDescent="0.25">
      <c r="A30365" s="2">
        <v>30360</v>
      </c>
      <c r="B30365" s="3" t="str">
        <f>"201406000361"</f>
        <v>201406000361</v>
      </c>
    </row>
    <row r="30366" spans="1:2" x14ac:dyDescent="0.25">
      <c r="A30366" s="2">
        <v>30361</v>
      </c>
      <c r="B30366" s="3" t="str">
        <f>"201406000367"</f>
        <v>201406000367</v>
      </c>
    </row>
    <row r="30367" spans="1:2" x14ac:dyDescent="0.25">
      <c r="A30367" s="2">
        <v>30362</v>
      </c>
      <c r="B30367" s="3" t="str">
        <f>"201406000371"</f>
        <v>201406000371</v>
      </c>
    </row>
    <row r="30368" spans="1:2" x14ac:dyDescent="0.25">
      <c r="A30368" s="2">
        <v>30363</v>
      </c>
      <c r="B30368" s="3" t="str">
        <f>"201406000383"</f>
        <v>201406000383</v>
      </c>
    </row>
    <row r="30369" spans="1:2" x14ac:dyDescent="0.25">
      <c r="A30369" s="2">
        <v>30364</v>
      </c>
      <c r="B30369" s="3" t="str">
        <f>"201406000392"</f>
        <v>201406000392</v>
      </c>
    </row>
    <row r="30370" spans="1:2" x14ac:dyDescent="0.25">
      <c r="A30370" s="2">
        <v>30365</v>
      </c>
      <c r="B30370" s="3" t="str">
        <f>"201406000428"</f>
        <v>201406000428</v>
      </c>
    </row>
    <row r="30371" spans="1:2" x14ac:dyDescent="0.25">
      <c r="A30371" s="2">
        <v>30366</v>
      </c>
      <c r="B30371" s="3" t="str">
        <f>"201406000433"</f>
        <v>201406000433</v>
      </c>
    </row>
    <row r="30372" spans="1:2" x14ac:dyDescent="0.25">
      <c r="A30372" s="2">
        <v>30367</v>
      </c>
      <c r="B30372" s="3" t="str">
        <f>"201406000495"</f>
        <v>201406000495</v>
      </c>
    </row>
    <row r="30373" spans="1:2" x14ac:dyDescent="0.25">
      <c r="A30373" s="2">
        <v>30368</v>
      </c>
      <c r="B30373" s="3" t="str">
        <f>"201406000499"</f>
        <v>201406000499</v>
      </c>
    </row>
    <row r="30374" spans="1:2" x14ac:dyDescent="0.25">
      <c r="A30374" s="2">
        <v>30369</v>
      </c>
      <c r="B30374" s="3" t="str">
        <f>"201406000504"</f>
        <v>201406000504</v>
      </c>
    </row>
    <row r="30375" spans="1:2" x14ac:dyDescent="0.25">
      <c r="A30375" s="2">
        <v>30370</v>
      </c>
      <c r="B30375" s="3" t="str">
        <f>"201406000532"</f>
        <v>201406000532</v>
      </c>
    </row>
    <row r="30376" spans="1:2" x14ac:dyDescent="0.25">
      <c r="A30376" s="2">
        <v>30371</v>
      </c>
      <c r="B30376" s="3" t="str">
        <f>"201406000583"</f>
        <v>201406000583</v>
      </c>
    </row>
    <row r="30377" spans="1:2" x14ac:dyDescent="0.25">
      <c r="A30377" s="2">
        <v>30372</v>
      </c>
      <c r="B30377" s="3" t="str">
        <f>"201406000621"</f>
        <v>201406000621</v>
      </c>
    </row>
    <row r="30378" spans="1:2" x14ac:dyDescent="0.25">
      <c r="A30378" s="2">
        <v>30373</v>
      </c>
      <c r="B30378" s="3" t="str">
        <f>"201406000639"</f>
        <v>201406000639</v>
      </c>
    </row>
    <row r="30379" spans="1:2" x14ac:dyDescent="0.25">
      <c r="A30379" s="2">
        <v>30374</v>
      </c>
      <c r="B30379" s="3" t="str">
        <f>"201406000652"</f>
        <v>201406000652</v>
      </c>
    </row>
    <row r="30380" spans="1:2" x14ac:dyDescent="0.25">
      <c r="A30380" s="2">
        <v>30375</v>
      </c>
      <c r="B30380" s="3" t="str">
        <f>"201406000670"</f>
        <v>201406000670</v>
      </c>
    </row>
    <row r="30381" spans="1:2" x14ac:dyDescent="0.25">
      <c r="A30381" s="2">
        <v>30376</v>
      </c>
      <c r="B30381" s="3" t="str">
        <f>"201406000746"</f>
        <v>201406000746</v>
      </c>
    </row>
    <row r="30382" spans="1:2" x14ac:dyDescent="0.25">
      <c r="A30382" s="2">
        <v>30377</v>
      </c>
      <c r="B30382" s="3" t="str">
        <f>"201406000780"</f>
        <v>201406000780</v>
      </c>
    </row>
    <row r="30383" spans="1:2" x14ac:dyDescent="0.25">
      <c r="A30383" s="2">
        <v>30378</v>
      </c>
      <c r="B30383" s="3" t="str">
        <f>"201406000787"</f>
        <v>201406000787</v>
      </c>
    </row>
    <row r="30384" spans="1:2" x14ac:dyDescent="0.25">
      <c r="A30384" s="2">
        <v>30379</v>
      </c>
      <c r="B30384" s="3" t="str">
        <f>"201406000790"</f>
        <v>201406000790</v>
      </c>
    </row>
    <row r="30385" spans="1:2" x14ac:dyDescent="0.25">
      <c r="A30385" s="2">
        <v>30380</v>
      </c>
      <c r="B30385" s="3" t="str">
        <f>"201406000796"</f>
        <v>201406000796</v>
      </c>
    </row>
    <row r="30386" spans="1:2" x14ac:dyDescent="0.25">
      <c r="A30386" s="2">
        <v>30381</v>
      </c>
      <c r="B30386" s="3" t="str">
        <f>"201406000842"</f>
        <v>201406000842</v>
      </c>
    </row>
    <row r="30387" spans="1:2" x14ac:dyDescent="0.25">
      <c r="A30387" s="2">
        <v>30382</v>
      </c>
      <c r="B30387" s="3" t="str">
        <f>"201406000862"</f>
        <v>201406000862</v>
      </c>
    </row>
    <row r="30388" spans="1:2" x14ac:dyDescent="0.25">
      <c r="A30388" s="2">
        <v>30383</v>
      </c>
      <c r="B30388" s="3" t="str">
        <f>"201406000889"</f>
        <v>201406000889</v>
      </c>
    </row>
    <row r="30389" spans="1:2" x14ac:dyDescent="0.25">
      <c r="A30389" s="2">
        <v>30384</v>
      </c>
      <c r="B30389" s="3" t="str">
        <f>"201406000894"</f>
        <v>201406000894</v>
      </c>
    </row>
    <row r="30390" spans="1:2" x14ac:dyDescent="0.25">
      <c r="A30390" s="2">
        <v>30385</v>
      </c>
      <c r="B30390" s="3" t="str">
        <f>"201406000909"</f>
        <v>201406000909</v>
      </c>
    </row>
    <row r="30391" spans="1:2" x14ac:dyDescent="0.25">
      <c r="A30391" s="2">
        <v>30386</v>
      </c>
      <c r="B30391" s="3" t="str">
        <f>"201406000911"</f>
        <v>201406000911</v>
      </c>
    </row>
    <row r="30392" spans="1:2" x14ac:dyDescent="0.25">
      <c r="A30392" s="2">
        <v>30387</v>
      </c>
      <c r="B30392" s="3" t="str">
        <f>"201406000936"</f>
        <v>201406000936</v>
      </c>
    </row>
    <row r="30393" spans="1:2" x14ac:dyDescent="0.25">
      <c r="A30393" s="2">
        <v>30388</v>
      </c>
      <c r="B30393" s="3" t="str">
        <f>"201406000959"</f>
        <v>201406000959</v>
      </c>
    </row>
    <row r="30394" spans="1:2" x14ac:dyDescent="0.25">
      <c r="A30394" s="2">
        <v>30389</v>
      </c>
      <c r="B30394" s="3" t="str">
        <f>"201406000980"</f>
        <v>201406000980</v>
      </c>
    </row>
    <row r="30395" spans="1:2" x14ac:dyDescent="0.25">
      <c r="A30395" s="2">
        <v>30390</v>
      </c>
      <c r="B30395" s="3" t="str">
        <f>"201406001000"</f>
        <v>201406001000</v>
      </c>
    </row>
    <row r="30396" spans="1:2" x14ac:dyDescent="0.25">
      <c r="A30396" s="2">
        <v>30391</v>
      </c>
      <c r="B30396" s="3" t="str">
        <f>"201406001026"</f>
        <v>201406001026</v>
      </c>
    </row>
    <row r="30397" spans="1:2" x14ac:dyDescent="0.25">
      <c r="A30397" s="2">
        <v>30392</v>
      </c>
      <c r="B30397" s="3" t="str">
        <f>"201406001027"</f>
        <v>201406001027</v>
      </c>
    </row>
    <row r="30398" spans="1:2" x14ac:dyDescent="0.25">
      <c r="A30398" s="2">
        <v>30393</v>
      </c>
      <c r="B30398" s="3" t="str">
        <f>"201406001032"</f>
        <v>201406001032</v>
      </c>
    </row>
    <row r="30399" spans="1:2" x14ac:dyDescent="0.25">
      <c r="A30399" s="2">
        <v>30394</v>
      </c>
      <c r="B30399" s="3" t="str">
        <f>"201406001038"</f>
        <v>201406001038</v>
      </c>
    </row>
    <row r="30400" spans="1:2" x14ac:dyDescent="0.25">
      <c r="A30400" s="2">
        <v>30395</v>
      </c>
      <c r="B30400" s="3" t="str">
        <f>"201406001097"</f>
        <v>201406001097</v>
      </c>
    </row>
    <row r="30401" spans="1:2" x14ac:dyDescent="0.25">
      <c r="A30401" s="2">
        <v>30396</v>
      </c>
      <c r="B30401" s="3" t="str">
        <f>"201406001121"</f>
        <v>201406001121</v>
      </c>
    </row>
    <row r="30402" spans="1:2" x14ac:dyDescent="0.25">
      <c r="A30402" s="2">
        <v>30397</v>
      </c>
      <c r="B30402" s="3" t="str">
        <f>"201406001137"</f>
        <v>201406001137</v>
      </c>
    </row>
    <row r="30403" spans="1:2" x14ac:dyDescent="0.25">
      <c r="A30403" s="2">
        <v>30398</v>
      </c>
      <c r="B30403" s="3" t="str">
        <f>"201406001147"</f>
        <v>201406001147</v>
      </c>
    </row>
    <row r="30404" spans="1:2" x14ac:dyDescent="0.25">
      <c r="A30404" s="2">
        <v>30399</v>
      </c>
      <c r="B30404" s="3" t="str">
        <f>"201406001189"</f>
        <v>201406001189</v>
      </c>
    </row>
    <row r="30405" spans="1:2" x14ac:dyDescent="0.25">
      <c r="A30405" s="2">
        <v>30400</v>
      </c>
      <c r="B30405" s="3" t="str">
        <f>"201406001201"</f>
        <v>201406001201</v>
      </c>
    </row>
    <row r="30406" spans="1:2" x14ac:dyDescent="0.25">
      <c r="A30406" s="2">
        <v>30401</v>
      </c>
      <c r="B30406" s="3" t="str">
        <f>"201406001211"</f>
        <v>201406001211</v>
      </c>
    </row>
    <row r="30407" spans="1:2" x14ac:dyDescent="0.25">
      <c r="A30407" s="2">
        <v>30402</v>
      </c>
      <c r="B30407" s="3" t="str">
        <f>"201406001264"</f>
        <v>201406001264</v>
      </c>
    </row>
    <row r="30408" spans="1:2" x14ac:dyDescent="0.25">
      <c r="A30408" s="2">
        <v>30403</v>
      </c>
      <c r="B30408" s="3" t="str">
        <f>"201406001282"</f>
        <v>201406001282</v>
      </c>
    </row>
    <row r="30409" spans="1:2" x14ac:dyDescent="0.25">
      <c r="A30409" s="2">
        <v>30404</v>
      </c>
      <c r="B30409" s="3" t="str">
        <f>"201406001355"</f>
        <v>201406001355</v>
      </c>
    </row>
    <row r="30410" spans="1:2" x14ac:dyDescent="0.25">
      <c r="A30410" s="2">
        <v>30405</v>
      </c>
      <c r="B30410" s="3" t="str">
        <f>"201406001365"</f>
        <v>201406001365</v>
      </c>
    </row>
    <row r="30411" spans="1:2" x14ac:dyDescent="0.25">
      <c r="A30411" s="2">
        <v>30406</v>
      </c>
      <c r="B30411" s="3" t="str">
        <f>"201406001391"</f>
        <v>201406001391</v>
      </c>
    </row>
    <row r="30412" spans="1:2" x14ac:dyDescent="0.25">
      <c r="A30412" s="2">
        <v>30407</v>
      </c>
      <c r="B30412" s="3" t="str">
        <f>"201406001429"</f>
        <v>201406001429</v>
      </c>
    </row>
    <row r="30413" spans="1:2" x14ac:dyDescent="0.25">
      <c r="A30413" s="2">
        <v>30408</v>
      </c>
      <c r="B30413" s="3" t="str">
        <f>"201406001442"</f>
        <v>201406001442</v>
      </c>
    </row>
    <row r="30414" spans="1:2" x14ac:dyDescent="0.25">
      <c r="A30414" s="2">
        <v>30409</v>
      </c>
      <c r="B30414" s="3" t="str">
        <f>"201406001446"</f>
        <v>201406001446</v>
      </c>
    </row>
    <row r="30415" spans="1:2" x14ac:dyDescent="0.25">
      <c r="A30415" s="2">
        <v>30410</v>
      </c>
      <c r="B30415" s="3" t="str">
        <f>"201406001548"</f>
        <v>201406001548</v>
      </c>
    </row>
    <row r="30416" spans="1:2" x14ac:dyDescent="0.25">
      <c r="A30416" s="2">
        <v>30411</v>
      </c>
      <c r="B30416" s="3" t="str">
        <f>"201406001619"</f>
        <v>201406001619</v>
      </c>
    </row>
    <row r="30417" spans="1:2" x14ac:dyDescent="0.25">
      <c r="A30417" s="2">
        <v>30412</v>
      </c>
      <c r="B30417" s="3" t="str">
        <f>"201406001626"</f>
        <v>201406001626</v>
      </c>
    </row>
    <row r="30418" spans="1:2" x14ac:dyDescent="0.25">
      <c r="A30418" s="2">
        <v>30413</v>
      </c>
      <c r="B30418" s="3" t="str">
        <f>"201406001639"</f>
        <v>201406001639</v>
      </c>
    </row>
    <row r="30419" spans="1:2" x14ac:dyDescent="0.25">
      <c r="A30419" s="2">
        <v>30414</v>
      </c>
      <c r="B30419" s="3" t="str">
        <f>"201406001667"</f>
        <v>201406001667</v>
      </c>
    </row>
    <row r="30420" spans="1:2" x14ac:dyDescent="0.25">
      <c r="A30420" s="2">
        <v>30415</v>
      </c>
      <c r="B30420" s="3" t="str">
        <f>"201406001673"</f>
        <v>201406001673</v>
      </c>
    </row>
    <row r="30421" spans="1:2" x14ac:dyDescent="0.25">
      <c r="A30421" s="2">
        <v>30416</v>
      </c>
      <c r="B30421" s="3" t="str">
        <f>"201406001713"</f>
        <v>201406001713</v>
      </c>
    </row>
    <row r="30422" spans="1:2" x14ac:dyDescent="0.25">
      <c r="A30422" s="2">
        <v>30417</v>
      </c>
      <c r="B30422" s="3" t="str">
        <f>"201406001733"</f>
        <v>201406001733</v>
      </c>
    </row>
    <row r="30423" spans="1:2" x14ac:dyDescent="0.25">
      <c r="A30423" s="2">
        <v>30418</v>
      </c>
      <c r="B30423" s="3" t="str">
        <f>"201406001752"</f>
        <v>201406001752</v>
      </c>
    </row>
    <row r="30424" spans="1:2" x14ac:dyDescent="0.25">
      <c r="A30424" s="2">
        <v>30419</v>
      </c>
      <c r="B30424" s="3" t="str">
        <f>"201406001841"</f>
        <v>201406001841</v>
      </c>
    </row>
    <row r="30425" spans="1:2" x14ac:dyDescent="0.25">
      <c r="A30425" s="2">
        <v>30420</v>
      </c>
      <c r="B30425" s="3" t="str">
        <f>"201406001849"</f>
        <v>201406001849</v>
      </c>
    </row>
    <row r="30426" spans="1:2" x14ac:dyDescent="0.25">
      <c r="A30426" s="2">
        <v>30421</v>
      </c>
      <c r="B30426" s="3" t="str">
        <f>"201406001876"</f>
        <v>201406001876</v>
      </c>
    </row>
    <row r="30427" spans="1:2" x14ac:dyDescent="0.25">
      <c r="A30427" s="2">
        <v>30422</v>
      </c>
      <c r="B30427" s="3" t="str">
        <f>"201406001885"</f>
        <v>201406001885</v>
      </c>
    </row>
    <row r="30428" spans="1:2" x14ac:dyDescent="0.25">
      <c r="A30428" s="2">
        <v>30423</v>
      </c>
      <c r="B30428" s="3" t="str">
        <f>"201406001900"</f>
        <v>201406001900</v>
      </c>
    </row>
    <row r="30429" spans="1:2" x14ac:dyDescent="0.25">
      <c r="A30429" s="2">
        <v>30424</v>
      </c>
      <c r="B30429" s="3" t="str">
        <f>"201406001909"</f>
        <v>201406001909</v>
      </c>
    </row>
    <row r="30430" spans="1:2" x14ac:dyDescent="0.25">
      <c r="A30430" s="2">
        <v>30425</v>
      </c>
      <c r="B30430" s="3" t="str">
        <f>"201406001918"</f>
        <v>201406001918</v>
      </c>
    </row>
    <row r="30431" spans="1:2" x14ac:dyDescent="0.25">
      <c r="A30431" s="2">
        <v>30426</v>
      </c>
      <c r="B30431" s="3" t="str">
        <f>"201406001950"</f>
        <v>201406001950</v>
      </c>
    </row>
    <row r="30432" spans="1:2" x14ac:dyDescent="0.25">
      <c r="A30432" s="2">
        <v>30427</v>
      </c>
      <c r="B30432" s="3" t="str">
        <f>"201406001960"</f>
        <v>201406001960</v>
      </c>
    </row>
    <row r="30433" spans="1:2" x14ac:dyDescent="0.25">
      <c r="A30433" s="2">
        <v>30428</v>
      </c>
      <c r="B30433" s="3" t="str">
        <f>"201406001964"</f>
        <v>201406001964</v>
      </c>
    </row>
    <row r="30434" spans="1:2" x14ac:dyDescent="0.25">
      <c r="A30434" s="2">
        <v>30429</v>
      </c>
      <c r="B30434" s="3" t="str">
        <f>"201406001986"</f>
        <v>201406001986</v>
      </c>
    </row>
    <row r="30435" spans="1:2" x14ac:dyDescent="0.25">
      <c r="A30435" s="2">
        <v>30430</v>
      </c>
      <c r="B30435" s="3" t="str">
        <f>"201406001987"</f>
        <v>201406001987</v>
      </c>
    </row>
    <row r="30436" spans="1:2" x14ac:dyDescent="0.25">
      <c r="A30436" s="2">
        <v>30431</v>
      </c>
      <c r="B30436" s="3" t="str">
        <f>"201406002044"</f>
        <v>201406002044</v>
      </c>
    </row>
    <row r="30437" spans="1:2" x14ac:dyDescent="0.25">
      <c r="A30437" s="2">
        <v>30432</v>
      </c>
      <c r="B30437" s="3" t="str">
        <f>"201406002048"</f>
        <v>201406002048</v>
      </c>
    </row>
    <row r="30438" spans="1:2" x14ac:dyDescent="0.25">
      <c r="A30438" s="2">
        <v>30433</v>
      </c>
      <c r="B30438" s="3" t="str">
        <f>"201406002071"</f>
        <v>201406002071</v>
      </c>
    </row>
    <row r="30439" spans="1:2" x14ac:dyDescent="0.25">
      <c r="A30439" s="2">
        <v>30434</v>
      </c>
      <c r="B30439" s="3" t="str">
        <f>"201406002072"</f>
        <v>201406002072</v>
      </c>
    </row>
    <row r="30440" spans="1:2" x14ac:dyDescent="0.25">
      <c r="A30440" s="2">
        <v>30435</v>
      </c>
      <c r="B30440" s="3" t="str">
        <f>"201406002081"</f>
        <v>201406002081</v>
      </c>
    </row>
    <row r="30441" spans="1:2" x14ac:dyDescent="0.25">
      <c r="A30441" s="2">
        <v>30436</v>
      </c>
      <c r="B30441" s="3" t="str">
        <f>"201406002090"</f>
        <v>201406002090</v>
      </c>
    </row>
    <row r="30442" spans="1:2" x14ac:dyDescent="0.25">
      <c r="A30442" s="2">
        <v>30437</v>
      </c>
      <c r="B30442" s="3" t="str">
        <f>"201406002142"</f>
        <v>201406002142</v>
      </c>
    </row>
    <row r="30443" spans="1:2" x14ac:dyDescent="0.25">
      <c r="A30443" s="2">
        <v>30438</v>
      </c>
      <c r="B30443" s="3" t="str">
        <f>"201406002148"</f>
        <v>201406002148</v>
      </c>
    </row>
    <row r="30444" spans="1:2" x14ac:dyDescent="0.25">
      <c r="A30444" s="2">
        <v>30439</v>
      </c>
      <c r="B30444" s="3" t="str">
        <f>"201406002171"</f>
        <v>201406002171</v>
      </c>
    </row>
    <row r="30445" spans="1:2" x14ac:dyDescent="0.25">
      <c r="A30445" s="2">
        <v>30440</v>
      </c>
      <c r="B30445" s="3" t="str">
        <f>"201406002188"</f>
        <v>201406002188</v>
      </c>
    </row>
    <row r="30446" spans="1:2" x14ac:dyDescent="0.25">
      <c r="A30446" s="2">
        <v>30441</v>
      </c>
      <c r="B30446" s="3" t="str">
        <f>"201406002206"</f>
        <v>201406002206</v>
      </c>
    </row>
    <row r="30447" spans="1:2" x14ac:dyDescent="0.25">
      <c r="A30447" s="2">
        <v>30442</v>
      </c>
      <c r="B30447" s="3" t="str">
        <f>"201406002214"</f>
        <v>201406002214</v>
      </c>
    </row>
    <row r="30448" spans="1:2" x14ac:dyDescent="0.25">
      <c r="A30448" s="2">
        <v>30443</v>
      </c>
      <c r="B30448" s="3" t="str">
        <f>"201406002228"</f>
        <v>201406002228</v>
      </c>
    </row>
    <row r="30449" spans="1:2" x14ac:dyDescent="0.25">
      <c r="A30449" s="2">
        <v>30444</v>
      </c>
      <c r="B30449" s="3" t="str">
        <f>"201406002240"</f>
        <v>201406002240</v>
      </c>
    </row>
    <row r="30450" spans="1:2" x14ac:dyDescent="0.25">
      <c r="A30450" s="2">
        <v>30445</v>
      </c>
      <c r="B30450" s="3" t="str">
        <f>"201406002244"</f>
        <v>201406002244</v>
      </c>
    </row>
    <row r="30451" spans="1:2" x14ac:dyDescent="0.25">
      <c r="A30451" s="2">
        <v>30446</v>
      </c>
      <c r="B30451" s="3" t="str">
        <f>"201406002256"</f>
        <v>201406002256</v>
      </c>
    </row>
    <row r="30452" spans="1:2" x14ac:dyDescent="0.25">
      <c r="A30452" s="2">
        <v>30447</v>
      </c>
      <c r="B30452" s="3" t="str">
        <f>"201406002266"</f>
        <v>201406002266</v>
      </c>
    </row>
    <row r="30453" spans="1:2" x14ac:dyDescent="0.25">
      <c r="A30453" s="2">
        <v>30448</v>
      </c>
      <c r="B30453" s="3" t="str">
        <f>"201406002274"</f>
        <v>201406002274</v>
      </c>
    </row>
    <row r="30454" spans="1:2" x14ac:dyDescent="0.25">
      <c r="A30454" s="2">
        <v>30449</v>
      </c>
      <c r="B30454" s="3" t="str">
        <f>"201406002279"</f>
        <v>201406002279</v>
      </c>
    </row>
    <row r="30455" spans="1:2" x14ac:dyDescent="0.25">
      <c r="A30455" s="2">
        <v>30450</v>
      </c>
      <c r="B30455" s="3" t="str">
        <f>"201406002286"</f>
        <v>201406002286</v>
      </c>
    </row>
    <row r="30456" spans="1:2" x14ac:dyDescent="0.25">
      <c r="A30456" s="2">
        <v>30451</v>
      </c>
      <c r="B30456" s="3" t="str">
        <f>"201406002303"</f>
        <v>201406002303</v>
      </c>
    </row>
    <row r="30457" spans="1:2" x14ac:dyDescent="0.25">
      <c r="A30457" s="2">
        <v>30452</v>
      </c>
      <c r="B30457" s="3" t="str">
        <f>"201406002304"</f>
        <v>201406002304</v>
      </c>
    </row>
    <row r="30458" spans="1:2" x14ac:dyDescent="0.25">
      <c r="A30458" s="2">
        <v>30453</v>
      </c>
      <c r="B30458" s="3" t="str">
        <f>"201406002320"</f>
        <v>201406002320</v>
      </c>
    </row>
    <row r="30459" spans="1:2" x14ac:dyDescent="0.25">
      <c r="A30459" s="2">
        <v>30454</v>
      </c>
      <c r="B30459" s="3" t="str">
        <f>"201406002323"</f>
        <v>201406002323</v>
      </c>
    </row>
    <row r="30460" spans="1:2" x14ac:dyDescent="0.25">
      <c r="A30460" s="2">
        <v>30455</v>
      </c>
      <c r="B30460" s="3" t="str">
        <f>"201406002328"</f>
        <v>201406002328</v>
      </c>
    </row>
    <row r="30461" spans="1:2" x14ac:dyDescent="0.25">
      <c r="A30461" s="2">
        <v>30456</v>
      </c>
      <c r="B30461" s="3" t="str">
        <f>"201406002330"</f>
        <v>201406002330</v>
      </c>
    </row>
    <row r="30462" spans="1:2" x14ac:dyDescent="0.25">
      <c r="A30462" s="2">
        <v>30457</v>
      </c>
      <c r="B30462" s="3" t="str">
        <f>"201406002345"</f>
        <v>201406002345</v>
      </c>
    </row>
    <row r="30463" spans="1:2" x14ac:dyDescent="0.25">
      <c r="A30463" s="2">
        <v>30458</v>
      </c>
      <c r="B30463" s="3" t="str">
        <f>"201406002353"</f>
        <v>201406002353</v>
      </c>
    </row>
    <row r="30464" spans="1:2" x14ac:dyDescent="0.25">
      <c r="A30464" s="2">
        <v>30459</v>
      </c>
      <c r="B30464" s="3" t="str">
        <f>"201406002357"</f>
        <v>201406002357</v>
      </c>
    </row>
    <row r="30465" spans="1:2" x14ac:dyDescent="0.25">
      <c r="A30465" s="2">
        <v>30460</v>
      </c>
      <c r="B30465" s="3" t="str">
        <f>"201406002366"</f>
        <v>201406002366</v>
      </c>
    </row>
    <row r="30466" spans="1:2" x14ac:dyDescent="0.25">
      <c r="A30466" s="2">
        <v>30461</v>
      </c>
      <c r="B30466" s="3" t="str">
        <f>"201406002390"</f>
        <v>201406002390</v>
      </c>
    </row>
    <row r="30467" spans="1:2" x14ac:dyDescent="0.25">
      <c r="A30467" s="2">
        <v>30462</v>
      </c>
      <c r="B30467" s="3" t="str">
        <f>"201406002446"</f>
        <v>201406002446</v>
      </c>
    </row>
    <row r="30468" spans="1:2" x14ac:dyDescent="0.25">
      <c r="A30468" s="2">
        <v>30463</v>
      </c>
      <c r="B30468" s="3" t="str">
        <f>"201406002466"</f>
        <v>201406002466</v>
      </c>
    </row>
    <row r="30469" spans="1:2" x14ac:dyDescent="0.25">
      <c r="A30469" s="2">
        <v>30464</v>
      </c>
      <c r="B30469" s="3" t="str">
        <f>"201406002467"</f>
        <v>201406002467</v>
      </c>
    </row>
    <row r="30470" spans="1:2" x14ac:dyDescent="0.25">
      <c r="A30470" s="2">
        <v>30465</v>
      </c>
      <c r="B30470" s="3" t="str">
        <f>"201406002497"</f>
        <v>201406002497</v>
      </c>
    </row>
    <row r="30471" spans="1:2" x14ac:dyDescent="0.25">
      <c r="A30471" s="2">
        <v>30466</v>
      </c>
      <c r="B30471" s="3" t="str">
        <f>"201406002528"</f>
        <v>201406002528</v>
      </c>
    </row>
    <row r="30472" spans="1:2" x14ac:dyDescent="0.25">
      <c r="A30472" s="2">
        <v>30467</v>
      </c>
      <c r="B30472" s="3" t="str">
        <f>"201406002535"</f>
        <v>201406002535</v>
      </c>
    </row>
    <row r="30473" spans="1:2" x14ac:dyDescent="0.25">
      <c r="A30473" s="2">
        <v>30468</v>
      </c>
      <c r="B30473" s="3" t="str">
        <f>"201406002541"</f>
        <v>201406002541</v>
      </c>
    </row>
    <row r="30474" spans="1:2" x14ac:dyDescent="0.25">
      <c r="A30474" s="2">
        <v>30469</v>
      </c>
      <c r="B30474" s="3" t="str">
        <f>"201406002547"</f>
        <v>201406002547</v>
      </c>
    </row>
    <row r="30475" spans="1:2" x14ac:dyDescent="0.25">
      <c r="A30475" s="2">
        <v>30470</v>
      </c>
      <c r="B30475" s="3" t="str">
        <f>"201406002556"</f>
        <v>201406002556</v>
      </c>
    </row>
    <row r="30476" spans="1:2" x14ac:dyDescent="0.25">
      <c r="A30476" s="2">
        <v>30471</v>
      </c>
      <c r="B30476" s="3" t="str">
        <f>"201406002557"</f>
        <v>201406002557</v>
      </c>
    </row>
    <row r="30477" spans="1:2" x14ac:dyDescent="0.25">
      <c r="A30477" s="2">
        <v>30472</v>
      </c>
      <c r="B30477" s="3" t="str">
        <f>"201406002560"</f>
        <v>201406002560</v>
      </c>
    </row>
    <row r="30478" spans="1:2" x14ac:dyDescent="0.25">
      <c r="A30478" s="2">
        <v>30473</v>
      </c>
      <c r="B30478" s="3" t="str">
        <f>"201406002593"</f>
        <v>201406002593</v>
      </c>
    </row>
    <row r="30479" spans="1:2" x14ac:dyDescent="0.25">
      <c r="A30479" s="2">
        <v>30474</v>
      </c>
      <c r="B30479" s="3" t="str">
        <f>"201406002600"</f>
        <v>201406002600</v>
      </c>
    </row>
    <row r="30480" spans="1:2" x14ac:dyDescent="0.25">
      <c r="A30480" s="2">
        <v>30475</v>
      </c>
      <c r="B30480" s="3" t="str">
        <f>"201406002607"</f>
        <v>201406002607</v>
      </c>
    </row>
    <row r="30481" spans="1:2" x14ac:dyDescent="0.25">
      <c r="A30481" s="2">
        <v>30476</v>
      </c>
      <c r="B30481" s="3" t="str">
        <f>"201406002633"</f>
        <v>201406002633</v>
      </c>
    </row>
    <row r="30482" spans="1:2" x14ac:dyDescent="0.25">
      <c r="A30482" s="2">
        <v>30477</v>
      </c>
      <c r="B30482" s="3" t="str">
        <f>"201406002674"</f>
        <v>201406002674</v>
      </c>
    </row>
    <row r="30483" spans="1:2" x14ac:dyDescent="0.25">
      <c r="A30483" s="2">
        <v>30478</v>
      </c>
      <c r="B30483" s="3" t="str">
        <f>"201406002680"</f>
        <v>201406002680</v>
      </c>
    </row>
    <row r="30484" spans="1:2" x14ac:dyDescent="0.25">
      <c r="A30484" s="2">
        <v>30479</v>
      </c>
      <c r="B30484" s="3" t="str">
        <f>"201406002685"</f>
        <v>201406002685</v>
      </c>
    </row>
    <row r="30485" spans="1:2" x14ac:dyDescent="0.25">
      <c r="A30485" s="2">
        <v>30480</v>
      </c>
      <c r="B30485" s="3" t="str">
        <f>"201406002689"</f>
        <v>201406002689</v>
      </c>
    </row>
    <row r="30486" spans="1:2" x14ac:dyDescent="0.25">
      <c r="A30486" s="2">
        <v>30481</v>
      </c>
      <c r="B30486" s="3" t="str">
        <f>"201406002704"</f>
        <v>201406002704</v>
      </c>
    </row>
    <row r="30487" spans="1:2" x14ac:dyDescent="0.25">
      <c r="A30487" s="2">
        <v>30482</v>
      </c>
      <c r="B30487" s="3" t="str">
        <f>"201406002758"</f>
        <v>201406002758</v>
      </c>
    </row>
    <row r="30488" spans="1:2" x14ac:dyDescent="0.25">
      <c r="A30488" s="2">
        <v>30483</v>
      </c>
      <c r="B30488" s="3" t="str">
        <f>"201406002760"</f>
        <v>201406002760</v>
      </c>
    </row>
    <row r="30489" spans="1:2" x14ac:dyDescent="0.25">
      <c r="A30489" s="2">
        <v>30484</v>
      </c>
      <c r="B30489" s="3" t="str">
        <f>"201406002766"</f>
        <v>201406002766</v>
      </c>
    </row>
    <row r="30490" spans="1:2" x14ac:dyDescent="0.25">
      <c r="A30490" s="2">
        <v>30485</v>
      </c>
      <c r="B30490" s="3" t="str">
        <f>"201406002768"</f>
        <v>201406002768</v>
      </c>
    </row>
    <row r="30491" spans="1:2" x14ac:dyDescent="0.25">
      <c r="A30491" s="2">
        <v>30486</v>
      </c>
      <c r="B30491" s="3" t="str">
        <f>"201406002774"</f>
        <v>201406002774</v>
      </c>
    </row>
    <row r="30492" spans="1:2" x14ac:dyDescent="0.25">
      <c r="A30492" s="2">
        <v>30487</v>
      </c>
      <c r="B30492" s="3" t="str">
        <f>"201406002785"</f>
        <v>201406002785</v>
      </c>
    </row>
    <row r="30493" spans="1:2" x14ac:dyDescent="0.25">
      <c r="A30493" s="2">
        <v>30488</v>
      </c>
      <c r="B30493" s="3" t="str">
        <f>"201406002797"</f>
        <v>201406002797</v>
      </c>
    </row>
    <row r="30494" spans="1:2" x14ac:dyDescent="0.25">
      <c r="A30494" s="2">
        <v>30489</v>
      </c>
      <c r="B30494" s="3" t="str">
        <f>"201406002798"</f>
        <v>201406002798</v>
      </c>
    </row>
    <row r="30495" spans="1:2" x14ac:dyDescent="0.25">
      <c r="A30495" s="2">
        <v>30490</v>
      </c>
      <c r="B30495" s="3" t="str">
        <f>"201406002812"</f>
        <v>201406002812</v>
      </c>
    </row>
    <row r="30496" spans="1:2" x14ac:dyDescent="0.25">
      <c r="A30496" s="2">
        <v>30491</v>
      </c>
      <c r="B30496" s="3" t="str">
        <f>"201406002833"</f>
        <v>201406002833</v>
      </c>
    </row>
    <row r="30497" spans="1:2" x14ac:dyDescent="0.25">
      <c r="A30497" s="2">
        <v>30492</v>
      </c>
      <c r="B30497" s="3" t="str">
        <f>"201406002844"</f>
        <v>201406002844</v>
      </c>
    </row>
    <row r="30498" spans="1:2" x14ac:dyDescent="0.25">
      <c r="A30498" s="2">
        <v>30493</v>
      </c>
      <c r="B30498" s="3" t="str">
        <f>"201406002874"</f>
        <v>201406002874</v>
      </c>
    </row>
    <row r="30499" spans="1:2" x14ac:dyDescent="0.25">
      <c r="A30499" s="2">
        <v>30494</v>
      </c>
      <c r="B30499" s="3" t="str">
        <f>"201406002935"</f>
        <v>201406002935</v>
      </c>
    </row>
    <row r="30500" spans="1:2" x14ac:dyDescent="0.25">
      <c r="A30500" s="2">
        <v>30495</v>
      </c>
      <c r="B30500" s="3" t="str">
        <f>"201406002984"</f>
        <v>201406002984</v>
      </c>
    </row>
    <row r="30501" spans="1:2" x14ac:dyDescent="0.25">
      <c r="A30501" s="2">
        <v>30496</v>
      </c>
      <c r="B30501" s="3" t="str">
        <f>"201406003020"</f>
        <v>201406003020</v>
      </c>
    </row>
    <row r="30502" spans="1:2" x14ac:dyDescent="0.25">
      <c r="A30502" s="2">
        <v>30497</v>
      </c>
      <c r="B30502" s="3" t="str">
        <f>"201406003030"</f>
        <v>201406003030</v>
      </c>
    </row>
    <row r="30503" spans="1:2" x14ac:dyDescent="0.25">
      <c r="A30503" s="2">
        <v>30498</v>
      </c>
      <c r="B30503" s="3" t="str">
        <f>"201406003045"</f>
        <v>201406003045</v>
      </c>
    </row>
    <row r="30504" spans="1:2" x14ac:dyDescent="0.25">
      <c r="A30504" s="2">
        <v>30499</v>
      </c>
      <c r="B30504" s="3" t="str">
        <f>"201406003049"</f>
        <v>201406003049</v>
      </c>
    </row>
    <row r="30505" spans="1:2" x14ac:dyDescent="0.25">
      <c r="A30505" s="2">
        <v>30500</v>
      </c>
      <c r="B30505" s="3" t="str">
        <f>"201406003054"</f>
        <v>201406003054</v>
      </c>
    </row>
    <row r="30506" spans="1:2" x14ac:dyDescent="0.25">
      <c r="A30506" s="2">
        <v>30501</v>
      </c>
      <c r="B30506" s="3" t="str">
        <f>"201406003084"</f>
        <v>201406003084</v>
      </c>
    </row>
    <row r="30507" spans="1:2" x14ac:dyDescent="0.25">
      <c r="A30507" s="2">
        <v>30502</v>
      </c>
      <c r="B30507" s="3" t="str">
        <f>"201406003109"</f>
        <v>201406003109</v>
      </c>
    </row>
    <row r="30508" spans="1:2" x14ac:dyDescent="0.25">
      <c r="A30508" s="2">
        <v>30503</v>
      </c>
      <c r="B30508" s="3" t="str">
        <f>"201406003112"</f>
        <v>201406003112</v>
      </c>
    </row>
    <row r="30509" spans="1:2" x14ac:dyDescent="0.25">
      <c r="A30509" s="2">
        <v>30504</v>
      </c>
      <c r="B30509" s="3" t="str">
        <f>"201406003149"</f>
        <v>201406003149</v>
      </c>
    </row>
    <row r="30510" spans="1:2" x14ac:dyDescent="0.25">
      <c r="A30510" s="2">
        <v>30505</v>
      </c>
      <c r="B30510" s="3" t="str">
        <f>"201406003173"</f>
        <v>201406003173</v>
      </c>
    </row>
    <row r="30511" spans="1:2" x14ac:dyDescent="0.25">
      <c r="A30511" s="2">
        <v>30506</v>
      </c>
      <c r="B30511" s="3" t="str">
        <f>"201406003197"</f>
        <v>201406003197</v>
      </c>
    </row>
    <row r="30512" spans="1:2" x14ac:dyDescent="0.25">
      <c r="A30512" s="2">
        <v>30507</v>
      </c>
      <c r="B30512" s="3" t="str">
        <f>"201406003205"</f>
        <v>201406003205</v>
      </c>
    </row>
    <row r="30513" spans="1:2" x14ac:dyDescent="0.25">
      <c r="A30513" s="2">
        <v>30508</v>
      </c>
      <c r="B30513" s="3" t="str">
        <f>"201406003221"</f>
        <v>201406003221</v>
      </c>
    </row>
    <row r="30514" spans="1:2" x14ac:dyDescent="0.25">
      <c r="A30514" s="2">
        <v>30509</v>
      </c>
      <c r="B30514" s="3" t="str">
        <f>"201406003237"</f>
        <v>201406003237</v>
      </c>
    </row>
    <row r="30515" spans="1:2" x14ac:dyDescent="0.25">
      <c r="A30515" s="2">
        <v>30510</v>
      </c>
      <c r="B30515" s="3" t="str">
        <f>"201406003244"</f>
        <v>201406003244</v>
      </c>
    </row>
    <row r="30516" spans="1:2" x14ac:dyDescent="0.25">
      <c r="A30516" s="2">
        <v>30511</v>
      </c>
      <c r="B30516" s="3" t="str">
        <f>"201406003245"</f>
        <v>201406003245</v>
      </c>
    </row>
    <row r="30517" spans="1:2" x14ac:dyDescent="0.25">
      <c r="A30517" s="2">
        <v>30512</v>
      </c>
      <c r="B30517" s="3" t="str">
        <f>"201406003255"</f>
        <v>201406003255</v>
      </c>
    </row>
    <row r="30518" spans="1:2" x14ac:dyDescent="0.25">
      <c r="A30518" s="2">
        <v>30513</v>
      </c>
      <c r="B30518" s="3" t="str">
        <f>"201406003296"</f>
        <v>201406003296</v>
      </c>
    </row>
    <row r="30519" spans="1:2" x14ac:dyDescent="0.25">
      <c r="A30519" s="2">
        <v>30514</v>
      </c>
      <c r="B30519" s="3" t="str">
        <f>"201406003350"</f>
        <v>201406003350</v>
      </c>
    </row>
    <row r="30520" spans="1:2" x14ac:dyDescent="0.25">
      <c r="A30520" s="2">
        <v>30515</v>
      </c>
      <c r="B30520" s="3" t="str">
        <f>"201406003355"</f>
        <v>201406003355</v>
      </c>
    </row>
    <row r="30521" spans="1:2" x14ac:dyDescent="0.25">
      <c r="A30521" s="2">
        <v>30516</v>
      </c>
      <c r="B30521" s="3" t="str">
        <f>"201406003375"</f>
        <v>201406003375</v>
      </c>
    </row>
    <row r="30522" spans="1:2" x14ac:dyDescent="0.25">
      <c r="A30522" s="2">
        <v>30517</v>
      </c>
      <c r="B30522" s="3" t="str">
        <f>"201406003387"</f>
        <v>201406003387</v>
      </c>
    </row>
    <row r="30523" spans="1:2" x14ac:dyDescent="0.25">
      <c r="A30523" s="2">
        <v>30518</v>
      </c>
      <c r="B30523" s="3" t="str">
        <f>"201406003397"</f>
        <v>201406003397</v>
      </c>
    </row>
    <row r="30524" spans="1:2" x14ac:dyDescent="0.25">
      <c r="A30524" s="2">
        <v>30519</v>
      </c>
      <c r="B30524" s="3" t="str">
        <f>"201406003415"</f>
        <v>201406003415</v>
      </c>
    </row>
    <row r="30525" spans="1:2" x14ac:dyDescent="0.25">
      <c r="A30525" s="2">
        <v>30520</v>
      </c>
      <c r="B30525" s="3" t="str">
        <f>"201406003425"</f>
        <v>201406003425</v>
      </c>
    </row>
    <row r="30526" spans="1:2" x14ac:dyDescent="0.25">
      <c r="A30526" s="2">
        <v>30521</v>
      </c>
      <c r="B30526" s="3" t="str">
        <f>"201406003430"</f>
        <v>201406003430</v>
      </c>
    </row>
    <row r="30527" spans="1:2" x14ac:dyDescent="0.25">
      <c r="A30527" s="2">
        <v>30522</v>
      </c>
      <c r="B30527" s="3" t="str">
        <f>"201406003443"</f>
        <v>201406003443</v>
      </c>
    </row>
    <row r="30528" spans="1:2" x14ac:dyDescent="0.25">
      <c r="A30528" s="2">
        <v>30523</v>
      </c>
      <c r="B30528" s="3" t="str">
        <f>"201406003492"</f>
        <v>201406003492</v>
      </c>
    </row>
    <row r="30529" spans="1:2" x14ac:dyDescent="0.25">
      <c r="A30529" s="2">
        <v>30524</v>
      </c>
      <c r="B30529" s="3" t="str">
        <f>"201406003508"</f>
        <v>201406003508</v>
      </c>
    </row>
    <row r="30530" spans="1:2" x14ac:dyDescent="0.25">
      <c r="A30530" s="2">
        <v>30525</v>
      </c>
      <c r="B30530" s="3" t="str">
        <f>"201406003524"</f>
        <v>201406003524</v>
      </c>
    </row>
    <row r="30531" spans="1:2" x14ac:dyDescent="0.25">
      <c r="A30531" s="2">
        <v>30526</v>
      </c>
      <c r="B30531" s="3" t="str">
        <f>"201406003555"</f>
        <v>201406003555</v>
      </c>
    </row>
    <row r="30532" spans="1:2" x14ac:dyDescent="0.25">
      <c r="A30532" s="2">
        <v>30527</v>
      </c>
      <c r="B30532" s="3" t="str">
        <f>"201406003591"</f>
        <v>201406003591</v>
      </c>
    </row>
    <row r="30533" spans="1:2" x14ac:dyDescent="0.25">
      <c r="A30533" s="2">
        <v>30528</v>
      </c>
      <c r="B30533" s="3" t="str">
        <f>"201406003604"</f>
        <v>201406003604</v>
      </c>
    </row>
    <row r="30534" spans="1:2" x14ac:dyDescent="0.25">
      <c r="A30534" s="2">
        <v>30529</v>
      </c>
      <c r="B30534" s="3" t="str">
        <f>"201406003614"</f>
        <v>201406003614</v>
      </c>
    </row>
    <row r="30535" spans="1:2" x14ac:dyDescent="0.25">
      <c r="A30535" s="2">
        <v>30530</v>
      </c>
      <c r="B30535" s="3" t="str">
        <f>"201406003654"</f>
        <v>201406003654</v>
      </c>
    </row>
    <row r="30536" spans="1:2" x14ac:dyDescent="0.25">
      <c r="A30536" s="2">
        <v>30531</v>
      </c>
      <c r="B30536" s="3" t="str">
        <f>"201406003705"</f>
        <v>201406003705</v>
      </c>
    </row>
    <row r="30537" spans="1:2" x14ac:dyDescent="0.25">
      <c r="A30537" s="2">
        <v>30532</v>
      </c>
      <c r="B30537" s="3" t="str">
        <f>"201406003713"</f>
        <v>201406003713</v>
      </c>
    </row>
    <row r="30538" spans="1:2" x14ac:dyDescent="0.25">
      <c r="A30538" s="2">
        <v>30533</v>
      </c>
      <c r="B30538" s="3" t="str">
        <f>"201406003744"</f>
        <v>201406003744</v>
      </c>
    </row>
    <row r="30539" spans="1:2" x14ac:dyDescent="0.25">
      <c r="A30539" s="2">
        <v>30534</v>
      </c>
      <c r="B30539" s="3" t="str">
        <f>"201406003757"</f>
        <v>201406003757</v>
      </c>
    </row>
    <row r="30540" spans="1:2" x14ac:dyDescent="0.25">
      <c r="A30540" s="2">
        <v>30535</v>
      </c>
      <c r="B30540" s="3" t="str">
        <f>"201406003812"</f>
        <v>201406003812</v>
      </c>
    </row>
    <row r="30541" spans="1:2" x14ac:dyDescent="0.25">
      <c r="A30541" s="2">
        <v>30536</v>
      </c>
      <c r="B30541" s="3" t="str">
        <f>"201406003814"</f>
        <v>201406003814</v>
      </c>
    </row>
    <row r="30542" spans="1:2" x14ac:dyDescent="0.25">
      <c r="A30542" s="2">
        <v>30537</v>
      </c>
      <c r="B30542" s="3" t="str">
        <f>"201406003818"</f>
        <v>201406003818</v>
      </c>
    </row>
    <row r="30543" spans="1:2" x14ac:dyDescent="0.25">
      <c r="A30543" s="2">
        <v>30538</v>
      </c>
      <c r="B30543" s="3" t="str">
        <f>"201406003833"</f>
        <v>201406003833</v>
      </c>
    </row>
    <row r="30544" spans="1:2" x14ac:dyDescent="0.25">
      <c r="A30544" s="2">
        <v>30539</v>
      </c>
      <c r="B30544" s="3" t="str">
        <f>"201406003875"</f>
        <v>201406003875</v>
      </c>
    </row>
    <row r="30545" spans="1:2" x14ac:dyDescent="0.25">
      <c r="A30545" s="2">
        <v>30540</v>
      </c>
      <c r="B30545" s="3" t="str">
        <f>"201406003892"</f>
        <v>201406003892</v>
      </c>
    </row>
    <row r="30546" spans="1:2" x14ac:dyDescent="0.25">
      <c r="A30546" s="2">
        <v>30541</v>
      </c>
      <c r="B30546" s="3" t="str">
        <f>"201406003895"</f>
        <v>201406003895</v>
      </c>
    </row>
    <row r="30547" spans="1:2" x14ac:dyDescent="0.25">
      <c r="A30547" s="2">
        <v>30542</v>
      </c>
      <c r="B30547" s="3" t="str">
        <f>"201406003902"</f>
        <v>201406003902</v>
      </c>
    </row>
    <row r="30548" spans="1:2" x14ac:dyDescent="0.25">
      <c r="A30548" s="2">
        <v>30543</v>
      </c>
      <c r="B30548" s="3" t="str">
        <f>"201406003910"</f>
        <v>201406003910</v>
      </c>
    </row>
    <row r="30549" spans="1:2" x14ac:dyDescent="0.25">
      <c r="A30549" s="2">
        <v>30544</v>
      </c>
      <c r="B30549" s="3" t="str">
        <f>"201406003939"</f>
        <v>201406003939</v>
      </c>
    </row>
    <row r="30550" spans="1:2" x14ac:dyDescent="0.25">
      <c r="A30550" s="2">
        <v>30545</v>
      </c>
      <c r="B30550" s="3" t="str">
        <f>"201406004012"</f>
        <v>201406004012</v>
      </c>
    </row>
    <row r="30551" spans="1:2" x14ac:dyDescent="0.25">
      <c r="A30551" s="2">
        <v>30546</v>
      </c>
      <c r="B30551" s="3" t="str">
        <f>"201406004053"</f>
        <v>201406004053</v>
      </c>
    </row>
    <row r="30552" spans="1:2" x14ac:dyDescent="0.25">
      <c r="A30552" s="2">
        <v>30547</v>
      </c>
      <c r="B30552" s="3" t="str">
        <f>"201406004087"</f>
        <v>201406004087</v>
      </c>
    </row>
    <row r="30553" spans="1:2" x14ac:dyDescent="0.25">
      <c r="A30553" s="2">
        <v>30548</v>
      </c>
      <c r="B30553" s="3" t="str">
        <f>"201406004091"</f>
        <v>201406004091</v>
      </c>
    </row>
    <row r="30554" spans="1:2" x14ac:dyDescent="0.25">
      <c r="A30554" s="2">
        <v>30549</v>
      </c>
      <c r="B30554" s="3" t="str">
        <f>"201406004123"</f>
        <v>201406004123</v>
      </c>
    </row>
    <row r="30555" spans="1:2" x14ac:dyDescent="0.25">
      <c r="A30555" s="2">
        <v>30550</v>
      </c>
      <c r="B30555" s="3" t="str">
        <f>"201406004132"</f>
        <v>201406004132</v>
      </c>
    </row>
    <row r="30556" spans="1:2" x14ac:dyDescent="0.25">
      <c r="A30556" s="2">
        <v>30551</v>
      </c>
      <c r="B30556" s="3" t="str">
        <f>"201406004137"</f>
        <v>201406004137</v>
      </c>
    </row>
    <row r="30557" spans="1:2" x14ac:dyDescent="0.25">
      <c r="A30557" s="2">
        <v>30552</v>
      </c>
      <c r="B30557" s="3" t="str">
        <f>"201406004156"</f>
        <v>201406004156</v>
      </c>
    </row>
    <row r="30558" spans="1:2" x14ac:dyDescent="0.25">
      <c r="A30558" s="2">
        <v>30553</v>
      </c>
      <c r="B30558" s="3" t="str">
        <f>"201406004212"</f>
        <v>201406004212</v>
      </c>
    </row>
    <row r="30559" spans="1:2" x14ac:dyDescent="0.25">
      <c r="A30559" s="2">
        <v>30554</v>
      </c>
      <c r="B30559" s="3" t="str">
        <f>"201406004216"</f>
        <v>201406004216</v>
      </c>
    </row>
    <row r="30560" spans="1:2" x14ac:dyDescent="0.25">
      <c r="A30560" s="2">
        <v>30555</v>
      </c>
      <c r="B30560" s="3" t="str">
        <f>"201406004221"</f>
        <v>201406004221</v>
      </c>
    </row>
    <row r="30561" spans="1:2" x14ac:dyDescent="0.25">
      <c r="A30561" s="2">
        <v>30556</v>
      </c>
      <c r="B30561" s="3" t="str">
        <f>"201406004342"</f>
        <v>201406004342</v>
      </c>
    </row>
    <row r="30562" spans="1:2" x14ac:dyDescent="0.25">
      <c r="A30562" s="2">
        <v>30557</v>
      </c>
      <c r="B30562" s="3" t="str">
        <f>"201406004367"</f>
        <v>201406004367</v>
      </c>
    </row>
    <row r="30563" spans="1:2" x14ac:dyDescent="0.25">
      <c r="A30563" s="2">
        <v>30558</v>
      </c>
      <c r="B30563" s="3" t="str">
        <f>"201406004389"</f>
        <v>201406004389</v>
      </c>
    </row>
    <row r="30564" spans="1:2" x14ac:dyDescent="0.25">
      <c r="A30564" s="2">
        <v>30559</v>
      </c>
      <c r="B30564" s="3" t="str">
        <f>"201406004418"</f>
        <v>201406004418</v>
      </c>
    </row>
    <row r="30565" spans="1:2" x14ac:dyDescent="0.25">
      <c r="A30565" s="2">
        <v>30560</v>
      </c>
      <c r="B30565" s="3" t="str">
        <f>"201406004433"</f>
        <v>201406004433</v>
      </c>
    </row>
    <row r="30566" spans="1:2" x14ac:dyDescent="0.25">
      <c r="A30566" s="2">
        <v>30561</v>
      </c>
      <c r="B30566" s="3" t="str">
        <f>"201406004447"</f>
        <v>201406004447</v>
      </c>
    </row>
    <row r="30567" spans="1:2" x14ac:dyDescent="0.25">
      <c r="A30567" s="2">
        <v>30562</v>
      </c>
      <c r="B30567" s="3" t="str">
        <f>"201406004458"</f>
        <v>201406004458</v>
      </c>
    </row>
    <row r="30568" spans="1:2" x14ac:dyDescent="0.25">
      <c r="A30568" s="2">
        <v>30563</v>
      </c>
      <c r="B30568" s="3" t="str">
        <f>"201406004459"</f>
        <v>201406004459</v>
      </c>
    </row>
    <row r="30569" spans="1:2" x14ac:dyDescent="0.25">
      <c r="A30569" s="2">
        <v>30564</v>
      </c>
      <c r="B30569" s="3" t="str">
        <f>"201406004460"</f>
        <v>201406004460</v>
      </c>
    </row>
    <row r="30570" spans="1:2" x14ac:dyDescent="0.25">
      <c r="A30570" s="2">
        <v>30565</v>
      </c>
      <c r="B30570" s="3" t="str">
        <f>"201406004463"</f>
        <v>201406004463</v>
      </c>
    </row>
    <row r="30571" spans="1:2" x14ac:dyDescent="0.25">
      <c r="A30571" s="2">
        <v>30566</v>
      </c>
      <c r="B30571" s="3" t="str">
        <f>"201406004498"</f>
        <v>201406004498</v>
      </c>
    </row>
    <row r="30572" spans="1:2" x14ac:dyDescent="0.25">
      <c r="A30572" s="2">
        <v>30567</v>
      </c>
      <c r="B30572" s="3" t="str">
        <f>"201406004514"</f>
        <v>201406004514</v>
      </c>
    </row>
    <row r="30573" spans="1:2" x14ac:dyDescent="0.25">
      <c r="A30573" s="2">
        <v>30568</v>
      </c>
      <c r="B30573" s="3" t="str">
        <f>"201406004520"</f>
        <v>201406004520</v>
      </c>
    </row>
    <row r="30574" spans="1:2" x14ac:dyDescent="0.25">
      <c r="A30574" s="2">
        <v>30569</v>
      </c>
      <c r="B30574" s="3" t="str">
        <f>"201406004547"</f>
        <v>201406004547</v>
      </c>
    </row>
    <row r="30575" spans="1:2" x14ac:dyDescent="0.25">
      <c r="A30575" s="2">
        <v>30570</v>
      </c>
      <c r="B30575" s="3" t="str">
        <f>"201406004549"</f>
        <v>201406004549</v>
      </c>
    </row>
    <row r="30576" spans="1:2" x14ac:dyDescent="0.25">
      <c r="A30576" s="2">
        <v>30571</v>
      </c>
      <c r="B30576" s="3" t="str">
        <f>"201406004553"</f>
        <v>201406004553</v>
      </c>
    </row>
    <row r="30577" spans="1:2" x14ac:dyDescent="0.25">
      <c r="A30577" s="2">
        <v>30572</v>
      </c>
      <c r="B30577" s="3" t="str">
        <f>"201406004627"</f>
        <v>201406004627</v>
      </c>
    </row>
    <row r="30578" spans="1:2" x14ac:dyDescent="0.25">
      <c r="A30578" s="2">
        <v>30573</v>
      </c>
      <c r="B30578" s="3" t="str">
        <f>"201406004641"</f>
        <v>201406004641</v>
      </c>
    </row>
    <row r="30579" spans="1:2" x14ac:dyDescent="0.25">
      <c r="A30579" s="2">
        <v>30574</v>
      </c>
      <c r="B30579" s="3" t="str">
        <f>"201406004685"</f>
        <v>201406004685</v>
      </c>
    </row>
    <row r="30580" spans="1:2" x14ac:dyDescent="0.25">
      <c r="A30580" s="2">
        <v>30575</v>
      </c>
      <c r="B30580" s="3" t="str">
        <f>"201406004716"</f>
        <v>201406004716</v>
      </c>
    </row>
    <row r="30581" spans="1:2" x14ac:dyDescent="0.25">
      <c r="A30581" s="2">
        <v>30576</v>
      </c>
      <c r="B30581" s="3" t="str">
        <f>"201406004717"</f>
        <v>201406004717</v>
      </c>
    </row>
    <row r="30582" spans="1:2" x14ac:dyDescent="0.25">
      <c r="A30582" s="2">
        <v>30577</v>
      </c>
      <c r="B30582" s="3" t="str">
        <f>"201406004749"</f>
        <v>201406004749</v>
      </c>
    </row>
    <row r="30583" spans="1:2" x14ac:dyDescent="0.25">
      <c r="A30583" s="2">
        <v>30578</v>
      </c>
      <c r="B30583" s="3" t="str">
        <f>"201406004818"</f>
        <v>201406004818</v>
      </c>
    </row>
    <row r="30584" spans="1:2" x14ac:dyDescent="0.25">
      <c r="A30584" s="2">
        <v>30579</v>
      </c>
      <c r="B30584" s="3" t="str">
        <f>"201406004821"</f>
        <v>201406004821</v>
      </c>
    </row>
    <row r="30585" spans="1:2" x14ac:dyDescent="0.25">
      <c r="A30585" s="2">
        <v>30580</v>
      </c>
      <c r="B30585" s="3" t="str">
        <f>"201406004885"</f>
        <v>201406004885</v>
      </c>
    </row>
    <row r="30586" spans="1:2" x14ac:dyDescent="0.25">
      <c r="A30586" s="2">
        <v>30581</v>
      </c>
      <c r="B30586" s="3" t="str">
        <f>"201406004886"</f>
        <v>201406004886</v>
      </c>
    </row>
    <row r="30587" spans="1:2" x14ac:dyDescent="0.25">
      <c r="A30587" s="2">
        <v>30582</v>
      </c>
      <c r="B30587" s="3" t="str">
        <f>"201406004921"</f>
        <v>201406004921</v>
      </c>
    </row>
    <row r="30588" spans="1:2" x14ac:dyDescent="0.25">
      <c r="A30588" s="2">
        <v>30583</v>
      </c>
      <c r="B30588" s="3" t="str">
        <f>"201406005043"</f>
        <v>201406005043</v>
      </c>
    </row>
    <row r="30589" spans="1:2" x14ac:dyDescent="0.25">
      <c r="A30589" s="2">
        <v>30584</v>
      </c>
      <c r="B30589" s="3" t="str">
        <f>"201406005086"</f>
        <v>201406005086</v>
      </c>
    </row>
    <row r="30590" spans="1:2" x14ac:dyDescent="0.25">
      <c r="A30590" s="2">
        <v>30585</v>
      </c>
      <c r="B30590" s="3" t="str">
        <f>"201406005090"</f>
        <v>201406005090</v>
      </c>
    </row>
    <row r="30591" spans="1:2" x14ac:dyDescent="0.25">
      <c r="A30591" s="2">
        <v>30586</v>
      </c>
      <c r="B30591" s="3" t="str">
        <f>"201406005134"</f>
        <v>201406005134</v>
      </c>
    </row>
    <row r="30592" spans="1:2" x14ac:dyDescent="0.25">
      <c r="A30592" s="2">
        <v>30587</v>
      </c>
      <c r="B30592" s="3" t="str">
        <f>"201406005140"</f>
        <v>201406005140</v>
      </c>
    </row>
    <row r="30593" spans="1:2" x14ac:dyDescent="0.25">
      <c r="A30593" s="2">
        <v>30588</v>
      </c>
      <c r="B30593" s="3" t="str">
        <f>"201406005141"</f>
        <v>201406005141</v>
      </c>
    </row>
    <row r="30594" spans="1:2" x14ac:dyDescent="0.25">
      <c r="A30594" s="2">
        <v>30589</v>
      </c>
      <c r="B30594" s="3" t="str">
        <f>"201406005153"</f>
        <v>201406005153</v>
      </c>
    </row>
    <row r="30595" spans="1:2" x14ac:dyDescent="0.25">
      <c r="A30595" s="2">
        <v>30590</v>
      </c>
      <c r="B30595" s="3" t="str">
        <f>"201406005160"</f>
        <v>201406005160</v>
      </c>
    </row>
    <row r="30596" spans="1:2" x14ac:dyDescent="0.25">
      <c r="A30596" s="2">
        <v>30591</v>
      </c>
      <c r="B30596" s="3" t="str">
        <f>"201406005161"</f>
        <v>201406005161</v>
      </c>
    </row>
    <row r="30597" spans="1:2" x14ac:dyDescent="0.25">
      <c r="A30597" s="2">
        <v>30592</v>
      </c>
      <c r="B30597" s="3" t="str">
        <f>"201406005199"</f>
        <v>201406005199</v>
      </c>
    </row>
    <row r="30598" spans="1:2" x14ac:dyDescent="0.25">
      <c r="A30598" s="2">
        <v>30593</v>
      </c>
      <c r="B30598" s="3" t="str">
        <f>"201406005209"</f>
        <v>201406005209</v>
      </c>
    </row>
    <row r="30599" spans="1:2" x14ac:dyDescent="0.25">
      <c r="A30599" s="2">
        <v>30594</v>
      </c>
      <c r="B30599" s="3" t="str">
        <f>"201406005212"</f>
        <v>201406005212</v>
      </c>
    </row>
    <row r="30600" spans="1:2" x14ac:dyDescent="0.25">
      <c r="A30600" s="2">
        <v>30595</v>
      </c>
      <c r="B30600" s="3" t="str">
        <f>"201406005264"</f>
        <v>201406005264</v>
      </c>
    </row>
    <row r="30601" spans="1:2" x14ac:dyDescent="0.25">
      <c r="A30601" s="2">
        <v>30596</v>
      </c>
      <c r="B30601" s="3" t="str">
        <f>"201406005288"</f>
        <v>201406005288</v>
      </c>
    </row>
    <row r="30602" spans="1:2" x14ac:dyDescent="0.25">
      <c r="A30602" s="2">
        <v>30597</v>
      </c>
      <c r="B30602" s="3" t="str">
        <f>"201406005290"</f>
        <v>201406005290</v>
      </c>
    </row>
    <row r="30603" spans="1:2" x14ac:dyDescent="0.25">
      <c r="A30603" s="2">
        <v>30598</v>
      </c>
      <c r="B30603" s="3" t="str">
        <f>"201406005338"</f>
        <v>201406005338</v>
      </c>
    </row>
    <row r="30604" spans="1:2" x14ac:dyDescent="0.25">
      <c r="A30604" s="2">
        <v>30599</v>
      </c>
      <c r="B30604" s="3" t="str">
        <f>"201406005343"</f>
        <v>201406005343</v>
      </c>
    </row>
    <row r="30605" spans="1:2" x14ac:dyDescent="0.25">
      <c r="A30605" s="2">
        <v>30600</v>
      </c>
      <c r="B30605" s="3" t="str">
        <f>"201406005352"</f>
        <v>201406005352</v>
      </c>
    </row>
    <row r="30606" spans="1:2" x14ac:dyDescent="0.25">
      <c r="A30606" s="2">
        <v>30601</v>
      </c>
      <c r="B30606" s="3" t="str">
        <f>"201406005358"</f>
        <v>201406005358</v>
      </c>
    </row>
    <row r="30607" spans="1:2" x14ac:dyDescent="0.25">
      <c r="A30607" s="2">
        <v>30602</v>
      </c>
      <c r="B30607" s="3" t="str">
        <f>"201406005412"</f>
        <v>201406005412</v>
      </c>
    </row>
    <row r="30608" spans="1:2" x14ac:dyDescent="0.25">
      <c r="A30608" s="2">
        <v>30603</v>
      </c>
      <c r="B30608" s="3" t="str">
        <f>"201406005446"</f>
        <v>201406005446</v>
      </c>
    </row>
    <row r="30609" spans="1:2" x14ac:dyDescent="0.25">
      <c r="A30609" s="2">
        <v>30604</v>
      </c>
      <c r="B30609" s="3" t="str">
        <f>"201406005452"</f>
        <v>201406005452</v>
      </c>
    </row>
    <row r="30610" spans="1:2" x14ac:dyDescent="0.25">
      <c r="A30610" s="2">
        <v>30605</v>
      </c>
      <c r="B30610" s="3" t="str">
        <f>"201406005482"</f>
        <v>201406005482</v>
      </c>
    </row>
    <row r="30611" spans="1:2" x14ac:dyDescent="0.25">
      <c r="A30611" s="2">
        <v>30606</v>
      </c>
      <c r="B30611" s="3" t="str">
        <f>"201406005488"</f>
        <v>201406005488</v>
      </c>
    </row>
    <row r="30612" spans="1:2" x14ac:dyDescent="0.25">
      <c r="A30612" s="2">
        <v>30607</v>
      </c>
      <c r="B30612" s="3" t="str">
        <f>"201406005501"</f>
        <v>201406005501</v>
      </c>
    </row>
    <row r="30613" spans="1:2" x14ac:dyDescent="0.25">
      <c r="A30613" s="2">
        <v>30608</v>
      </c>
      <c r="B30613" s="3" t="str">
        <f>"201406005503"</f>
        <v>201406005503</v>
      </c>
    </row>
    <row r="30614" spans="1:2" x14ac:dyDescent="0.25">
      <c r="A30614" s="2">
        <v>30609</v>
      </c>
      <c r="B30614" s="3" t="str">
        <f>"201406005530"</f>
        <v>201406005530</v>
      </c>
    </row>
    <row r="30615" spans="1:2" x14ac:dyDescent="0.25">
      <c r="A30615" s="2">
        <v>30610</v>
      </c>
      <c r="B30615" s="3" t="str">
        <f>"201406005533"</f>
        <v>201406005533</v>
      </c>
    </row>
    <row r="30616" spans="1:2" x14ac:dyDescent="0.25">
      <c r="A30616" s="2">
        <v>30611</v>
      </c>
      <c r="B30616" s="3" t="str">
        <f>"201406005535"</f>
        <v>201406005535</v>
      </c>
    </row>
    <row r="30617" spans="1:2" x14ac:dyDescent="0.25">
      <c r="A30617" s="2">
        <v>30612</v>
      </c>
      <c r="B30617" s="3" t="str">
        <f>"201406005548"</f>
        <v>201406005548</v>
      </c>
    </row>
    <row r="30618" spans="1:2" x14ac:dyDescent="0.25">
      <c r="A30618" s="2">
        <v>30613</v>
      </c>
      <c r="B30618" s="3" t="str">
        <f>"201406005557"</f>
        <v>201406005557</v>
      </c>
    </row>
    <row r="30619" spans="1:2" x14ac:dyDescent="0.25">
      <c r="A30619" s="2">
        <v>30614</v>
      </c>
      <c r="B30619" s="3" t="str">
        <f>"201406005567"</f>
        <v>201406005567</v>
      </c>
    </row>
    <row r="30620" spans="1:2" x14ac:dyDescent="0.25">
      <c r="A30620" s="2">
        <v>30615</v>
      </c>
      <c r="B30620" s="3" t="str">
        <f>"201406005569"</f>
        <v>201406005569</v>
      </c>
    </row>
    <row r="30621" spans="1:2" x14ac:dyDescent="0.25">
      <c r="A30621" s="2">
        <v>30616</v>
      </c>
      <c r="B30621" s="3" t="str">
        <f>"201406005597"</f>
        <v>201406005597</v>
      </c>
    </row>
    <row r="30622" spans="1:2" x14ac:dyDescent="0.25">
      <c r="A30622" s="2">
        <v>30617</v>
      </c>
      <c r="B30622" s="3" t="str">
        <f>"201406005613"</f>
        <v>201406005613</v>
      </c>
    </row>
    <row r="30623" spans="1:2" x14ac:dyDescent="0.25">
      <c r="A30623" s="2">
        <v>30618</v>
      </c>
      <c r="B30623" s="3" t="str">
        <f>"201406005636"</f>
        <v>201406005636</v>
      </c>
    </row>
    <row r="30624" spans="1:2" x14ac:dyDescent="0.25">
      <c r="A30624" s="2">
        <v>30619</v>
      </c>
      <c r="B30624" s="3" t="str">
        <f>"201406005650"</f>
        <v>201406005650</v>
      </c>
    </row>
    <row r="30625" spans="1:2" x14ac:dyDescent="0.25">
      <c r="A30625" s="2">
        <v>30620</v>
      </c>
      <c r="B30625" s="3" t="str">
        <f>"201406005675"</f>
        <v>201406005675</v>
      </c>
    </row>
    <row r="30626" spans="1:2" x14ac:dyDescent="0.25">
      <c r="A30626" s="2">
        <v>30621</v>
      </c>
      <c r="B30626" s="3" t="str">
        <f>"201406005676"</f>
        <v>201406005676</v>
      </c>
    </row>
    <row r="30627" spans="1:2" x14ac:dyDescent="0.25">
      <c r="A30627" s="2">
        <v>30622</v>
      </c>
      <c r="B30627" s="3" t="str">
        <f>"201406005686"</f>
        <v>201406005686</v>
      </c>
    </row>
    <row r="30628" spans="1:2" x14ac:dyDescent="0.25">
      <c r="A30628" s="2">
        <v>30623</v>
      </c>
      <c r="B30628" s="3" t="str">
        <f>"201406005712"</f>
        <v>201406005712</v>
      </c>
    </row>
    <row r="30629" spans="1:2" x14ac:dyDescent="0.25">
      <c r="A30629" s="2">
        <v>30624</v>
      </c>
      <c r="B30629" s="3" t="str">
        <f>"201406005722"</f>
        <v>201406005722</v>
      </c>
    </row>
    <row r="30630" spans="1:2" x14ac:dyDescent="0.25">
      <c r="A30630" s="2">
        <v>30625</v>
      </c>
      <c r="B30630" s="3" t="str">
        <f>"201406005723"</f>
        <v>201406005723</v>
      </c>
    </row>
    <row r="30631" spans="1:2" x14ac:dyDescent="0.25">
      <c r="A30631" s="2">
        <v>30626</v>
      </c>
      <c r="B30631" s="3" t="str">
        <f>"201406005740"</f>
        <v>201406005740</v>
      </c>
    </row>
    <row r="30632" spans="1:2" x14ac:dyDescent="0.25">
      <c r="A30632" s="2">
        <v>30627</v>
      </c>
      <c r="B30632" s="3" t="str">
        <f>"201406005742"</f>
        <v>201406005742</v>
      </c>
    </row>
    <row r="30633" spans="1:2" x14ac:dyDescent="0.25">
      <c r="A30633" s="2">
        <v>30628</v>
      </c>
      <c r="B30633" s="3" t="str">
        <f>"201406005777"</f>
        <v>201406005777</v>
      </c>
    </row>
    <row r="30634" spans="1:2" x14ac:dyDescent="0.25">
      <c r="A30634" s="2">
        <v>30629</v>
      </c>
      <c r="B30634" s="3" t="str">
        <f>"201406005780"</f>
        <v>201406005780</v>
      </c>
    </row>
    <row r="30635" spans="1:2" x14ac:dyDescent="0.25">
      <c r="A30635" s="2">
        <v>30630</v>
      </c>
      <c r="B30635" s="3" t="str">
        <f>"201406005782"</f>
        <v>201406005782</v>
      </c>
    </row>
    <row r="30636" spans="1:2" x14ac:dyDescent="0.25">
      <c r="A30636" s="2">
        <v>30631</v>
      </c>
      <c r="B30636" s="3" t="str">
        <f>"201406005784"</f>
        <v>201406005784</v>
      </c>
    </row>
    <row r="30637" spans="1:2" x14ac:dyDescent="0.25">
      <c r="A30637" s="2">
        <v>30632</v>
      </c>
      <c r="B30637" s="3" t="str">
        <f>"201406005790"</f>
        <v>201406005790</v>
      </c>
    </row>
    <row r="30638" spans="1:2" x14ac:dyDescent="0.25">
      <c r="A30638" s="2">
        <v>30633</v>
      </c>
      <c r="B30638" s="3" t="str">
        <f>"201406005805"</f>
        <v>201406005805</v>
      </c>
    </row>
    <row r="30639" spans="1:2" x14ac:dyDescent="0.25">
      <c r="A30639" s="2">
        <v>30634</v>
      </c>
      <c r="B30639" s="3" t="str">
        <f>"201406005824"</f>
        <v>201406005824</v>
      </c>
    </row>
    <row r="30640" spans="1:2" x14ac:dyDescent="0.25">
      <c r="A30640" s="2">
        <v>30635</v>
      </c>
      <c r="B30640" s="3" t="str">
        <f>"201406005828"</f>
        <v>201406005828</v>
      </c>
    </row>
    <row r="30641" spans="1:2" x14ac:dyDescent="0.25">
      <c r="A30641" s="2">
        <v>30636</v>
      </c>
      <c r="B30641" s="3" t="str">
        <f>"201406005888"</f>
        <v>201406005888</v>
      </c>
    </row>
    <row r="30642" spans="1:2" x14ac:dyDescent="0.25">
      <c r="A30642" s="2">
        <v>30637</v>
      </c>
      <c r="B30642" s="3" t="str">
        <f>"201406005905"</f>
        <v>201406005905</v>
      </c>
    </row>
    <row r="30643" spans="1:2" x14ac:dyDescent="0.25">
      <c r="A30643" s="2">
        <v>30638</v>
      </c>
      <c r="B30643" s="3" t="str">
        <f>"201406005925"</f>
        <v>201406005925</v>
      </c>
    </row>
    <row r="30644" spans="1:2" x14ac:dyDescent="0.25">
      <c r="A30644" s="2">
        <v>30639</v>
      </c>
      <c r="B30644" s="3" t="str">
        <f>"201406005926"</f>
        <v>201406005926</v>
      </c>
    </row>
    <row r="30645" spans="1:2" x14ac:dyDescent="0.25">
      <c r="A30645" s="2">
        <v>30640</v>
      </c>
      <c r="B30645" s="3" t="str">
        <f>"201406005963"</f>
        <v>201406005963</v>
      </c>
    </row>
    <row r="30646" spans="1:2" x14ac:dyDescent="0.25">
      <c r="A30646" s="2">
        <v>30641</v>
      </c>
      <c r="B30646" s="3" t="str">
        <f>"201406005969"</f>
        <v>201406005969</v>
      </c>
    </row>
    <row r="30647" spans="1:2" x14ac:dyDescent="0.25">
      <c r="A30647" s="2">
        <v>30642</v>
      </c>
      <c r="B30647" s="3" t="str">
        <f>"201406005981"</f>
        <v>201406005981</v>
      </c>
    </row>
    <row r="30648" spans="1:2" x14ac:dyDescent="0.25">
      <c r="A30648" s="2">
        <v>30643</v>
      </c>
      <c r="B30648" s="3" t="str">
        <f>"201406005995"</f>
        <v>201406005995</v>
      </c>
    </row>
    <row r="30649" spans="1:2" x14ac:dyDescent="0.25">
      <c r="A30649" s="2">
        <v>30644</v>
      </c>
      <c r="B30649" s="3" t="str">
        <f>"201406006000"</f>
        <v>201406006000</v>
      </c>
    </row>
    <row r="30650" spans="1:2" x14ac:dyDescent="0.25">
      <c r="A30650" s="2">
        <v>30645</v>
      </c>
      <c r="B30650" s="3" t="str">
        <f>"201406006003"</f>
        <v>201406006003</v>
      </c>
    </row>
    <row r="30651" spans="1:2" x14ac:dyDescent="0.25">
      <c r="A30651" s="2">
        <v>30646</v>
      </c>
      <c r="B30651" s="3" t="str">
        <f>"201406006022"</f>
        <v>201406006022</v>
      </c>
    </row>
    <row r="30652" spans="1:2" x14ac:dyDescent="0.25">
      <c r="A30652" s="2">
        <v>30647</v>
      </c>
      <c r="B30652" s="3" t="str">
        <f>"201406006070"</f>
        <v>201406006070</v>
      </c>
    </row>
    <row r="30653" spans="1:2" x14ac:dyDescent="0.25">
      <c r="A30653" s="2">
        <v>30648</v>
      </c>
      <c r="B30653" s="3" t="str">
        <f>"201406006085"</f>
        <v>201406006085</v>
      </c>
    </row>
    <row r="30654" spans="1:2" x14ac:dyDescent="0.25">
      <c r="A30654" s="2">
        <v>30649</v>
      </c>
      <c r="B30654" s="3" t="str">
        <f>"201406006136"</f>
        <v>201406006136</v>
      </c>
    </row>
    <row r="30655" spans="1:2" x14ac:dyDescent="0.25">
      <c r="A30655" s="2">
        <v>30650</v>
      </c>
      <c r="B30655" s="3" t="str">
        <f>"201406006142"</f>
        <v>201406006142</v>
      </c>
    </row>
    <row r="30656" spans="1:2" x14ac:dyDescent="0.25">
      <c r="A30656" s="2">
        <v>30651</v>
      </c>
      <c r="B30656" s="3" t="str">
        <f>"201406006162"</f>
        <v>201406006162</v>
      </c>
    </row>
    <row r="30657" spans="1:2" x14ac:dyDescent="0.25">
      <c r="A30657" s="2">
        <v>30652</v>
      </c>
      <c r="B30657" s="3" t="str">
        <f>"201406006165"</f>
        <v>201406006165</v>
      </c>
    </row>
    <row r="30658" spans="1:2" x14ac:dyDescent="0.25">
      <c r="A30658" s="2">
        <v>30653</v>
      </c>
      <c r="B30658" s="3" t="str">
        <f>"201406006183"</f>
        <v>201406006183</v>
      </c>
    </row>
    <row r="30659" spans="1:2" x14ac:dyDescent="0.25">
      <c r="A30659" s="2">
        <v>30654</v>
      </c>
      <c r="B30659" s="3" t="str">
        <f>"201406006238"</f>
        <v>201406006238</v>
      </c>
    </row>
    <row r="30660" spans="1:2" x14ac:dyDescent="0.25">
      <c r="A30660" s="2">
        <v>30655</v>
      </c>
      <c r="B30660" s="3" t="str">
        <f>"201406006269"</f>
        <v>201406006269</v>
      </c>
    </row>
    <row r="30661" spans="1:2" x14ac:dyDescent="0.25">
      <c r="A30661" s="2">
        <v>30656</v>
      </c>
      <c r="B30661" s="3" t="str">
        <f>"201406006278"</f>
        <v>201406006278</v>
      </c>
    </row>
    <row r="30662" spans="1:2" x14ac:dyDescent="0.25">
      <c r="A30662" s="2">
        <v>30657</v>
      </c>
      <c r="B30662" s="3" t="str">
        <f>"201406006283"</f>
        <v>201406006283</v>
      </c>
    </row>
    <row r="30663" spans="1:2" x14ac:dyDescent="0.25">
      <c r="A30663" s="2">
        <v>30658</v>
      </c>
      <c r="B30663" s="3" t="str">
        <f>"201406006337"</f>
        <v>201406006337</v>
      </c>
    </row>
    <row r="30664" spans="1:2" x14ac:dyDescent="0.25">
      <c r="A30664" s="2">
        <v>30659</v>
      </c>
      <c r="B30664" s="3" t="str">
        <f>"201406006342"</f>
        <v>201406006342</v>
      </c>
    </row>
    <row r="30665" spans="1:2" x14ac:dyDescent="0.25">
      <c r="A30665" s="2">
        <v>30660</v>
      </c>
      <c r="B30665" s="3" t="str">
        <f>"201406006380"</f>
        <v>201406006380</v>
      </c>
    </row>
    <row r="30666" spans="1:2" x14ac:dyDescent="0.25">
      <c r="A30666" s="2">
        <v>30661</v>
      </c>
      <c r="B30666" s="3" t="str">
        <f>"201406006390"</f>
        <v>201406006390</v>
      </c>
    </row>
    <row r="30667" spans="1:2" x14ac:dyDescent="0.25">
      <c r="A30667" s="2">
        <v>30662</v>
      </c>
      <c r="B30667" s="3" t="str">
        <f>"201406006416"</f>
        <v>201406006416</v>
      </c>
    </row>
    <row r="30668" spans="1:2" x14ac:dyDescent="0.25">
      <c r="A30668" s="2">
        <v>30663</v>
      </c>
      <c r="B30668" s="3" t="str">
        <f>"201406006432"</f>
        <v>201406006432</v>
      </c>
    </row>
    <row r="30669" spans="1:2" x14ac:dyDescent="0.25">
      <c r="A30669" s="2">
        <v>30664</v>
      </c>
      <c r="B30669" s="3" t="str">
        <f>"201406006467"</f>
        <v>201406006467</v>
      </c>
    </row>
    <row r="30670" spans="1:2" x14ac:dyDescent="0.25">
      <c r="A30670" s="2">
        <v>30665</v>
      </c>
      <c r="B30670" s="3" t="str">
        <f>"201406006471"</f>
        <v>201406006471</v>
      </c>
    </row>
    <row r="30671" spans="1:2" x14ac:dyDescent="0.25">
      <c r="A30671" s="2">
        <v>30666</v>
      </c>
      <c r="B30671" s="3" t="str">
        <f>"201406006481"</f>
        <v>201406006481</v>
      </c>
    </row>
    <row r="30672" spans="1:2" x14ac:dyDescent="0.25">
      <c r="A30672" s="2">
        <v>30667</v>
      </c>
      <c r="B30672" s="3" t="str">
        <f>"201406006489"</f>
        <v>201406006489</v>
      </c>
    </row>
    <row r="30673" spans="1:2" x14ac:dyDescent="0.25">
      <c r="A30673" s="2">
        <v>30668</v>
      </c>
      <c r="B30673" s="3" t="str">
        <f>"201406006521"</f>
        <v>201406006521</v>
      </c>
    </row>
    <row r="30674" spans="1:2" x14ac:dyDescent="0.25">
      <c r="A30674" s="2">
        <v>30669</v>
      </c>
      <c r="B30674" s="3" t="str">
        <f>"201406006540"</f>
        <v>201406006540</v>
      </c>
    </row>
    <row r="30675" spans="1:2" x14ac:dyDescent="0.25">
      <c r="A30675" s="2">
        <v>30670</v>
      </c>
      <c r="B30675" s="3" t="str">
        <f>"201406006618"</f>
        <v>201406006618</v>
      </c>
    </row>
    <row r="30676" spans="1:2" x14ac:dyDescent="0.25">
      <c r="A30676" s="2">
        <v>30671</v>
      </c>
      <c r="B30676" s="3" t="str">
        <f>"201406006643"</f>
        <v>201406006643</v>
      </c>
    </row>
    <row r="30677" spans="1:2" x14ac:dyDescent="0.25">
      <c r="A30677" s="2">
        <v>30672</v>
      </c>
      <c r="B30677" s="3" t="str">
        <f>"201406006669"</f>
        <v>201406006669</v>
      </c>
    </row>
    <row r="30678" spans="1:2" x14ac:dyDescent="0.25">
      <c r="A30678" s="2">
        <v>30673</v>
      </c>
      <c r="B30678" s="3" t="str">
        <f>"201406006675"</f>
        <v>201406006675</v>
      </c>
    </row>
    <row r="30679" spans="1:2" x14ac:dyDescent="0.25">
      <c r="A30679" s="2">
        <v>30674</v>
      </c>
      <c r="B30679" s="3" t="str">
        <f>"201406006762"</f>
        <v>201406006762</v>
      </c>
    </row>
    <row r="30680" spans="1:2" x14ac:dyDescent="0.25">
      <c r="A30680" s="2">
        <v>30675</v>
      </c>
      <c r="B30680" s="3" t="str">
        <f>"201406006860"</f>
        <v>201406006860</v>
      </c>
    </row>
    <row r="30681" spans="1:2" x14ac:dyDescent="0.25">
      <c r="A30681" s="2">
        <v>30676</v>
      </c>
      <c r="B30681" s="3" t="str">
        <f>"201406006862"</f>
        <v>201406006862</v>
      </c>
    </row>
    <row r="30682" spans="1:2" x14ac:dyDescent="0.25">
      <c r="A30682" s="2">
        <v>30677</v>
      </c>
      <c r="B30682" s="3" t="str">
        <f>"201406006915"</f>
        <v>201406006915</v>
      </c>
    </row>
    <row r="30683" spans="1:2" x14ac:dyDescent="0.25">
      <c r="A30683" s="2">
        <v>30678</v>
      </c>
      <c r="B30683" s="3" t="str">
        <f>"201406006967"</f>
        <v>201406006967</v>
      </c>
    </row>
    <row r="30684" spans="1:2" x14ac:dyDescent="0.25">
      <c r="A30684" s="2">
        <v>30679</v>
      </c>
      <c r="B30684" s="3" t="str">
        <f>"201406006992"</f>
        <v>201406006992</v>
      </c>
    </row>
    <row r="30685" spans="1:2" x14ac:dyDescent="0.25">
      <c r="A30685" s="2">
        <v>30680</v>
      </c>
      <c r="B30685" s="3" t="str">
        <f>"201406007000"</f>
        <v>201406007000</v>
      </c>
    </row>
    <row r="30686" spans="1:2" x14ac:dyDescent="0.25">
      <c r="A30686" s="2">
        <v>30681</v>
      </c>
      <c r="B30686" s="3" t="str">
        <f>"201406007049"</f>
        <v>201406007049</v>
      </c>
    </row>
    <row r="30687" spans="1:2" x14ac:dyDescent="0.25">
      <c r="A30687" s="2">
        <v>30682</v>
      </c>
      <c r="B30687" s="3" t="str">
        <f>"201406007056"</f>
        <v>201406007056</v>
      </c>
    </row>
    <row r="30688" spans="1:2" x14ac:dyDescent="0.25">
      <c r="A30688" s="2">
        <v>30683</v>
      </c>
      <c r="B30688" s="3" t="str">
        <f>"201406007063"</f>
        <v>201406007063</v>
      </c>
    </row>
    <row r="30689" spans="1:2" x14ac:dyDescent="0.25">
      <c r="A30689" s="2">
        <v>30684</v>
      </c>
      <c r="B30689" s="3" t="str">
        <f>"201406007084"</f>
        <v>201406007084</v>
      </c>
    </row>
    <row r="30690" spans="1:2" x14ac:dyDescent="0.25">
      <c r="A30690" s="2">
        <v>30685</v>
      </c>
      <c r="B30690" s="3" t="str">
        <f>"201406007093"</f>
        <v>201406007093</v>
      </c>
    </row>
    <row r="30691" spans="1:2" x14ac:dyDescent="0.25">
      <c r="A30691" s="2">
        <v>30686</v>
      </c>
      <c r="B30691" s="3" t="str">
        <f>"201406007121"</f>
        <v>201406007121</v>
      </c>
    </row>
    <row r="30692" spans="1:2" x14ac:dyDescent="0.25">
      <c r="A30692" s="2">
        <v>30687</v>
      </c>
      <c r="B30692" s="3" t="str">
        <f>"201406007160"</f>
        <v>201406007160</v>
      </c>
    </row>
    <row r="30693" spans="1:2" x14ac:dyDescent="0.25">
      <c r="A30693" s="2">
        <v>30688</v>
      </c>
      <c r="B30693" s="3" t="str">
        <f>"201406007173"</f>
        <v>201406007173</v>
      </c>
    </row>
    <row r="30694" spans="1:2" x14ac:dyDescent="0.25">
      <c r="A30694" s="2">
        <v>30689</v>
      </c>
      <c r="B30694" s="3" t="str">
        <f>"201406007188"</f>
        <v>201406007188</v>
      </c>
    </row>
    <row r="30695" spans="1:2" x14ac:dyDescent="0.25">
      <c r="A30695" s="2">
        <v>30690</v>
      </c>
      <c r="B30695" s="3" t="str">
        <f>"201406007205"</f>
        <v>201406007205</v>
      </c>
    </row>
    <row r="30696" spans="1:2" x14ac:dyDescent="0.25">
      <c r="A30696" s="2">
        <v>30691</v>
      </c>
      <c r="B30696" s="3" t="str">
        <f>"201406007219"</f>
        <v>201406007219</v>
      </c>
    </row>
    <row r="30697" spans="1:2" x14ac:dyDescent="0.25">
      <c r="A30697" s="2">
        <v>30692</v>
      </c>
      <c r="B30697" s="3" t="str">
        <f>"201406007220"</f>
        <v>201406007220</v>
      </c>
    </row>
    <row r="30698" spans="1:2" x14ac:dyDescent="0.25">
      <c r="A30698" s="2">
        <v>30693</v>
      </c>
      <c r="B30698" s="3" t="str">
        <f>"201406007240"</f>
        <v>201406007240</v>
      </c>
    </row>
    <row r="30699" spans="1:2" x14ac:dyDescent="0.25">
      <c r="A30699" s="2">
        <v>30694</v>
      </c>
      <c r="B30699" s="3" t="str">
        <f>"201406007266"</f>
        <v>201406007266</v>
      </c>
    </row>
    <row r="30700" spans="1:2" x14ac:dyDescent="0.25">
      <c r="A30700" s="2">
        <v>30695</v>
      </c>
      <c r="B30700" s="3" t="str">
        <f>"201406007273"</f>
        <v>201406007273</v>
      </c>
    </row>
    <row r="30701" spans="1:2" x14ac:dyDescent="0.25">
      <c r="A30701" s="2">
        <v>30696</v>
      </c>
      <c r="B30701" s="3" t="str">
        <f>"201406007280"</f>
        <v>201406007280</v>
      </c>
    </row>
    <row r="30702" spans="1:2" x14ac:dyDescent="0.25">
      <c r="A30702" s="2">
        <v>30697</v>
      </c>
      <c r="B30702" s="3" t="str">
        <f>"201406007284"</f>
        <v>201406007284</v>
      </c>
    </row>
    <row r="30703" spans="1:2" x14ac:dyDescent="0.25">
      <c r="A30703" s="2">
        <v>30698</v>
      </c>
      <c r="B30703" s="3" t="str">
        <f>"201406007307"</f>
        <v>201406007307</v>
      </c>
    </row>
    <row r="30704" spans="1:2" x14ac:dyDescent="0.25">
      <c r="A30704" s="2">
        <v>30699</v>
      </c>
      <c r="B30704" s="3" t="str">
        <f>"201406007315"</f>
        <v>201406007315</v>
      </c>
    </row>
    <row r="30705" spans="1:2" x14ac:dyDescent="0.25">
      <c r="A30705" s="2">
        <v>30700</v>
      </c>
      <c r="B30705" s="3" t="str">
        <f>"201406007331"</f>
        <v>201406007331</v>
      </c>
    </row>
    <row r="30706" spans="1:2" x14ac:dyDescent="0.25">
      <c r="A30706" s="2">
        <v>30701</v>
      </c>
      <c r="B30706" s="3" t="str">
        <f>"201406007421"</f>
        <v>201406007421</v>
      </c>
    </row>
    <row r="30707" spans="1:2" x14ac:dyDescent="0.25">
      <c r="A30707" s="2">
        <v>30702</v>
      </c>
      <c r="B30707" s="3" t="str">
        <f>"201406007426"</f>
        <v>201406007426</v>
      </c>
    </row>
    <row r="30708" spans="1:2" x14ac:dyDescent="0.25">
      <c r="A30708" s="2">
        <v>30703</v>
      </c>
      <c r="B30708" s="3" t="str">
        <f>"201406007448"</f>
        <v>201406007448</v>
      </c>
    </row>
    <row r="30709" spans="1:2" x14ac:dyDescent="0.25">
      <c r="A30709" s="2">
        <v>30704</v>
      </c>
      <c r="B30709" s="3" t="str">
        <f>"201406007466"</f>
        <v>201406007466</v>
      </c>
    </row>
    <row r="30710" spans="1:2" x14ac:dyDescent="0.25">
      <c r="A30710" s="2">
        <v>30705</v>
      </c>
      <c r="B30710" s="3" t="str">
        <f>"201406007483"</f>
        <v>201406007483</v>
      </c>
    </row>
    <row r="30711" spans="1:2" x14ac:dyDescent="0.25">
      <c r="A30711" s="2">
        <v>30706</v>
      </c>
      <c r="B30711" s="3" t="str">
        <f>"201406007500"</f>
        <v>201406007500</v>
      </c>
    </row>
    <row r="30712" spans="1:2" x14ac:dyDescent="0.25">
      <c r="A30712" s="2">
        <v>30707</v>
      </c>
      <c r="B30712" s="3" t="str">
        <f>"201406007547"</f>
        <v>201406007547</v>
      </c>
    </row>
    <row r="30713" spans="1:2" x14ac:dyDescent="0.25">
      <c r="A30713" s="2">
        <v>30708</v>
      </c>
      <c r="B30713" s="3" t="str">
        <f>"201406007569"</f>
        <v>201406007569</v>
      </c>
    </row>
    <row r="30714" spans="1:2" x14ac:dyDescent="0.25">
      <c r="A30714" s="2">
        <v>30709</v>
      </c>
      <c r="B30714" s="3" t="str">
        <f>"201406007578"</f>
        <v>201406007578</v>
      </c>
    </row>
    <row r="30715" spans="1:2" x14ac:dyDescent="0.25">
      <c r="A30715" s="2">
        <v>30710</v>
      </c>
      <c r="B30715" s="3" t="str">
        <f>"201406007584"</f>
        <v>201406007584</v>
      </c>
    </row>
    <row r="30716" spans="1:2" x14ac:dyDescent="0.25">
      <c r="A30716" s="2">
        <v>30711</v>
      </c>
      <c r="B30716" s="3" t="str">
        <f>"201406007587"</f>
        <v>201406007587</v>
      </c>
    </row>
    <row r="30717" spans="1:2" x14ac:dyDescent="0.25">
      <c r="A30717" s="2">
        <v>30712</v>
      </c>
      <c r="B30717" s="3" t="str">
        <f>"201406007594"</f>
        <v>201406007594</v>
      </c>
    </row>
    <row r="30718" spans="1:2" x14ac:dyDescent="0.25">
      <c r="A30718" s="2">
        <v>30713</v>
      </c>
      <c r="B30718" s="3" t="str">
        <f>"201406007614"</f>
        <v>201406007614</v>
      </c>
    </row>
    <row r="30719" spans="1:2" x14ac:dyDescent="0.25">
      <c r="A30719" s="2">
        <v>30714</v>
      </c>
      <c r="B30719" s="3" t="str">
        <f>"201406007619"</f>
        <v>201406007619</v>
      </c>
    </row>
    <row r="30720" spans="1:2" x14ac:dyDescent="0.25">
      <c r="A30720" s="2">
        <v>30715</v>
      </c>
      <c r="B30720" s="3" t="str">
        <f>"201406007626"</f>
        <v>201406007626</v>
      </c>
    </row>
    <row r="30721" spans="1:2" x14ac:dyDescent="0.25">
      <c r="A30721" s="2">
        <v>30716</v>
      </c>
      <c r="B30721" s="3" t="str">
        <f>"201406007627"</f>
        <v>201406007627</v>
      </c>
    </row>
    <row r="30722" spans="1:2" x14ac:dyDescent="0.25">
      <c r="A30722" s="2">
        <v>30717</v>
      </c>
      <c r="B30722" s="3" t="str">
        <f>"201406007628"</f>
        <v>201406007628</v>
      </c>
    </row>
    <row r="30723" spans="1:2" x14ac:dyDescent="0.25">
      <c r="A30723" s="2">
        <v>30718</v>
      </c>
      <c r="B30723" s="3" t="str">
        <f>"201406007629"</f>
        <v>201406007629</v>
      </c>
    </row>
    <row r="30724" spans="1:2" x14ac:dyDescent="0.25">
      <c r="A30724" s="2">
        <v>30719</v>
      </c>
      <c r="B30724" s="3" t="str">
        <f>"201406007648"</f>
        <v>201406007648</v>
      </c>
    </row>
    <row r="30725" spans="1:2" x14ac:dyDescent="0.25">
      <c r="A30725" s="2">
        <v>30720</v>
      </c>
      <c r="B30725" s="3" t="str">
        <f>"201406007676"</f>
        <v>201406007676</v>
      </c>
    </row>
    <row r="30726" spans="1:2" x14ac:dyDescent="0.25">
      <c r="A30726" s="2">
        <v>30721</v>
      </c>
      <c r="B30726" s="3" t="str">
        <f>"201406007684"</f>
        <v>201406007684</v>
      </c>
    </row>
    <row r="30727" spans="1:2" x14ac:dyDescent="0.25">
      <c r="A30727" s="2">
        <v>30722</v>
      </c>
      <c r="B30727" s="3" t="str">
        <f>"201406007699"</f>
        <v>201406007699</v>
      </c>
    </row>
    <row r="30728" spans="1:2" x14ac:dyDescent="0.25">
      <c r="A30728" s="2">
        <v>30723</v>
      </c>
      <c r="B30728" s="3" t="str">
        <f>"201406007704"</f>
        <v>201406007704</v>
      </c>
    </row>
    <row r="30729" spans="1:2" x14ac:dyDescent="0.25">
      <c r="A30729" s="2">
        <v>30724</v>
      </c>
      <c r="B30729" s="3" t="str">
        <f>"201406007742"</f>
        <v>201406007742</v>
      </c>
    </row>
    <row r="30730" spans="1:2" x14ac:dyDescent="0.25">
      <c r="A30730" s="2">
        <v>30725</v>
      </c>
      <c r="B30730" s="3" t="str">
        <f>"201406007744"</f>
        <v>201406007744</v>
      </c>
    </row>
    <row r="30731" spans="1:2" x14ac:dyDescent="0.25">
      <c r="A30731" s="2">
        <v>30726</v>
      </c>
      <c r="B30731" s="3" t="str">
        <f>"201406007762"</f>
        <v>201406007762</v>
      </c>
    </row>
    <row r="30732" spans="1:2" x14ac:dyDescent="0.25">
      <c r="A30732" s="2">
        <v>30727</v>
      </c>
      <c r="B30732" s="3" t="str">
        <f>"201406007790"</f>
        <v>201406007790</v>
      </c>
    </row>
    <row r="30733" spans="1:2" x14ac:dyDescent="0.25">
      <c r="A30733" s="2">
        <v>30728</v>
      </c>
      <c r="B30733" s="3" t="str">
        <f>"201406007791"</f>
        <v>201406007791</v>
      </c>
    </row>
    <row r="30734" spans="1:2" x14ac:dyDescent="0.25">
      <c r="A30734" s="2">
        <v>30729</v>
      </c>
      <c r="B30734" s="3" t="str">
        <f>"201406007816"</f>
        <v>201406007816</v>
      </c>
    </row>
    <row r="30735" spans="1:2" x14ac:dyDescent="0.25">
      <c r="A30735" s="2">
        <v>30730</v>
      </c>
      <c r="B30735" s="3" t="str">
        <f>"201406007853"</f>
        <v>201406007853</v>
      </c>
    </row>
    <row r="30736" spans="1:2" x14ac:dyDescent="0.25">
      <c r="A30736" s="2">
        <v>30731</v>
      </c>
      <c r="B30736" s="3" t="str">
        <f>"201406007863"</f>
        <v>201406007863</v>
      </c>
    </row>
    <row r="30737" spans="1:2" x14ac:dyDescent="0.25">
      <c r="A30737" s="2">
        <v>30732</v>
      </c>
      <c r="B30737" s="3" t="str">
        <f>"201406007869"</f>
        <v>201406007869</v>
      </c>
    </row>
    <row r="30738" spans="1:2" x14ac:dyDescent="0.25">
      <c r="A30738" s="2">
        <v>30733</v>
      </c>
      <c r="B30738" s="3" t="str">
        <f>"201406007881"</f>
        <v>201406007881</v>
      </c>
    </row>
    <row r="30739" spans="1:2" x14ac:dyDescent="0.25">
      <c r="A30739" s="2">
        <v>30734</v>
      </c>
      <c r="B30739" s="3" t="str">
        <f>"201406007884"</f>
        <v>201406007884</v>
      </c>
    </row>
    <row r="30740" spans="1:2" x14ac:dyDescent="0.25">
      <c r="A30740" s="2">
        <v>30735</v>
      </c>
      <c r="B30740" s="3" t="str">
        <f>"201406007891"</f>
        <v>201406007891</v>
      </c>
    </row>
    <row r="30741" spans="1:2" x14ac:dyDescent="0.25">
      <c r="A30741" s="2">
        <v>30736</v>
      </c>
      <c r="B30741" s="3" t="str">
        <f>"201406007908"</f>
        <v>201406007908</v>
      </c>
    </row>
    <row r="30742" spans="1:2" x14ac:dyDescent="0.25">
      <c r="A30742" s="2">
        <v>30737</v>
      </c>
      <c r="B30742" s="3" t="str">
        <f>"201406007914"</f>
        <v>201406007914</v>
      </c>
    </row>
    <row r="30743" spans="1:2" x14ac:dyDescent="0.25">
      <c r="A30743" s="2">
        <v>30738</v>
      </c>
      <c r="B30743" s="3" t="str">
        <f>"201406007925"</f>
        <v>201406007925</v>
      </c>
    </row>
    <row r="30744" spans="1:2" x14ac:dyDescent="0.25">
      <c r="A30744" s="2">
        <v>30739</v>
      </c>
      <c r="B30744" s="3" t="str">
        <f>"201406007955"</f>
        <v>201406007955</v>
      </c>
    </row>
    <row r="30745" spans="1:2" x14ac:dyDescent="0.25">
      <c r="A30745" s="2">
        <v>30740</v>
      </c>
      <c r="B30745" s="3" t="str">
        <f>"201406007956"</f>
        <v>201406007956</v>
      </c>
    </row>
    <row r="30746" spans="1:2" x14ac:dyDescent="0.25">
      <c r="A30746" s="2">
        <v>30741</v>
      </c>
      <c r="B30746" s="3" t="str">
        <f>"201406007967"</f>
        <v>201406007967</v>
      </c>
    </row>
    <row r="30747" spans="1:2" x14ac:dyDescent="0.25">
      <c r="A30747" s="2">
        <v>30742</v>
      </c>
      <c r="B30747" s="3" t="str">
        <f>"201406007971"</f>
        <v>201406007971</v>
      </c>
    </row>
    <row r="30748" spans="1:2" x14ac:dyDescent="0.25">
      <c r="A30748" s="2">
        <v>30743</v>
      </c>
      <c r="B30748" s="3" t="str">
        <f>"201406007972"</f>
        <v>201406007972</v>
      </c>
    </row>
    <row r="30749" spans="1:2" x14ac:dyDescent="0.25">
      <c r="A30749" s="2">
        <v>30744</v>
      </c>
      <c r="B30749" s="3" t="str">
        <f>"201406007980"</f>
        <v>201406007980</v>
      </c>
    </row>
    <row r="30750" spans="1:2" x14ac:dyDescent="0.25">
      <c r="A30750" s="2">
        <v>30745</v>
      </c>
      <c r="B30750" s="3" t="str">
        <f>"201406007993"</f>
        <v>201406007993</v>
      </c>
    </row>
    <row r="30751" spans="1:2" x14ac:dyDescent="0.25">
      <c r="A30751" s="2">
        <v>30746</v>
      </c>
      <c r="B30751" s="3" t="str">
        <f>"201406008018"</f>
        <v>201406008018</v>
      </c>
    </row>
    <row r="30752" spans="1:2" x14ac:dyDescent="0.25">
      <c r="A30752" s="2">
        <v>30747</v>
      </c>
      <c r="B30752" s="3" t="str">
        <f>"201406008019"</f>
        <v>201406008019</v>
      </c>
    </row>
    <row r="30753" spans="1:2" x14ac:dyDescent="0.25">
      <c r="A30753" s="2">
        <v>30748</v>
      </c>
      <c r="B30753" s="3" t="str">
        <f>"201406008022"</f>
        <v>201406008022</v>
      </c>
    </row>
    <row r="30754" spans="1:2" x14ac:dyDescent="0.25">
      <c r="A30754" s="2">
        <v>30749</v>
      </c>
      <c r="B30754" s="3" t="str">
        <f>"201406008046"</f>
        <v>201406008046</v>
      </c>
    </row>
    <row r="30755" spans="1:2" x14ac:dyDescent="0.25">
      <c r="A30755" s="2">
        <v>30750</v>
      </c>
      <c r="B30755" s="3" t="str">
        <f>"201406008093"</f>
        <v>201406008093</v>
      </c>
    </row>
    <row r="30756" spans="1:2" x14ac:dyDescent="0.25">
      <c r="A30756" s="2">
        <v>30751</v>
      </c>
      <c r="B30756" s="3" t="str">
        <f>"201406008098"</f>
        <v>201406008098</v>
      </c>
    </row>
    <row r="30757" spans="1:2" x14ac:dyDescent="0.25">
      <c r="A30757" s="2">
        <v>30752</v>
      </c>
      <c r="B30757" s="3" t="str">
        <f>"201406008106"</f>
        <v>201406008106</v>
      </c>
    </row>
    <row r="30758" spans="1:2" x14ac:dyDescent="0.25">
      <c r="A30758" s="2">
        <v>30753</v>
      </c>
      <c r="B30758" s="3" t="str">
        <f>"201406008139"</f>
        <v>201406008139</v>
      </c>
    </row>
    <row r="30759" spans="1:2" x14ac:dyDescent="0.25">
      <c r="A30759" s="2">
        <v>30754</v>
      </c>
      <c r="B30759" s="3" t="str">
        <f>"201406008145"</f>
        <v>201406008145</v>
      </c>
    </row>
    <row r="30760" spans="1:2" x14ac:dyDescent="0.25">
      <c r="A30760" s="2">
        <v>30755</v>
      </c>
      <c r="B30760" s="3" t="str">
        <f>"201406008173"</f>
        <v>201406008173</v>
      </c>
    </row>
    <row r="30761" spans="1:2" x14ac:dyDescent="0.25">
      <c r="A30761" s="2">
        <v>30756</v>
      </c>
      <c r="B30761" s="3" t="str">
        <f>"201406008179"</f>
        <v>201406008179</v>
      </c>
    </row>
    <row r="30762" spans="1:2" x14ac:dyDescent="0.25">
      <c r="A30762" s="2">
        <v>30757</v>
      </c>
      <c r="B30762" s="3" t="str">
        <f>"201406008221"</f>
        <v>201406008221</v>
      </c>
    </row>
    <row r="30763" spans="1:2" x14ac:dyDescent="0.25">
      <c r="A30763" s="2">
        <v>30758</v>
      </c>
      <c r="B30763" s="3" t="str">
        <f>"201406008226"</f>
        <v>201406008226</v>
      </c>
    </row>
    <row r="30764" spans="1:2" x14ac:dyDescent="0.25">
      <c r="A30764" s="2">
        <v>30759</v>
      </c>
      <c r="B30764" s="3" t="str">
        <f>"201406008281"</f>
        <v>201406008281</v>
      </c>
    </row>
    <row r="30765" spans="1:2" x14ac:dyDescent="0.25">
      <c r="A30765" s="2">
        <v>30760</v>
      </c>
      <c r="B30765" s="3" t="str">
        <f>"201406008289"</f>
        <v>201406008289</v>
      </c>
    </row>
    <row r="30766" spans="1:2" x14ac:dyDescent="0.25">
      <c r="A30766" s="2">
        <v>30761</v>
      </c>
      <c r="B30766" s="3" t="str">
        <f>"201406008298"</f>
        <v>201406008298</v>
      </c>
    </row>
    <row r="30767" spans="1:2" x14ac:dyDescent="0.25">
      <c r="A30767" s="2">
        <v>30762</v>
      </c>
      <c r="B30767" s="3" t="str">
        <f>"201406008329"</f>
        <v>201406008329</v>
      </c>
    </row>
    <row r="30768" spans="1:2" x14ac:dyDescent="0.25">
      <c r="A30768" s="2">
        <v>30763</v>
      </c>
      <c r="B30768" s="3" t="str">
        <f>"201406008377"</f>
        <v>201406008377</v>
      </c>
    </row>
    <row r="30769" spans="1:2" x14ac:dyDescent="0.25">
      <c r="A30769" s="2">
        <v>30764</v>
      </c>
      <c r="B30769" s="3" t="str">
        <f>"201406008388"</f>
        <v>201406008388</v>
      </c>
    </row>
    <row r="30770" spans="1:2" x14ac:dyDescent="0.25">
      <c r="A30770" s="2">
        <v>30765</v>
      </c>
      <c r="B30770" s="3" t="str">
        <f>"201406008399"</f>
        <v>201406008399</v>
      </c>
    </row>
    <row r="30771" spans="1:2" x14ac:dyDescent="0.25">
      <c r="A30771" s="2">
        <v>30766</v>
      </c>
      <c r="B30771" s="3" t="str">
        <f>"201406008424"</f>
        <v>201406008424</v>
      </c>
    </row>
    <row r="30772" spans="1:2" x14ac:dyDescent="0.25">
      <c r="A30772" s="2">
        <v>30767</v>
      </c>
      <c r="B30772" s="3" t="str">
        <f>"201406008439"</f>
        <v>201406008439</v>
      </c>
    </row>
    <row r="30773" spans="1:2" x14ac:dyDescent="0.25">
      <c r="A30773" s="2">
        <v>30768</v>
      </c>
      <c r="B30773" s="3" t="str">
        <f>"201406008450"</f>
        <v>201406008450</v>
      </c>
    </row>
    <row r="30774" spans="1:2" x14ac:dyDescent="0.25">
      <c r="A30774" s="2">
        <v>30769</v>
      </c>
      <c r="B30774" s="3" t="str">
        <f>"201406008451"</f>
        <v>201406008451</v>
      </c>
    </row>
    <row r="30775" spans="1:2" x14ac:dyDescent="0.25">
      <c r="A30775" s="2">
        <v>30770</v>
      </c>
      <c r="B30775" s="3" t="str">
        <f>"201406008453"</f>
        <v>201406008453</v>
      </c>
    </row>
    <row r="30776" spans="1:2" x14ac:dyDescent="0.25">
      <c r="A30776" s="2">
        <v>30771</v>
      </c>
      <c r="B30776" s="3" t="str">
        <f>"201406008456"</f>
        <v>201406008456</v>
      </c>
    </row>
    <row r="30777" spans="1:2" x14ac:dyDescent="0.25">
      <c r="A30777" s="2">
        <v>30772</v>
      </c>
      <c r="B30777" s="3" t="str">
        <f>"201406008463"</f>
        <v>201406008463</v>
      </c>
    </row>
    <row r="30778" spans="1:2" x14ac:dyDescent="0.25">
      <c r="A30778" s="2">
        <v>30773</v>
      </c>
      <c r="B30778" s="3" t="str">
        <f>"201406008490"</f>
        <v>201406008490</v>
      </c>
    </row>
    <row r="30779" spans="1:2" x14ac:dyDescent="0.25">
      <c r="A30779" s="2">
        <v>30774</v>
      </c>
      <c r="B30779" s="3" t="str">
        <f>"201406008493"</f>
        <v>201406008493</v>
      </c>
    </row>
    <row r="30780" spans="1:2" x14ac:dyDescent="0.25">
      <c r="A30780" s="2">
        <v>30775</v>
      </c>
      <c r="B30780" s="3" t="str">
        <f>"201406008506"</f>
        <v>201406008506</v>
      </c>
    </row>
    <row r="30781" spans="1:2" x14ac:dyDescent="0.25">
      <c r="A30781" s="2">
        <v>30776</v>
      </c>
      <c r="B30781" s="3" t="str">
        <f>"201406008509"</f>
        <v>201406008509</v>
      </c>
    </row>
    <row r="30782" spans="1:2" x14ac:dyDescent="0.25">
      <c r="A30782" s="2">
        <v>30777</v>
      </c>
      <c r="B30782" s="3" t="str">
        <f>"201406008555"</f>
        <v>201406008555</v>
      </c>
    </row>
    <row r="30783" spans="1:2" x14ac:dyDescent="0.25">
      <c r="A30783" s="2">
        <v>30778</v>
      </c>
      <c r="B30783" s="3" t="str">
        <f>"201406008556"</f>
        <v>201406008556</v>
      </c>
    </row>
    <row r="30784" spans="1:2" x14ac:dyDescent="0.25">
      <c r="A30784" s="2">
        <v>30779</v>
      </c>
      <c r="B30784" s="3" t="str">
        <f>"201406008564"</f>
        <v>201406008564</v>
      </c>
    </row>
    <row r="30785" spans="1:2" x14ac:dyDescent="0.25">
      <c r="A30785" s="2">
        <v>30780</v>
      </c>
      <c r="B30785" s="3" t="str">
        <f>"201406008566"</f>
        <v>201406008566</v>
      </c>
    </row>
    <row r="30786" spans="1:2" x14ac:dyDescent="0.25">
      <c r="A30786" s="2">
        <v>30781</v>
      </c>
      <c r="B30786" s="3" t="str">
        <f>"201406008567"</f>
        <v>201406008567</v>
      </c>
    </row>
    <row r="30787" spans="1:2" x14ac:dyDescent="0.25">
      <c r="A30787" s="2">
        <v>30782</v>
      </c>
      <c r="B30787" s="3" t="str">
        <f>"201406008569"</f>
        <v>201406008569</v>
      </c>
    </row>
    <row r="30788" spans="1:2" x14ac:dyDescent="0.25">
      <c r="A30788" s="2">
        <v>30783</v>
      </c>
      <c r="B30788" s="3" t="str">
        <f>"201406008582"</f>
        <v>201406008582</v>
      </c>
    </row>
    <row r="30789" spans="1:2" x14ac:dyDescent="0.25">
      <c r="A30789" s="2">
        <v>30784</v>
      </c>
      <c r="B30789" s="3" t="str">
        <f>"201406008615"</f>
        <v>201406008615</v>
      </c>
    </row>
    <row r="30790" spans="1:2" x14ac:dyDescent="0.25">
      <c r="A30790" s="2">
        <v>30785</v>
      </c>
      <c r="B30790" s="3" t="str">
        <f>"201406008639"</f>
        <v>201406008639</v>
      </c>
    </row>
    <row r="30791" spans="1:2" x14ac:dyDescent="0.25">
      <c r="A30791" s="2">
        <v>30786</v>
      </c>
      <c r="B30791" s="3" t="str">
        <f>"201406008640"</f>
        <v>201406008640</v>
      </c>
    </row>
    <row r="30792" spans="1:2" x14ac:dyDescent="0.25">
      <c r="A30792" s="2">
        <v>30787</v>
      </c>
      <c r="B30792" s="3" t="str">
        <f>"201406008675"</f>
        <v>201406008675</v>
      </c>
    </row>
    <row r="30793" spans="1:2" x14ac:dyDescent="0.25">
      <c r="A30793" s="2">
        <v>30788</v>
      </c>
      <c r="B30793" s="3" t="str">
        <f>"201406008700"</f>
        <v>201406008700</v>
      </c>
    </row>
    <row r="30794" spans="1:2" x14ac:dyDescent="0.25">
      <c r="A30794" s="2">
        <v>30789</v>
      </c>
      <c r="B30794" s="3" t="str">
        <f>"201406008734"</f>
        <v>201406008734</v>
      </c>
    </row>
    <row r="30795" spans="1:2" x14ac:dyDescent="0.25">
      <c r="A30795" s="2">
        <v>30790</v>
      </c>
      <c r="B30795" s="3" t="str">
        <f>"201406008746"</f>
        <v>201406008746</v>
      </c>
    </row>
    <row r="30796" spans="1:2" x14ac:dyDescent="0.25">
      <c r="A30796" s="2">
        <v>30791</v>
      </c>
      <c r="B30796" s="3" t="str">
        <f>"201406008764"</f>
        <v>201406008764</v>
      </c>
    </row>
    <row r="30797" spans="1:2" x14ac:dyDescent="0.25">
      <c r="A30797" s="2">
        <v>30792</v>
      </c>
      <c r="B30797" s="3" t="str">
        <f>"201406008801"</f>
        <v>201406008801</v>
      </c>
    </row>
    <row r="30798" spans="1:2" x14ac:dyDescent="0.25">
      <c r="A30798" s="2">
        <v>30793</v>
      </c>
      <c r="B30798" s="3" t="str">
        <f>"201406008839"</f>
        <v>201406008839</v>
      </c>
    </row>
    <row r="30799" spans="1:2" x14ac:dyDescent="0.25">
      <c r="A30799" s="2">
        <v>30794</v>
      </c>
      <c r="B30799" s="3" t="str">
        <f>"201406008853"</f>
        <v>201406008853</v>
      </c>
    </row>
    <row r="30800" spans="1:2" x14ac:dyDescent="0.25">
      <c r="A30800" s="2">
        <v>30795</v>
      </c>
      <c r="B30800" s="3" t="str">
        <f>"201406008864"</f>
        <v>201406008864</v>
      </c>
    </row>
    <row r="30801" spans="1:2" x14ac:dyDescent="0.25">
      <c r="A30801" s="2">
        <v>30796</v>
      </c>
      <c r="B30801" s="3" t="str">
        <f>"201406008865"</f>
        <v>201406008865</v>
      </c>
    </row>
    <row r="30802" spans="1:2" x14ac:dyDescent="0.25">
      <c r="A30802" s="2">
        <v>30797</v>
      </c>
      <c r="B30802" s="3" t="str">
        <f>"201406008910"</f>
        <v>201406008910</v>
      </c>
    </row>
    <row r="30803" spans="1:2" x14ac:dyDescent="0.25">
      <c r="A30803" s="2">
        <v>30798</v>
      </c>
      <c r="B30803" s="3" t="str">
        <f>"201406008927"</f>
        <v>201406008927</v>
      </c>
    </row>
    <row r="30804" spans="1:2" x14ac:dyDescent="0.25">
      <c r="A30804" s="2">
        <v>30799</v>
      </c>
      <c r="B30804" s="3" t="str">
        <f>"201406008933"</f>
        <v>201406008933</v>
      </c>
    </row>
    <row r="30805" spans="1:2" x14ac:dyDescent="0.25">
      <c r="A30805" s="2">
        <v>30800</v>
      </c>
      <c r="B30805" s="3" t="str">
        <f>"201406008935"</f>
        <v>201406008935</v>
      </c>
    </row>
    <row r="30806" spans="1:2" x14ac:dyDescent="0.25">
      <c r="A30806" s="2">
        <v>30801</v>
      </c>
      <c r="B30806" s="3" t="str">
        <f>"201406008951"</f>
        <v>201406008951</v>
      </c>
    </row>
    <row r="30807" spans="1:2" x14ac:dyDescent="0.25">
      <c r="A30807" s="2">
        <v>30802</v>
      </c>
      <c r="B30807" s="3" t="str">
        <f>"201406008968"</f>
        <v>201406008968</v>
      </c>
    </row>
    <row r="30808" spans="1:2" x14ac:dyDescent="0.25">
      <c r="A30808" s="2">
        <v>30803</v>
      </c>
      <c r="B30808" s="3" t="str">
        <f>"201406008999"</f>
        <v>201406008999</v>
      </c>
    </row>
    <row r="30809" spans="1:2" x14ac:dyDescent="0.25">
      <c r="A30809" s="2">
        <v>30804</v>
      </c>
      <c r="B30809" s="3" t="str">
        <f>"201406009114"</f>
        <v>201406009114</v>
      </c>
    </row>
    <row r="30810" spans="1:2" x14ac:dyDescent="0.25">
      <c r="A30810" s="2">
        <v>30805</v>
      </c>
      <c r="B30810" s="3" t="str">
        <f>"201406009125"</f>
        <v>201406009125</v>
      </c>
    </row>
    <row r="30811" spans="1:2" x14ac:dyDescent="0.25">
      <c r="A30811" s="2">
        <v>30806</v>
      </c>
      <c r="B30811" s="3" t="str">
        <f>"201406009127"</f>
        <v>201406009127</v>
      </c>
    </row>
    <row r="30812" spans="1:2" x14ac:dyDescent="0.25">
      <c r="A30812" s="2">
        <v>30807</v>
      </c>
      <c r="B30812" s="3" t="str">
        <f>"201406009129"</f>
        <v>201406009129</v>
      </c>
    </row>
    <row r="30813" spans="1:2" x14ac:dyDescent="0.25">
      <c r="A30813" s="2">
        <v>30808</v>
      </c>
      <c r="B30813" s="3" t="str">
        <f>"201406009152"</f>
        <v>201406009152</v>
      </c>
    </row>
    <row r="30814" spans="1:2" x14ac:dyDescent="0.25">
      <c r="A30814" s="2">
        <v>30809</v>
      </c>
      <c r="B30814" s="3" t="str">
        <f>"201406009157"</f>
        <v>201406009157</v>
      </c>
    </row>
    <row r="30815" spans="1:2" x14ac:dyDescent="0.25">
      <c r="A30815" s="2">
        <v>30810</v>
      </c>
      <c r="B30815" s="3" t="str">
        <f>"201406009165"</f>
        <v>201406009165</v>
      </c>
    </row>
    <row r="30816" spans="1:2" x14ac:dyDescent="0.25">
      <c r="A30816" s="2">
        <v>30811</v>
      </c>
      <c r="B30816" s="3" t="str">
        <f>"201406009168"</f>
        <v>201406009168</v>
      </c>
    </row>
    <row r="30817" spans="1:2" x14ac:dyDescent="0.25">
      <c r="A30817" s="2">
        <v>30812</v>
      </c>
      <c r="B30817" s="3" t="str">
        <f>"201406009199"</f>
        <v>201406009199</v>
      </c>
    </row>
    <row r="30818" spans="1:2" x14ac:dyDescent="0.25">
      <c r="A30818" s="2">
        <v>30813</v>
      </c>
      <c r="B30818" s="3" t="str">
        <f>"201406009202"</f>
        <v>201406009202</v>
      </c>
    </row>
    <row r="30819" spans="1:2" x14ac:dyDescent="0.25">
      <c r="A30819" s="2">
        <v>30814</v>
      </c>
      <c r="B30819" s="3" t="str">
        <f>"201406009215"</f>
        <v>201406009215</v>
      </c>
    </row>
    <row r="30820" spans="1:2" x14ac:dyDescent="0.25">
      <c r="A30820" s="2">
        <v>30815</v>
      </c>
      <c r="B30820" s="3" t="str">
        <f>"201406009235"</f>
        <v>201406009235</v>
      </c>
    </row>
    <row r="30821" spans="1:2" x14ac:dyDescent="0.25">
      <c r="A30821" s="2">
        <v>30816</v>
      </c>
      <c r="B30821" s="3" t="str">
        <f>"201406009242"</f>
        <v>201406009242</v>
      </c>
    </row>
    <row r="30822" spans="1:2" x14ac:dyDescent="0.25">
      <c r="A30822" s="2">
        <v>30817</v>
      </c>
      <c r="B30822" s="3" t="str">
        <f>"201406009261"</f>
        <v>201406009261</v>
      </c>
    </row>
    <row r="30823" spans="1:2" x14ac:dyDescent="0.25">
      <c r="A30823" s="2">
        <v>30818</v>
      </c>
      <c r="B30823" s="3" t="str">
        <f>"201406009272"</f>
        <v>201406009272</v>
      </c>
    </row>
    <row r="30824" spans="1:2" x14ac:dyDescent="0.25">
      <c r="A30824" s="2">
        <v>30819</v>
      </c>
      <c r="B30824" s="3" t="str">
        <f>"201406009315"</f>
        <v>201406009315</v>
      </c>
    </row>
    <row r="30825" spans="1:2" x14ac:dyDescent="0.25">
      <c r="A30825" s="2">
        <v>30820</v>
      </c>
      <c r="B30825" s="3" t="str">
        <f>"201406009334"</f>
        <v>201406009334</v>
      </c>
    </row>
    <row r="30826" spans="1:2" x14ac:dyDescent="0.25">
      <c r="A30826" s="2">
        <v>30821</v>
      </c>
      <c r="B30826" s="3" t="str">
        <f>"201406009349"</f>
        <v>201406009349</v>
      </c>
    </row>
    <row r="30827" spans="1:2" x14ac:dyDescent="0.25">
      <c r="A30827" s="2">
        <v>30822</v>
      </c>
      <c r="B30827" s="3" t="str">
        <f>"201406009365"</f>
        <v>201406009365</v>
      </c>
    </row>
    <row r="30828" spans="1:2" x14ac:dyDescent="0.25">
      <c r="A30828" s="2">
        <v>30823</v>
      </c>
      <c r="B30828" s="3" t="str">
        <f>"201406009387"</f>
        <v>201406009387</v>
      </c>
    </row>
    <row r="30829" spans="1:2" x14ac:dyDescent="0.25">
      <c r="A30829" s="2">
        <v>30824</v>
      </c>
      <c r="B30829" s="3" t="str">
        <f>"201406009445"</f>
        <v>201406009445</v>
      </c>
    </row>
    <row r="30830" spans="1:2" x14ac:dyDescent="0.25">
      <c r="A30830" s="2">
        <v>30825</v>
      </c>
      <c r="B30830" s="3" t="str">
        <f>"201406009449"</f>
        <v>201406009449</v>
      </c>
    </row>
    <row r="30831" spans="1:2" x14ac:dyDescent="0.25">
      <c r="A30831" s="2">
        <v>30826</v>
      </c>
      <c r="B30831" s="3" t="str">
        <f>"201406009483"</f>
        <v>201406009483</v>
      </c>
    </row>
    <row r="30832" spans="1:2" x14ac:dyDescent="0.25">
      <c r="A30832" s="2">
        <v>30827</v>
      </c>
      <c r="B30832" s="3" t="str">
        <f>"201406009515"</f>
        <v>201406009515</v>
      </c>
    </row>
    <row r="30833" spans="1:2" x14ac:dyDescent="0.25">
      <c r="A30833" s="2">
        <v>30828</v>
      </c>
      <c r="B30833" s="3" t="str">
        <f>"201406009521"</f>
        <v>201406009521</v>
      </c>
    </row>
    <row r="30834" spans="1:2" x14ac:dyDescent="0.25">
      <c r="A30834" s="2">
        <v>30829</v>
      </c>
      <c r="B30834" s="3" t="str">
        <f>"201406009569"</f>
        <v>201406009569</v>
      </c>
    </row>
    <row r="30835" spans="1:2" x14ac:dyDescent="0.25">
      <c r="A30835" s="2">
        <v>30830</v>
      </c>
      <c r="B30835" s="3" t="str">
        <f>"201406009576"</f>
        <v>201406009576</v>
      </c>
    </row>
    <row r="30836" spans="1:2" x14ac:dyDescent="0.25">
      <c r="A30836" s="2">
        <v>30831</v>
      </c>
      <c r="B30836" s="3" t="str">
        <f>"201406009583"</f>
        <v>201406009583</v>
      </c>
    </row>
    <row r="30837" spans="1:2" x14ac:dyDescent="0.25">
      <c r="A30837" s="2">
        <v>30832</v>
      </c>
      <c r="B30837" s="3" t="str">
        <f>"201406009596"</f>
        <v>201406009596</v>
      </c>
    </row>
    <row r="30838" spans="1:2" x14ac:dyDescent="0.25">
      <c r="A30838" s="2">
        <v>30833</v>
      </c>
      <c r="B30838" s="3" t="str">
        <f>"201406009606"</f>
        <v>201406009606</v>
      </c>
    </row>
    <row r="30839" spans="1:2" x14ac:dyDescent="0.25">
      <c r="A30839" s="2">
        <v>30834</v>
      </c>
      <c r="B30839" s="3" t="str">
        <f>"201406009616"</f>
        <v>201406009616</v>
      </c>
    </row>
    <row r="30840" spans="1:2" x14ac:dyDescent="0.25">
      <c r="A30840" s="2">
        <v>30835</v>
      </c>
      <c r="B30840" s="3" t="str">
        <f>"201406009627"</f>
        <v>201406009627</v>
      </c>
    </row>
    <row r="30841" spans="1:2" x14ac:dyDescent="0.25">
      <c r="A30841" s="2">
        <v>30836</v>
      </c>
      <c r="B30841" s="3" t="str">
        <f>"201406009635"</f>
        <v>201406009635</v>
      </c>
    </row>
    <row r="30842" spans="1:2" x14ac:dyDescent="0.25">
      <c r="A30842" s="2">
        <v>30837</v>
      </c>
      <c r="B30842" s="3" t="str">
        <f>"201406009637"</f>
        <v>201406009637</v>
      </c>
    </row>
    <row r="30843" spans="1:2" x14ac:dyDescent="0.25">
      <c r="A30843" s="2">
        <v>30838</v>
      </c>
      <c r="B30843" s="3" t="str">
        <f>"201406009659"</f>
        <v>201406009659</v>
      </c>
    </row>
    <row r="30844" spans="1:2" x14ac:dyDescent="0.25">
      <c r="A30844" s="2">
        <v>30839</v>
      </c>
      <c r="B30844" s="3" t="str">
        <f>"201406009667"</f>
        <v>201406009667</v>
      </c>
    </row>
    <row r="30845" spans="1:2" x14ac:dyDescent="0.25">
      <c r="A30845" s="2">
        <v>30840</v>
      </c>
      <c r="B30845" s="3" t="str">
        <f>"201406009694"</f>
        <v>201406009694</v>
      </c>
    </row>
    <row r="30846" spans="1:2" x14ac:dyDescent="0.25">
      <c r="A30846" s="2">
        <v>30841</v>
      </c>
      <c r="B30846" s="3" t="str">
        <f>"201406009731"</f>
        <v>201406009731</v>
      </c>
    </row>
    <row r="30847" spans="1:2" x14ac:dyDescent="0.25">
      <c r="A30847" s="2">
        <v>30842</v>
      </c>
      <c r="B30847" s="3" t="str">
        <f>"201406009759"</f>
        <v>201406009759</v>
      </c>
    </row>
    <row r="30848" spans="1:2" x14ac:dyDescent="0.25">
      <c r="A30848" s="2">
        <v>30843</v>
      </c>
      <c r="B30848" s="3" t="str">
        <f>"201406009788"</f>
        <v>201406009788</v>
      </c>
    </row>
    <row r="30849" spans="1:2" x14ac:dyDescent="0.25">
      <c r="A30849" s="2">
        <v>30844</v>
      </c>
      <c r="B30849" s="3" t="str">
        <f>"201406009810"</f>
        <v>201406009810</v>
      </c>
    </row>
    <row r="30850" spans="1:2" x14ac:dyDescent="0.25">
      <c r="A30850" s="2">
        <v>30845</v>
      </c>
      <c r="B30850" s="3" t="str">
        <f>"201406009815"</f>
        <v>201406009815</v>
      </c>
    </row>
    <row r="30851" spans="1:2" x14ac:dyDescent="0.25">
      <c r="A30851" s="2">
        <v>30846</v>
      </c>
      <c r="B30851" s="3" t="str">
        <f>"201406009830"</f>
        <v>201406009830</v>
      </c>
    </row>
    <row r="30852" spans="1:2" x14ac:dyDescent="0.25">
      <c r="A30852" s="2">
        <v>30847</v>
      </c>
      <c r="B30852" s="3" t="str">
        <f>"201406009843"</f>
        <v>201406009843</v>
      </c>
    </row>
    <row r="30853" spans="1:2" x14ac:dyDescent="0.25">
      <c r="A30853" s="2">
        <v>30848</v>
      </c>
      <c r="B30853" s="3" t="str">
        <f>"201406009859"</f>
        <v>201406009859</v>
      </c>
    </row>
    <row r="30854" spans="1:2" x14ac:dyDescent="0.25">
      <c r="A30854" s="2">
        <v>30849</v>
      </c>
      <c r="B30854" s="3" t="str">
        <f>"201406009889"</f>
        <v>201406009889</v>
      </c>
    </row>
    <row r="30855" spans="1:2" x14ac:dyDescent="0.25">
      <c r="A30855" s="2">
        <v>30850</v>
      </c>
      <c r="B30855" s="3" t="str">
        <f>"201406009922"</f>
        <v>201406009922</v>
      </c>
    </row>
    <row r="30856" spans="1:2" x14ac:dyDescent="0.25">
      <c r="A30856" s="2">
        <v>30851</v>
      </c>
      <c r="B30856" s="3" t="str">
        <f>"201406009926"</f>
        <v>201406009926</v>
      </c>
    </row>
    <row r="30857" spans="1:2" x14ac:dyDescent="0.25">
      <c r="A30857" s="2">
        <v>30852</v>
      </c>
      <c r="B30857" s="3" t="str">
        <f>"201406009935"</f>
        <v>201406009935</v>
      </c>
    </row>
    <row r="30858" spans="1:2" x14ac:dyDescent="0.25">
      <c r="A30858" s="2">
        <v>30853</v>
      </c>
      <c r="B30858" s="3" t="str">
        <f>"201406009937"</f>
        <v>201406009937</v>
      </c>
    </row>
    <row r="30859" spans="1:2" x14ac:dyDescent="0.25">
      <c r="A30859" s="2">
        <v>30854</v>
      </c>
      <c r="B30859" s="3" t="str">
        <f>"201406009957"</f>
        <v>201406009957</v>
      </c>
    </row>
    <row r="30860" spans="1:2" x14ac:dyDescent="0.25">
      <c r="A30860" s="2">
        <v>30855</v>
      </c>
      <c r="B30860" s="3" t="str">
        <f>"201406009983"</f>
        <v>201406009983</v>
      </c>
    </row>
    <row r="30861" spans="1:2" x14ac:dyDescent="0.25">
      <c r="A30861" s="2">
        <v>30856</v>
      </c>
      <c r="B30861" s="3" t="str">
        <f>"201406010001"</f>
        <v>201406010001</v>
      </c>
    </row>
    <row r="30862" spans="1:2" x14ac:dyDescent="0.25">
      <c r="A30862" s="2">
        <v>30857</v>
      </c>
      <c r="B30862" s="3" t="str">
        <f>"201406010006"</f>
        <v>201406010006</v>
      </c>
    </row>
    <row r="30863" spans="1:2" x14ac:dyDescent="0.25">
      <c r="A30863" s="2">
        <v>30858</v>
      </c>
      <c r="B30863" s="3" t="str">
        <f>"201406010026"</f>
        <v>201406010026</v>
      </c>
    </row>
    <row r="30864" spans="1:2" x14ac:dyDescent="0.25">
      <c r="A30864" s="2">
        <v>30859</v>
      </c>
      <c r="B30864" s="3" t="str">
        <f>"201406010038"</f>
        <v>201406010038</v>
      </c>
    </row>
    <row r="30865" spans="1:2" x14ac:dyDescent="0.25">
      <c r="A30865" s="2">
        <v>30860</v>
      </c>
      <c r="B30865" s="3" t="str">
        <f>"201406010050"</f>
        <v>201406010050</v>
      </c>
    </row>
    <row r="30866" spans="1:2" x14ac:dyDescent="0.25">
      <c r="A30866" s="2">
        <v>30861</v>
      </c>
      <c r="B30866" s="3" t="str">
        <f>"201406010075"</f>
        <v>201406010075</v>
      </c>
    </row>
    <row r="30867" spans="1:2" x14ac:dyDescent="0.25">
      <c r="A30867" s="2">
        <v>30862</v>
      </c>
      <c r="B30867" s="3" t="str">
        <f>"201406010102"</f>
        <v>201406010102</v>
      </c>
    </row>
    <row r="30868" spans="1:2" x14ac:dyDescent="0.25">
      <c r="A30868" s="2">
        <v>30863</v>
      </c>
      <c r="B30868" s="3" t="str">
        <f>"201406010136"</f>
        <v>201406010136</v>
      </c>
    </row>
    <row r="30869" spans="1:2" x14ac:dyDescent="0.25">
      <c r="A30869" s="2">
        <v>30864</v>
      </c>
      <c r="B30869" s="3" t="str">
        <f>"201406010140"</f>
        <v>201406010140</v>
      </c>
    </row>
    <row r="30870" spans="1:2" x14ac:dyDescent="0.25">
      <c r="A30870" s="2">
        <v>30865</v>
      </c>
      <c r="B30870" s="3" t="str">
        <f>"201406010154"</f>
        <v>201406010154</v>
      </c>
    </row>
    <row r="30871" spans="1:2" x14ac:dyDescent="0.25">
      <c r="A30871" s="2">
        <v>30866</v>
      </c>
      <c r="B30871" s="3" t="str">
        <f>"201406010169"</f>
        <v>201406010169</v>
      </c>
    </row>
    <row r="30872" spans="1:2" x14ac:dyDescent="0.25">
      <c r="A30872" s="2">
        <v>30867</v>
      </c>
      <c r="B30872" s="3" t="str">
        <f>"201406010202"</f>
        <v>201406010202</v>
      </c>
    </row>
    <row r="30873" spans="1:2" x14ac:dyDescent="0.25">
      <c r="A30873" s="2">
        <v>30868</v>
      </c>
      <c r="B30873" s="3" t="str">
        <f>"201406010212"</f>
        <v>201406010212</v>
      </c>
    </row>
    <row r="30874" spans="1:2" x14ac:dyDescent="0.25">
      <c r="A30874" s="2">
        <v>30869</v>
      </c>
      <c r="B30874" s="3" t="str">
        <f>"201406010230"</f>
        <v>201406010230</v>
      </c>
    </row>
    <row r="30875" spans="1:2" x14ac:dyDescent="0.25">
      <c r="A30875" s="2">
        <v>30870</v>
      </c>
      <c r="B30875" s="3" t="str">
        <f>"201406010237"</f>
        <v>201406010237</v>
      </c>
    </row>
    <row r="30876" spans="1:2" x14ac:dyDescent="0.25">
      <c r="A30876" s="2">
        <v>30871</v>
      </c>
      <c r="B30876" s="3" t="str">
        <f>"201406010243"</f>
        <v>201406010243</v>
      </c>
    </row>
    <row r="30877" spans="1:2" x14ac:dyDescent="0.25">
      <c r="A30877" s="2">
        <v>30872</v>
      </c>
      <c r="B30877" s="3" t="str">
        <f>"201406010286"</f>
        <v>201406010286</v>
      </c>
    </row>
    <row r="30878" spans="1:2" x14ac:dyDescent="0.25">
      <c r="A30878" s="2">
        <v>30873</v>
      </c>
      <c r="B30878" s="3" t="str">
        <f>"201406010290"</f>
        <v>201406010290</v>
      </c>
    </row>
    <row r="30879" spans="1:2" x14ac:dyDescent="0.25">
      <c r="A30879" s="2">
        <v>30874</v>
      </c>
      <c r="B30879" s="3" t="str">
        <f>"201406010295"</f>
        <v>201406010295</v>
      </c>
    </row>
    <row r="30880" spans="1:2" x14ac:dyDescent="0.25">
      <c r="A30880" s="2">
        <v>30875</v>
      </c>
      <c r="B30880" s="3" t="str">
        <f>"201406010340"</f>
        <v>201406010340</v>
      </c>
    </row>
    <row r="30881" spans="1:2" x14ac:dyDescent="0.25">
      <c r="A30881" s="2">
        <v>30876</v>
      </c>
      <c r="B30881" s="3" t="str">
        <f>"201406010370"</f>
        <v>201406010370</v>
      </c>
    </row>
    <row r="30882" spans="1:2" x14ac:dyDescent="0.25">
      <c r="A30882" s="2">
        <v>30877</v>
      </c>
      <c r="B30882" s="3" t="str">
        <f>"201406010392"</f>
        <v>201406010392</v>
      </c>
    </row>
    <row r="30883" spans="1:2" x14ac:dyDescent="0.25">
      <c r="A30883" s="2">
        <v>30878</v>
      </c>
      <c r="B30883" s="3" t="str">
        <f>"201406010424"</f>
        <v>201406010424</v>
      </c>
    </row>
    <row r="30884" spans="1:2" x14ac:dyDescent="0.25">
      <c r="A30884" s="2">
        <v>30879</v>
      </c>
      <c r="B30884" s="3" t="str">
        <f>"201406010443"</f>
        <v>201406010443</v>
      </c>
    </row>
    <row r="30885" spans="1:2" x14ac:dyDescent="0.25">
      <c r="A30885" s="2">
        <v>30880</v>
      </c>
      <c r="B30885" s="3" t="str">
        <f>"201406010444"</f>
        <v>201406010444</v>
      </c>
    </row>
    <row r="30886" spans="1:2" x14ac:dyDescent="0.25">
      <c r="A30886" s="2">
        <v>30881</v>
      </c>
      <c r="B30886" s="3" t="str">
        <f>"201406010447"</f>
        <v>201406010447</v>
      </c>
    </row>
    <row r="30887" spans="1:2" x14ac:dyDescent="0.25">
      <c r="A30887" s="2">
        <v>30882</v>
      </c>
      <c r="B30887" s="3" t="str">
        <f>"201406010469"</f>
        <v>201406010469</v>
      </c>
    </row>
    <row r="30888" spans="1:2" x14ac:dyDescent="0.25">
      <c r="A30888" s="2">
        <v>30883</v>
      </c>
      <c r="B30888" s="3" t="str">
        <f>"201406010484"</f>
        <v>201406010484</v>
      </c>
    </row>
    <row r="30889" spans="1:2" x14ac:dyDescent="0.25">
      <c r="A30889" s="2">
        <v>30884</v>
      </c>
      <c r="B30889" s="3" t="str">
        <f>"201406010490"</f>
        <v>201406010490</v>
      </c>
    </row>
    <row r="30890" spans="1:2" x14ac:dyDescent="0.25">
      <c r="A30890" s="2">
        <v>30885</v>
      </c>
      <c r="B30890" s="3" t="str">
        <f>"201406010494"</f>
        <v>201406010494</v>
      </c>
    </row>
    <row r="30891" spans="1:2" x14ac:dyDescent="0.25">
      <c r="A30891" s="2">
        <v>30886</v>
      </c>
      <c r="B30891" s="3" t="str">
        <f>"201406010522"</f>
        <v>201406010522</v>
      </c>
    </row>
    <row r="30892" spans="1:2" x14ac:dyDescent="0.25">
      <c r="A30892" s="2">
        <v>30887</v>
      </c>
      <c r="B30892" s="3" t="str">
        <f>"201406010524"</f>
        <v>201406010524</v>
      </c>
    </row>
    <row r="30893" spans="1:2" x14ac:dyDescent="0.25">
      <c r="A30893" s="2">
        <v>30888</v>
      </c>
      <c r="B30893" s="3" t="str">
        <f>"201406010525"</f>
        <v>201406010525</v>
      </c>
    </row>
    <row r="30894" spans="1:2" x14ac:dyDescent="0.25">
      <c r="A30894" s="2">
        <v>30889</v>
      </c>
      <c r="B30894" s="3" t="str">
        <f>"201406010554"</f>
        <v>201406010554</v>
      </c>
    </row>
    <row r="30895" spans="1:2" x14ac:dyDescent="0.25">
      <c r="A30895" s="2">
        <v>30890</v>
      </c>
      <c r="B30895" s="3" t="str">
        <f>"201406010605"</f>
        <v>201406010605</v>
      </c>
    </row>
    <row r="30896" spans="1:2" x14ac:dyDescent="0.25">
      <c r="A30896" s="2">
        <v>30891</v>
      </c>
      <c r="B30896" s="3" t="str">
        <f>"201406010611"</f>
        <v>201406010611</v>
      </c>
    </row>
    <row r="30897" spans="1:2" x14ac:dyDescent="0.25">
      <c r="A30897" s="2">
        <v>30892</v>
      </c>
      <c r="B30897" s="3" t="str">
        <f>"201406010632"</f>
        <v>201406010632</v>
      </c>
    </row>
    <row r="30898" spans="1:2" x14ac:dyDescent="0.25">
      <c r="A30898" s="2">
        <v>30893</v>
      </c>
      <c r="B30898" s="3" t="str">
        <f>"201406010638"</f>
        <v>201406010638</v>
      </c>
    </row>
    <row r="30899" spans="1:2" x14ac:dyDescent="0.25">
      <c r="A30899" s="2">
        <v>30894</v>
      </c>
      <c r="B30899" s="3" t="str">
        <f>"201406010644"</f>
        <v>201406010644</v>
      </c>
    </row>
    <row r="30900" spans="1:2" x14ac:dyDescent="0.25">
      <c r="A30900" s="2">
        <v>30895</v>
      </c>
      <c r="B30900" s="3" t="str">
        <f>"201406010657"</f>
        <v>201406010657</v>
      </c>
    </row>
    <row r="30901" spans="1:2" x14ac:dyDescent="0.25">
      <c r="A30901" s="2">
        <v>30896</v>
      </c>
      <c r="B30901" s="3" t="str">
        <f>"201406010681"</f>
        <v>201406010681</v>
      </c>
    </row>
    <row r="30902" spans="1:2" x14ac:dyDescent="0.25">
      <c r="A30902" s="2">
        <v>30897</v>
      </c>
      <c r="B30902" s="3" t="str">
        <f>"201406010699"</f>
        <v>201406010699</v>
      </c>
    </row>
    <row r="30903" spans="1:2" x14ac:dyDescent="0.25">
      <c r="A30903" s="2">
        <v>30898</v>
      </c>
      <c r="B30903" s="3" t="str">
        <f>"201406010706"</f>
        <v>201406010706</v>
      </c>
    </row>
    <row r="30904" spans="1:2" x14ac:dyDescent="0.25">
      <c r="A30904" s="2">
        <v>30899</v>
      </c>
      <c r="B30904" s="3" t="str">
        <f>"201406010709"</f>
        <v>201406010709</v>
      </c>
    </row>
    <row r="30905" spans="1:2" x14ac:dyDescent="0.25">
      <c r="A30905" s="2">
        <v>30900</v>
      </c>
      <c r="B30905" s="3" t="str">
        <f>"201406010740"</f>
        <v>201406010740</v>
      </c>
    </row>
    <row r="30906" spans="1:2" x14ac:dyDescent="0.25">
      <c r="A30906" s="2">
        <v>30901</v>
      </c>
      <c r="B30906" s="3" t="str">
        <f>"201406010754"</f>
        <v>201406010754</v>
      </c>
    </row>
    <row r="30907" spans="1:2" x14ac:dyDescent="0.25">
      <c r="A30907" s="2">
        <v>30902</v>
      </c>
      <c r="B30907" s="3" t="str">
        <f>"201406010761"</f>
        <v>201406010761</v>
      </c>
    </row>
    <row r="30908" spans="1:2" x14ac:dyDescent="0.25">
      <c r="A30908" s="2">
        <v>30903</v>
      </c>
      <c r="B30908" s="3" t="str">
        <f>"201406010767"</f>
        <v>201406010767</v>
      </c>
    </row>
    <row r="30909" spans="1:2" x14ac:dyDescent="0.25">
      <c r="A30909" s="2">
        <v>30904</v>
      </c>
      <c r="B30909" s="3" t="str">
        <f>"201406010778"</f>
        <v>201406010778</v>
      </c>
    </row>
    <row r="30910" spans="1:2" x14ac:dyDescent="0.25">
      <c r="A30910" s="2">
        <v>30905</v>
      </c>
      <c r="B30910" s="3" t="str">
        <f>"201406010779"</f>
        <v>201406010779</v>
      </c>
    </row>
    <row r="30911" spans="1:2" x14ac:dyDescent="0.25">
      <c r="A30911" s="2">
        <v>30906</v>
      </c>
      <c r="B30911" s="3" t="str">
        <f>"201406010866"</f>
        <v>201406010866</v>
      </c>
    </row>
    <row r="30912" spans="1:2" x14ac:dyDescent="0.25">
      <c r="A30912" s="2">
        <v>30907</v>
      </c>
      <c r="B30912" s="3" t="str">
        <f>"201406010904"</f>
        <v>201406010904</v>
      </c>
    </row>
    <row r="30913" spans="1:2" x14ac:dyDescent="0.25">
      <c r="A30913" s="2">
        <v>30908</v>
      </c>
      <c r="B30913" s="3" t="str">
        <f>"201406010906"</f>
        <v>201406010906</v>
      </c>
    </row>
    <row r="30914" spans="1:2" x14ac:dyDescent="0.25">
      <c r="A30914" s="2">
        <v>30909</v>
      </c>
      <c r="B30914" s="3" t="str">
        <f>"201406010913"</f>
        <v>201406010913</v>
      </c>
    </row>
    <row r="30915" spans="1:2" x14ac:dyDescent="0.25">
      <c r="A30915" s="2">
        <v>30910</v>
      </c>
      <c r="B30915" s="3" t="str">
        <f>"201406010916"</f>
        <v>201406010916</v>
      </c>
    </row>
    <row r="30916" spans="1:2" x14ac:dyDescent="0.25">
      <c r="A30916" s="2">
        <v>30911</v>
      </c>
      <c r="B30916" s="3" t="str">
        <f>"201406010961"</f>
        <v>201406010961</v>
      </c>
    </row>
    <row r="30917" spans="1:2" x14ac:dyDescent="0.25">
      <c r="A30917" s="2">
        <v>30912</v>
      </c>
      <c r="B30917" s="3" t="str">
        <f>"201406010962"</f>
        <v>201406010962</v>
      </c>
    </row>
    <row r="30918" spans="1:2" x14ac:dyDescent="0.25">
      <c r="A30918" s="2">
        <v>30913</v>
      </c>
      <c r="B30918" s="3" t="str">
        <f>"201406010977"</f>
        <v>201406010977</v>
      </c>
    </row>
    <row r="30919" spans="1:2" x14ac:dyDescent="0.25">
      <c r="A30919" s="2">
        <v>30914</v>
      </c>
      <c r="B30919" s="3" t="str">
        <f>"201406010979"</f>
        <v>201406010979</v>
      </c>
    </row>
    <row r="30920" spans="1:2" x14ac:dyDescent="0.25">
      <c r="A30920" s="2">
        <v>30915</v>
      </c>
      <c r="B30920" s="3" t="str">
        <f>"201406010983"</f>
        <v>201406010983</v>
      </c>
    </row>
    <row r="30921" spans="1:2" x14ac:dyDescent="0.25">
      <c r="A30921" s="2">
        <v>30916</v>
      </c>
      <c r="B30921" s="3" t="str">
        <f>"201406011000"</f>
        <v>201406011000</v>
      </c>
    </row>
    <row r="30922" spans="1:2" x14ac:dyDescent="0.25">
      <c r="A30922" s="2">
        <v>30917</v>
      </c>
      <c r="B30922" s="3" t="str">
        <f>"201406011013"</f>
        <v>201406011013</v>
      </c>
    </row>
    <row r="30923" spans="1:2" x14ac:dyDescent="0.25">
      <c r="A30923" s="2">
        <v>30918</v>
      </c>
      <c r="B30923" s="3" t="str">
        <f>"201406011016"</f>
        <v>201406011016</v>
      </c>
    </row>
    <row r="30924" spans="1:2" x14ac:dyDescent="0.25">
      <c r="A30924" s="2">
        <v>30919</v>
      </c>
      <c r="B30924" s="3" t="str">
        <f>"201406011026"</f>
        <v>201406011026</v>
      </c>
    </row>
    <row r="30925" spans="1:2" x14ac:dyDescent="0.25">
      <c r="A30925" s="2">
        <v>30920</v>
      </c>
      <c r="B30925" s="3" t="str">
        <f>"201406011038"</f>
        <v>201406011038</v>
      </c>
    </row>
    <row r="30926" spans="1:2" x14ac:dyDescent="0.25">
      <c r="A30926" s="2">
        <v>30921</v>
      </c>
      <c r="B30926" s="3" t="str">
        <f>"201406011054"</f>
        <v>201406011054</v>
      </c>
    </row>
    <row r="30927" spans="1:2" x14ac:dyDescent="0.25">
      <c r="A30927" s="2">
        <v>30922</v>
      </c>
      <c r="B30927" s="3" t="str">
        <f>"201406011058"</f>
        <v>201406011058</v>
      </c>
    </row>
    <row r="30928" spans="1:2" x14ac:dyDescent="0.25">
      <c r="A30928" s="2">
        <v>30923</v>
      </c>
      <c r="B30928" s="3" t="str">
        <f>"201406011103"</f>
        <v>201406011103</v>
      </c>
    </row>
    <row r="30929" spans="1:2" x14ac:dyDescent="0.25">
      <c r="A30929" s="2">
        <v>30924</v>
      </c>
      <c r="B30929" s="3" t="str">
        <f>"201406011107"</f>
        <v>201406011107</v>
      </c>
    </row>
    <row r="30930" spans="1:2" x14ac:dyDescent="0.25">
      <c r="A30930" s="2">
        <v>30925</v>
      </c>
      <c r="B30930" s="3" t="str">
        <f>"201406011109"</f>
        <v>201406011109</v>
      </c>
    </row>
    <row r="30931" spans="1:2" x14ac:dyDescent="0.25">
      <c r="A30931" s="2">
        <v>30926</v>
      </c>
      <c r="B30931" s="3" t="str">
        <f>"201406011143"</f>
        <v>201406011143</v>
      </c>
    </row>
    <row r="30932" spans="1:2" x14ac:dyDescent="0.25">
      <c r="A30932" s="2">
        <v>30927</v>
      </c>
      <c r="B30932" s="3" t="str">
        <f>"201406011148"</f>
        <v>201406011148</v>
      </c>
    </row>
    <row r="30933" spans="1:2" x14ac:dyDescent="0.25">
      <c r="A30933" s="2">
        <v>30928</v>
      </c>
      <c r="B30933" s="3" t="str">
        <f>"201406011151"</f>
        <v>201406011151</v>
      </c>
    </row>
    <row r="30934" spans="1:2" x14ac:dyDescent="0.25">
      <c r="A30934" s="2">
        <v>30929</v>
      </c>
      <c r="B30934" s="3" t="str">
        <f>"201406011168"</f>
        <v>201406011168</v>
      </c>
    </row>
    <row r="30935" spans="1:2" x14ac:dyDescent="0.25">
      <c r="A30935" s="2">
        <v>30930</v>
      </c>
      <c r="B30935" s="3" t="str">
        <f>"201406011255"</f>
        <v>201406011255</v>
      </c>
    </row>
    <row r="30936" spans="1:2" x14ac:dyDescent="0.25">
      <c r="A30936" s="2">
        <v>30931</v>
      </c>
      <c r="B30936" s="3" t="str">
        <f>"201406011293"</f>
        <v>201406011293</v>
      </c>
    </row>
    <row r="30937" spans="1:2" x14ac:dyDescent="0.25">
      <c r="A30937" s="2">
        <v>30932</v>
      </c>
      <c r="B30937" s="3" t="str">
        <f>"201406011296"</f>
        <v>201406011296</v>
      </c>
    </row>
    <row r="30938" spans="1:2" x14ac:dyDescent="0.25">
      <c r="A30938" s="2">
        <v>30933</v>
      </c>
      <c r="B30938" s="3" t="str">
        <f>"201406011307"</f>
        <v>201406011307</v>
      </c>
    </row>
    <row r="30939" spans="1:2" x14ac:dyDescent="0.25">
      <c r="A30939" s="2">
        <v>30934</v>
      </c>
      <c r="B30939" s="3" t="str">
        <f>"201406011325"</f>
        <v>201406011325</v>
      </c>
    </row>
    <row r="30940" spans="1:2" x14ac:dyDescent="0.25">
      <c r="A30940" s="2">
        <v>30935</v>
      </c>
      <c r="B30940" s="3" t="str">
        <f>"201406011326"</f>
        <v>201406011326</v>
      </c>
    </row>
    <row r="30941" spans="1:2" x14ac:dyDescent="0.25">
      <c r="A30941" s="2">
        <v>30936</v>
      </c>
      <c r="B30941" s="3" t="str">
        <f>"201406011328"</f>
        <v>201406011328</v>
      </c>
    </row>
    <row r="30942" spans="1:2" x14ac:dyDescent="0.25">
      <c r="A30942" s="2">
        <v>30937</v>
      </c>
      <c r="B30942" s="3" t="str">
        <f>"201406011332"</f>
        <v>201406011332</v>
      </c>
    </row>
    <row r="30943" spans="1:2" x14ac:dyDescent="0.25">
      <c r="A30943" s="2">
        <v>30938</v>
      </c>
      <c r="B30943" s="3" t="str">
        <f>"201406011334"</f>
        <v>201406011334</v>
      </c>
    </row>
    <row r="30944" spans="1:2" x14ac:dyDescent="0.25">
      <c r="A30944" s="2">
        <v>30939</v>
      </c>
      <c r="B30944" s="3" t="str">
        <f>"201406011335"</f>
        <v>201406011335</v>
      </c>
    </row>
    <row r="30945" spans="1:2" x14ac:dyDescent="0.25">
      <c r="A30945" s="2">
        <v>30940</v>
      </c>
      <c r="B30945" s="3" t="str">
        <f>"201406011385"</f>
        <v>201406011385</v>
      </c>
    </row>
    <row r="30946" spans="1:2" x14ac:dyDescent="0.25">
      <c r="A30946" s="2">
        <v>30941</v>
      </c>
      <c r="B30946" s="3" t="str">
        <f>"201406011439"</f>
        <v>201406011439</v>
      </c>
    </row>
    <row r="30947" spans="1:2" x14ac:dyDescent="0.25">
      <c r="A30947" s="2">
        <v>30942</v>
      </c>
      <c r="B30947" s="3" t="str">
        <f>"201406011465"</f>
        <v>201406011465</v>
      </c>
    </row>
    <row r="30948" spans="1:2" x14ac:dyDescent="0.25">
      <c r="A30948" s="2">
        <v>30943</v>
      </c>
      <c r="B30948" s="3" t="str">
        <f>"201406011474"</f>
        <v>201406011474</v>
      </c>
    </row>
    <row r="30949" spans="1:2" x14ac:dyDescent="0.25">
      <c r="A30949" s="2">
        <v>30944</v>
      </c>
      <c r="B30949" s="3" t="str">
        <f>"201406011499"</f>
        <v>201406011499</v>
      </c>
    </row>
    <row r="30950" spans="1:2" x14ac:dyDescent="0.25">
      <c r="A30950" s="2">
        <v>30945</v>
      </c>
      <c r="B30950" s="3" t="str">
        <f>"201406011508"</f>
        <v>201406011508</v>
      </c>
    </row>
    <row r="30951" spans="1:2" x14ac:dyDescent="0.25">
      <c r="A30951" s="2">
        <v>30946</v>
      </c>
      <c r="B30951" s="3" t="str">
        <f>"201406011520"</f>
        <v>201406011520</v>
      </c>
    </row>
    <row r="30952" spans="1:2" x14ac:dyDescent="0.25">
      <c r="A30952" s="2">
        <v>30947</v>
      </c>
      <c r="B30952" s="3" t="str">
        <f>"201406011528"</f>
        <v>201406011528</v>
      </c>
    </row>
    <row r="30953" spans="1:2" x14ac:dyDescent="0.25">
      <c r="A30953" s="2">
        <v>30948</v>
      </c>
      <c r="B30953" s="3" t="str">
        <f>"201406011548"</f>
        <v>201406011548</v>
      </c>
    </row>
    <row r="30954" spans="1:2" x14ac:dyDescent="0.25">
      <c r="A30954" s="2">
        <v>30949</v>
      </c>
      <c r="B30954" s="3" t="str">
        <f>"201406011561"</f>
        <v>201406011561</v>
      </c>
    </row>
    <row r="30955" spans="1:2" x14ac:dyDescent="0.25">
      <c r="A30955" s="2">
        <v>30950</v>
      </c>
      <c r="B30955" s="3" t="str">
        <f>"201406011569"</f>
        <v>201406011569</v>
      </c>
    </row>
    <row r="30956" spans="1:2" x14ac:dyDescent="0.25">
      <c r="A30956" s="2">
        <v>30951</v>
      </c>
      <c r="B30956" s="3" t="str">
        <f>"201406011629"</f>
        <v>201406011629</v>
      </c>
    </row>
    <row r="30957" spans="1:2" x14ac:dyDescent="0.25">
      <c r="A30957" s="2">
        <v>30952</v>
      </c>
      <c r="B30957" s="3" t="str">
        <f>"201406011645"</f>
        <v>201406011645</v>
      </c>
    </row>
    <row r="30958" spans="1:2" x14ac:dyDescent="0.25">
      <c r="A30958" s="2">
        <v>30953</v>
      </c>
      <c r="B30958" s="3" t="str">
        <f>"201406011682"</f>
        <v>201406011682</v>
      </c>
    </row>
    <row r="30959" spans="1:2" x14ac:dyDescent="0.25">
      <c r="A30959" s="2">
        <v>30954</v>
      </c>
      <c r="B30959" s="3" t="str">
        <f>"201406011684"</f>
        <v>201406011684</v>
      </c>
    </row>
    <row r="30960" spans="1:2" x14ac:dyDescent="0.25">
      <c r="A30960" s="2">
        <v>30955</v>
      </c>
      <c r="B30960" s="3" t="str">
        <f>"201406011692"</f>
        <v>201406011692</v>
      </c>
    </row>
    <row r="30961" spans="1:2" x14ac:dyDescent="0.25">
      <c r="A30961" s="2">
        <v>30956</v>
      </c>
      <c r="B30961" s="3" t="str">
        <f>"201406011700"</f>
        <v>201406011700</v>
      </c>
    </row>
    <row r="30962" spans="1:2" x14ac:dyDescent="0.25">
      <c r="A30962" s="2">
        <v>30957</v>
      </c>
      <c r="B30962" s="3" t="str">
        <f>"201406011746"</f>
        <v>201406011746</v>
      </c>
    </row>
    <row r="30963" spans="1:2" x14ac:dyDescent="0.25">
      <c r="A30963" s="2">
        <v>30958</v>
      </c>
      <c r="B30963" s="3" t="str">
        <f>"201406011762"</f>
        <v>201406011762</v>
      </c>
    </row>
    <row r="30964" spans="1:2" x14ac:dyDescent="0.25">
      <c r="A30964" s="2">
        <v>30959</v>
      </c>
      <c r="B30964" s="3" t="str">
        <f>"201406011764"</f>
        <v>201406011764</v>
      </c>
    </row>
    <row r="30965" spans="1:2" x14ac:dyDescent="0.25">
      <c r="A30965" s="2">
        <v>30960</v>
      </c>
      <c r="B30965" s="3" t="str">
        <f>"201406011803"</f>
        <v>201406011803</v>
      </c>
    </row>
    <row r="30966" spans="1:2" x14ac:dyDescent="0.25">
      <c r="A30966" s="2">
        <v>30961</v>
      </c>
      <c r="B30966" s="3" t="str">
        <f>"201406011815"</f>
        <v>201406011815</v>
      </c>
    </row>
    <row r="30967" spans="1:2" x14ac:dyDescent="0.25">
      <c r="A30967" s="2">
        <v>30962</v>
      </c>
      <c r="B30967" s="3" t="str">
        <f>"201406011885"</f>
        <v>201406011885</v>
      </c>
    </row>
    <row r="30968" spans="1:2" x14ac:dyDescent="0.25">
      <c r="A30968" s="2">
        <v>30963</v>
      </c>
      <c r="B30968" s="3" t="str">
        <f>"201406011894"</f>
        <v>201406011894</v>
      </c>
    </row>
    <row r="30969" spans="1:2" x14ac:dyDescent="0.25">
      <c r="A30969" s="2">
        <v>30964</v>
      </c>
      <c r="B30969" s="3" t="str">
        <f>"201406011924"</f>
        <v>201406011924</v>
      </c>
    </row>
    <row r="30970" spans="1:2" x14ac:dyDescent="0.25">
      <c r="A30970" s="2">
        <v>30965</v>
      </c>
      <c r="B30970" s="3" t="str">
        <f>"201406011937"</f>
        <v>201406011937</v>
      </c>
    </row>
    <row r="30971" spans="1:2" x14ac:dyDescent="0.25">
      <c r="A30971" s="2">
        <v>30966</v>
      </c>
      <c r="B30971" s="3" t="str">
        <f>"201406011956"</f>
        <v>201406011956</v>
      </c>
    </row>
    <row r="30972" spans="1:2" x14ac:dyDescent="0.25">
      <c r="A30972" s="2">
        <v>30967</v>
      </c>
      <c r="B30972" s="3" t="str">
        <f>"201406011980"</f>
        <v>201406011980</v>
      </c>
    </row>
    <row r="30973" spans="1:2" x14ac:dyDescent="0.25">
      <c r="A30973" s="2">
        <v>30968</v>
      </c>
      <c r="B30973" s="3" t="str">
        <f>"201406011994"</f>
        <v>201406011994</v>
      </c>
    </row>
    <row r="30974" spans="1:2" x14ac:dyDescent="0.25">
      <c r="A30974" s="2">
        <v>30969</v>
      </c>
      <c r="B30974" s="3" t="str">
        <f>"201406011997"</f>
        <v>201406011997</v>
      </c>
    </row>
    <row r="30975" spans="1:2" x14ac:dyDescent="0.25">
      <c r="A30975" s="2">
        <v>30970</v>
      </c>
      <c r="B30975" s="3" t="str">
        <f>"201406012038"</f>
        <v>201406012038</v>
      </c>
    </row>
    <row r="30976" spans="1:2" x14ac:dyDescent="0.25">
      <c r="A30976" s="2">
        <v>30971</v>
      </c>
      <c r="B30976" s="3" t="str">
        <f>"201406012089"</f>
        <v>201406012089</v>
      </c>
    </row>
    <row r="30977" spans="1:2" x14ac:dyDescent="0.25">
      <c r="A30977" s="2">
        <v>30972</v>
      </c>
      <c r="B30977" s="3" t="str">
        <f>"201406012098"</f>
        <v>201406012098</v>
      </c>
    </row>
    <row r="30978" spans="1:2" x14ac:dyDescent="0.25">
      <c r="A30978" s="2">
        <v>30973</v>
      </c>
      <c r="B30978" s="3" t="str">
        <f>"201406012114"</f>
        <v>201406012114</v>
      </c>
    </row>
    <row r="30979" spans="1:2" x14ac:dyDescent="0.25">
      <c r="A30979" s="2">
        <v>30974</v>
      </c>
      <c r="B30979" s="3" t="str">
        <f>"201406012119"</f>
        <v>201406012119</v>
      </c>
    </row>
    <row r="30980" spans="1:2" x14ac:dyDescent="0.25">
      <c r="A30980" s="2">
        <v>30975</v>
      </c>
      <c r="B30980" s="3" t="str">
        <f>"201406012120"</f>
        <v>201406012120</v>
      </c>
    </row>
    <row r="30981" spans="1:2" x14ac:dyDescent="0.25">
      <c r="A30981" s="2">
        <v>30976</v>
      </c>
      <c r="B30981" s="3" t="str">
        <f>"201406012134"</f>
        <v>201406012134</v>
      </c>
    </row>
    <row r="30982" spans="1:2" x14ac:dyDescent="0.25">
      <c r="A30982" s="2">
        <v>30977</v>
      </c>
      <c r="B30982" s="3" t="str">
        <f>"201406012151"</f>
        <v>201406012151</v>
      </c>
    </row>
    <row r="30983" spans="1:2" x14ac:dyDescent="0.25">
      <c r="A30983" s="2">
        <v>30978</v>
      </c>
      <c r="B30983" s="3" t="str">
        <f>"201406012159"</f>
        <v>201406012159</v>
      </c>
    </row>
    <row r="30984" spans="1:2" x14ac:dyDescent="0.25">
      <c r="A30984" s="2">
        <v>30979</v>
      </c>
      <c r="B30984" s="3" t="str">
        <f>"201406012164"</f>
        <v>201406012164</v>
      </c>
    </row>
    <row r="30985" spans="1:2" x14ac:dyDescent="0.25">
      <c r="A30985" s="2">
        <v>30980</v>
      </c>
      <c r="B30985" s="3" t="str">
        <f>"201406012209"</f>
        <v>201406012209</v>
      </c>
    </row>
    <row r="30986" spans="1:2" x14ac:dyDescent="0.25">
      <c r="A30986" s="2">
        <v>30981</v>
      </c>
      <c r="B30986" s="3" t="str">
        <f>"201406012217"</f>
        <v>201406012217</v>
      </c>
    </row>
    <row r="30987" spans="1:2" x14ac:dyDescent="0.25">
      <c r="A30987" s="2">
        <v>30982</v>
      </c>
      <c r="B30987" s="3" t="str">
        <f>"201406012235"</f>
        <v>201406012235</v>
      </c>
    </row>
    <row r="30988" spans="1:2" x14ac:dyDescent="0.25">
      <c r="A30988" s="2">
        <v>30983</v>
      </c>
      <c r="B30988" s="3" t="str">
        <f>"201406012243"</f>
        <v>201406012243</v>
      </c>
    </row>
    <row r="30989" spans="1:2" x14ac:dyDescent="0.25">
      <c r="A30989" s="2">
        <v>30984</v>
      </c>
      <c r="B30989" s="3" t="str">
        <f>"201406012250"</f>
        <v>201406012250</v>
      </c>
    </row>
    <row r="30990" spans="1:2" x14ac:dyDescent="0.25">
      <c r="A30990" s="2">
        <v>30985</v>
      </c>
      <c r="B30990" s="3" t="str">
        <f>"201406012283"</f>
        <v>201406012283</v>
      </c>
    </row>
    <row r="30991" spans="1:2" x14ac:dyDescent="0.25">
      <c r="A30991" s="2">
        <v>30986</v>
      </c>
      <c r="B30991" s="3" t="str">
        <f>"201406012291"</f>
        <v>201406012291</v>
      </c>
    </row>
    <row r="30992" spans="1:2" x14ac:dyDescent="0.25">
      <c r="A30992" s="2">
        <v>30987</v>
      </c>
      <c r="B30992" s="3" t="str">
        <f>"201406012301"</f>
        <v>201406012301</v>
      </c>
    </row>
    <row r="30993" spans="1:2" x14ac:dyDescent="0.25">
      <c r="A30993" s="2">
        <v>30988</v>
      </c>
      <c r="B30993" s="3" t="str">
        <f>"201406012304"</f>
        <v>201406012304</v>
      </c>
    </row>
    <row r="30994" spans="1:2" x14ac:dyDescent="0.25">
      <c r="A30994" s="2">
        <v>30989</v>
      </c>
      <c r="B30994" s="3" t="str">
        <f>"201406012315"</f>
        <v>201406012315</v>
      </c>
    </row>
    <row r="30995" spans="1:2" x14ac:dyDescent="0.25">
      <c r="A30995" s="2">
        <v>30990</v>
      </c>
      <c r="B30995" s="3" t="str">
        <f>"201406012330"</f>
        <v>201406012330</v>
      </c>
    </row>
    <row r="30996" spans="1:2" x14ac:dyDescent="0.25">
      <c r="A30996" s="2">
        <v>30991</v>
      </c>
      <c r="B30996" s="3" t="str">
        <f>"201406012358"</f>
        <v>201406012358</v>
      </c>
    </row>
    <row r="30997" spans="1:2" x14ac:dyDescent="0.25">
      <c r="A30997" s="2">
        <v>30992</v>
      </c>
      <c r="B30997" s="3" t="str">
        <f>"201406012378"</f>
        <v>201406012378</v>
      </c>
    </row>
    <row r="30998" spans="1:2" x14ac:dyDescent="0.25">
      <c r="A30998" s="2">
        <v>30993</v>
      </c>
      <c r="B30998" s="3" t="str">
        <f>"201406012385"</f>
        <v>201406012385</v>
      </c>
    </row>
    <row r="30999" spans="1:2" x14ac:dyDescent="0.25">
      <c r="A30999" s="2">
        <v>30994</v>
      </c>
      <c r="B30999" s="3" t="str">
        <f>"201406012387"</f>
        <v>201406012387</v>
      </c>
    </row>
    <row r="31000" spans="1:2" x14ac:dyDescent="0.25">
      <c r="A31000" s="2">
        <v>30995</v>
      </c>
      <c r="B31000" s="3" t="str">
        <f>"201406012397"</f>
        <v>201406012397</v>
      </c>
    </row>
    <row r="31001" spans="1:2" x14ac:dyDescent="0.25">
      <c r="A31001" s="2">
        <v>30996</v>
      </c>
      <c r="B31001" s="3" t="str">
        <f>"201406012413"</f>
        <v>201406012413</v>
      </c>
    </row>
    <row r="31002" spans="1:2" x14ac:dyDescent="0.25">
      <c r="A31002" s="2">
        <v>30997</v>
      </c>
      <c r="B31002" s="3" t="str">
        <f>"201406012425"</f>
        <v>201406012425</v>
      </c>
    </row>
    <row r="31003" spans="1:2" x14ac:dyDescent="0.25">
      <c r="A31003" s="2">
        <v>30998</v>
      </c>
      <c r="B31003" s="3" t="str">
        <f>"201406012427"</f>
        <v>201406012427</v>
      </c>
    </row>
    <row r="31004" spans="1:2" x14ac:dyDescent="0.25">
      <c r="A31004" s="2">
        <v>30999</v>
      </c>
      <c r="B31004" s="3" t="str">
        <f>"201406012441"</f>
        <v>201406012441</v>
      </c>
    </row>
    <row r="31005" spans="1:2" x14ac:dyDescent="0.25">
      <c r="A31005" s="2">
        <v>31000</v>
      </c>
      <c r="B31005" s="3" t="str">
        <f>"201406012457"</f>
        <v>201406012457</v>
      </c>
    </row>
    <row r="31006" spans="1:2" x14ac:dyDescent="0.25">
      <c r="A31006" s="2">
        <v>31001</v>
      </c>
      <c r="B31006" s="3" t="str">
        <f>"201406012485"</f>
        <v>201406012485</v>
      </c>
    </row>
    <row r="31007" spans="1:2" x14ac:dyDescent="0.25">
      <c r="A31007" s="2">
        <v>31002</v>
      </c>
      <c r="B31007" s="3" t="str">
        <f>"201406012508"</f>
        <v>201406012508</v>
      </c>
    </row>
    <row r="31008" spans="1:2" x14ac:dyDescent="0.25">
      <c r="A31008" s="2">
        <v>31003</v>
      </c>
      <c r="B31008" s="3" t="str">
        <f>"201406012552"</f>
        <v>201406012552</v>
      </c>
    </row>
    <row r="31009" spans="1:2" x14ac:dyDescent="0.25">
      <c r="A31009" s="2">
        <v>31004</v>
      </c>
      <c r="B31009" s="3" t="str">
        <f>"201406012564"</f>
        <v>201406012564</v>
      </c>
    </row>
    <row r="31010" spans="1:2" x14ac:dyDescent="0.25">
      <c r="A31010" s="2">
        <v>31005</v>
      </c>
      <c r="B31010" s="3" t="str">
        <f>"201406012575"</f>
        <v>201406012575</v>
      </c>
    </row>
    <row r="31011" spans="1:2" x14ac:dyDescent="0.25">
      <c r="A31011" s="2">
        <v>31006</v>
      </c>
      <c r="B31011" s="3" t="str">
        <f>"201406012593"</f>
        <v>201406012593</v>
      </c>
    </row>
    <row r="31012" spans="1:2" x14ac:dyDescent="0.25">
      <c r="A31012" s="2">
        <v>31007</v>
      </c>
      <c r="B31012" s="3" t="str">
        <f>"201406012610"</f>
        <v>201406012610</v>
      </c>
    </row>
    <row r="31013" spans="1:2" x14ac:dyDescent="0.25">
      <c r="A31013" s="2">
        <v>31008</v>
      </c>
      <c r="B31013" s="3" t="str">
        <f>"201406012634"</f>
        <v>201406012634</v>
      </c>
    </row>
    <row r="31014" spans="1:2" x14ac:dyDescent="0.25">
      <c r="A31014" s="2">
        <v>31009</v>
      </c>
      <c r="B31014" s="3" t="str">
        <f>"201406012689"</f>
        <v>201406012689</v>
      </c>
    </row>
    <row r="31015" spans="1:2" x14ac:dyDescent="0.25">
      <c r="A31015" s="2">
        <v>31010</v>
      </c>
      <c r="B31015" s="3" t="str">
        <f>"201406012721"</f>
        <v>201406012721</v>
      </c>
    </row>
    <row r="31016" spans="1:2" x14ac:dyDescent="0.25">
      <c r="A31016" s="2">
        <v>31011</v>
      </c>
      <c r="B31016" s="3" t="str">
        <f>"201406012740"</f>
        <v>201406012740</v>
      </c>
    </row>
    <row r="31017" spans="1:2" x14ac:dyDescent="0.25">
      <c r="A31017" s="2">
        <v>31012</v>
      </c>
      <c r="B31017" s="3" t="str">
        <f>"201406012751"</f>
        <v>201406012751</v>
      </c>
    </row>
    <row r="31018" spans="1:2" x14ac:dyDescent="0.25">
      <c r="A31018" s="2">
        <v>31013</v>
      </c>
      <c r="B31018" s="3" t="str">
        <f>"201406012769"</f>
        <v>201406012769</v>
      </c>
    </row>
    <row r="31019" spans="1:2" x14ac:dyDescent="0.25">
      <c r="A31019" s="2">
        <v>31014</v>
      </c>
      <c r="B31019" s="3" t="str">
        <f>"201406012772"</f>
        <v>201406012772</v>
      </c>
    </row>
    <row r="31020" spans="1:2" x14ac:dyDescent="0.25">
      <c r="A31020" s="2">
        <v>31015</v>
      </c>
      <c r="B31020" s="3" t="str">
        <f>"201406012776"</f>
        <v>201406012776</v>
      </c>
    </row>
    <row r="31021" spans="1:2" x14ac:dyDescent="0.25">
      <c r="A31021" s="2">
        <v>31016</v>
      </c>
      <c r="B31021" s="3" t="str">
        <f>"201406012777"</f>
        <v>201406012777</v>
      </c>
    </row>
    <row r="31022" spans="1:2" x14ac:dyDescent="0.25">
      <c r="A31022" s="2">
        <v>31017</v>
      </c>
      <c r="B31022" s="3" t="str">
        <f>"201406012791"</f>
        <v>201406012791</v>
      </c>
    </row>
    <row r="31023" spans="1:2" x14ac:dyDescent="0.25">
      <c r="A31023" s="2">
        <v>31018</v>
      </c>
      <c r="B31023" s="3" t="str">
        <f>"201406012813"</f>
        <v>201406012813</v>
      </c>
    </row>
    <row r="31024" spans="1:2" x14ac:dyDescent="0.25">
      <c r="A31024" s="2">
        <v>31019</v>
      </c>
      <c r="B31024" s="3" t="str">
        <f>"201406012814"</f>
        <v>201406012814</v>
      </c>
    </row>
    <row r="31025" spans="1:2" x14ac:dyDescent="0.25">
      <c r="A31025" s="2">
        <v>31020</v>
      </c>
      <c r="B31025" s="3" t="str">
        <f>"201406012835"</f>
        <v>201406012835</v>
      </c>
    </row>
    <row r="31026" spans="1:2" x14ac:dyDescent="0.25">
      <c r="A31026" s="2">
        <v>31021</v>
      </c>
      <c r="B31026" s="3" t="str">
        <f>"201406012846"</f>
        <v>201406012846</v>
      </c>
    </row>
    <row r="31027" spans="1:2" x14ac:dyDescent="0.25">
      <c r="A31027" s="2">
        <v>31022</v>
      </c>
      <c r="B31027" s="3" t="str">
        <f>"201406012862"</f>
        <v>201406012862</v>
      </c>
    </row>
    <row r="31028" spans="1:2" x14ac:dyDescent="0.25">
      <c r="A31028" s="2">
        <v>31023</v>
      </c>
      <c r="B31028" s="3" t="str">
        <f>"201406012867"</f>
        <v>201406012867</v>
      </c>
    </row>
    <row r="31029" spans="1:2" x14ac:dyDescent="0.25">
      <c r="A31029" s="2">
        <v>31024</v>
      </c>
      <c r="B31029" s="3" t="str">
        <f>"201406012869"</f>
        <v>201406012869</v>
      </c>
    </row>
    <row r="31030" spans="1:2" x14ac:dyDescent="0.25">
      <c r="A31030" s="2">
        <v>31025</v>
      </c>
      <c r="B31030" s="3" t="str">
        <f>"201406012874"</f>
        <v>201406012874</v>
      </c>
    </row>
    <row r="31031" spans="1:2" x14ac:dyDescent="0.25">
      <c r="A31031" s="2">
        <v>31026</v>
      </c>
      <c r="B31031" s="3" t="str">
        <f>"201406012953"</f>
        <v>201406012953</v>
      </c>
    </row>
    <row r="31032" spans="1:2" x14ac:dyDescent="0.25">
      <c r="A31032" s="2">
        <v>31027</v>
      </c>
      <c r="B31032" s="3" t="str">
        <f>"201406013135"</f>
        <v>201406013135</v>
      </c>
    </row>
    <row r="31033" spans="1:2" x14ac:dyDescent="0.25">
      <c r="A31033" s="2">
        <v>31028</v>
      </c>
      <c r="B31033" s="3" t="str">
        <f>"201406013142"</f>
        <v>201406013142</v>
      </c>
    </row>
    <row r="31034" spans="1:2" x14ac:dyDescent="0.25">
      <c r="A31034" s="2">
        <v>31029</v>
      </c>
      <c r="B31034" s="3" t="str">
        <f>"201406013156"</f>
        <v>201406013156</v>
      </c>
    </row>
    <row r="31035" spans="1:2" x14ac:dyDescent="0.25">
      <c r="A31035" s="2">
        <v>31030</v>
      </c>
      <c r="B31035" s="3" t="str">
        <f>"201406013166"</f>
        <v>201406013166</v>
      </c>
    </row>
    <row r="31036" spans="1:2" x14ac:dyDescent="0.25">
      <c r="A31036" s="2">
        <v>31031</v>
      </c>
      <c r="B31036" s="3" t="str">
        <f>"201406013193"</f>
        <v>201406013193</v>
      </c>
    </row>
    <row r="31037" spans="1:2" x14ac:dyDescent="0.25">
      <c r="A31037" s="2">
        <v>31032</v>
      </c>
      <c r="B31037" s="3" t="str">
        <f>"201406013239"</f>
        <v>201406013239</v>
      </c>
    </row>
    <row r="31038" spans="1:2" x14ac:dyDescent="0.25">
      <c r="A31038" s="2">
        <v>31033</v>
      </c>
      <c r="B31038" s="3" t="str">
        <f>"201406013264"</f>
        <v>201406013264</v>
      </c>
    </row>
    <row r="31039" spans="1:2" x14ac:dyDescent="0.25">
      <c r="A31039" s="2">
        <v>31034</v>
      </c>
      <c r="B31039" s="3" t="str">
        <f>"201406013268"</f>
        <v>201406013268</v>
      </c>
    </row>
    <row r="31040" spans="1:2" x14ac:dyDescent="0.25">
      <c r="A31040" s="2">
        <v>31035</v>
      </c>
      <c r="B31040" s="3" t="str">
        <f>"201406013286"</f>
        <v>201406013286</v>
      </c>
    </row>
    <row r="31041" spans="1:2" x14ac:dyDescent="0.25">
      <c r="A31041" s="2">
        <v>31036</v>
      </c>
      <c r="B31041" s="3" t="str">
        <f>"201406013394"</f>
        <v>201406013394</v>
      </c>
    </row>
    <row r="31042" spans="1:2" x14ac:dyDescent="0.25">
      <c r="A31042" s="2">
        <v>31037</v>
      </c>
      <c r="B31042" s="3" t="str">
        <f>"201406013398"</f>
        <v>201406013398</v>
      </c>
    </row>
    <row r="31043" spans="1:2" x14ac:dyDescent="0.25">
      <c r="A31043" s="2">
        <v>31038</v>
      </c>
      <c r="B31043" s="3" t="str">
        <f>"201406013442"</f>
        <v>201406013442</v>
      </c>
    </row>
    <row r="31044" spans="1:2" x14ac:dyDescent="0.25">
      <c r="A31044" s="2">
        <v>31039</v>
      </c>
      <c r="B31044" s="3" t="str">
        <f>"201406013448"</f>
        <v>201406013448</v>
      </c>
    </row>
    <row r="31045" spans="1:2" x14ac:dyDescent="0.25">
      <c r="A31045" s="2">
        <v>31040</v>
      </c>
      <c r="B31045" s="3" t="str">
        <f>"201406013478"</f>
        <v>201406013478</v>
      </c>
    </row>
    <row r="31046" spans="1:2" x14ac:dyDescent="0.25">
      <c r="A31046" s="2">
        <v>31041</v>
      </c>
      <c r="B31046" s="3" t="str">
        <f>"201406013488"</f>
        <v>201406013488</v>
      </c>
    </row>
    <row r="31047" spans="1:2" x14ac:dyDescent="0.25">
      <c r="A31047" s="2">
        <v>31042</v>
      </c>
      <c r="B31047" s="3" t="str">
        <f>"201406013534"</f>
        <v>201406013534</v>
      </c>
    </row>
    <row r="31048" spans="1:2" x14ac:dyDescent="0.25">
      <c r="A31048" s="2">
        <v>31043</v>
      </c>
      <c r="B31048" s="3" t="str">
        <f>"201406013570"</f>
        <v>201406013570</v>
      </c>
    </row>
    <row r="31049" spans="1:2" x14ac:dyDescent="0.25">
      <c r="A31049" s="2">
        <v>31044</v>
      </c>
      <c r="B31049" s="3" t="str">
        <f>"201406013577"</f>
        <v>201406013577</v>
      </c>
    </row>
    <row r="31050" spans="1:2" x14ac:dyDescent="0.25">
      <c r="A31050" s="2">
        <v>31045</v>
      </c>
      <c r="B31050" s="3" t="str">
        <f>"201406013589"</f>
        <v>201406013589</v>
      </c>
    </row>
    <row r="31051" spans="1:2" x14ac:dyDescent="0.25">
      <c r="A31051" s="2">
        <v>31046</v>
      </c>
      <c r="B31051" s="3" t="str">
        <f>"201406013613"</f>
        <v>201406013613</v>
      </c>
    </row>
    <row r="31052" spans="1:2" x14ac:dyDescent="0.25">
      <c r="A31052" s="2">
        <v>31047</v>
      </c>
      <c r="B31052" s="3" t="str">
        <f>"201406013653"</f>
        <v>201406013653</v>
      </c>
    </row>
    <row r="31053" spans="1:2" x14ac:dyDescent="0.25">
      <c r="A31053" s="2">
        <v>31048</v>
      </c>
      <c r="B31053" s="3" t="str">
        <f>"201406013672"</f>
        <v>201406013672</v>
      </c>
    </row>
    <row r="31054" spans="1:2" x14ac:dyDescent="0.25">
      <c r="A31054" s="2">
        <v>31049</v>
      </c>
      <c r="B31054" s="3" t="str">
        <f>"201406013677"</f>
        <v>201406013677</v>
      </c>
    </row>
    <row r="31055" spans="1:2" x14ac:dyDescent="0.25">
      <c r="A31055" s="2">
        <v>31050</v>
      </c>
      <c r="B31055" s="3" t="str">
        <f>"201406013687"</f>
        <v>201406013687</v>
      </c>
    </row>
    <row r="31056" spans="1:2" x14ac:dyDescent="0.25">
      <c r="A31056" s="2">
        <v>31051</v>
      </c>
      <c r="B31056" s="3" t="str">
        <f>"201406013694"</f>
        <v>201406013694</v>
      </c>
    </row>
    <row r="31057" spans="1:2" x14ac:dyDescent="0.25">
      <c r="A31057" s="2">
        <v>31052</v>
      </c>
      <c r="B31057" s="3" t="str">
        <f>"201406013763"</f>
        <v>201406013763</v>
      </c>
    </row>
    <row r="31058" spans="1:2" x14ac:dyDescent="0.25">
      <c r="A31058" s="2">
        <v>31053</v>
      </c>
      <c r="B31058" s="3" t="str">
        <f>"201406013774"</f>
        <v>201406013774</v>
      </c>
    </row>
    <row r="31059" spans="1:2" x14ac:dyDescent="0.25">
      <c r="A31059" s="2">
        <v>31054</v>
      </c>
      <c r="B31059" s="3" t="str">
        <f>"201406013798"</f>
        <v>201406013798</v>
      </c>
    </row>
    <row r="31060" spans="1:2" x14ac:dyDescent="0.25">
      <c r="A31060" s="2">
        <v>31055</v>
      </c>
      <c r="B31060" s="3" t="str">
        <f>"201406013808"</f>
        <v>201406013808</v>
      </c>
    </row>
    <row r="31061" spans="1:2" x14ac:dyDescent="0.25">
      <c r="A31061" s="2">
        <v>31056</v>
      </c>
      <c r="B31061" s="3" t="str">
        <f>"201406013821"</f>
        <v>201406013821</v>
      </c>
    </row>
    <row r="31062" spans="1:2" x14ac:dyDescent="0.25">
      <c r="A31062" s="2">
        <v>31057</v>
      </c>
      <c r="B31062" s="3" t="str">
        <f>"201406013883"</f>
        <v>201406013883</v>
      </c>
    </row>
    <row r="31063" spans="1:2" x14ac:dyDescent="0.25">
      <c r="A31063" s="2">
        <v>31058</v>
      </c>
      <c r="B31063" s="3" t="str">
        <f>"201406013884"</f>
        <v>201406013884</v>
      </c>
    </row>
    <row r="31064" spans="1:2" x14ac:dyDescent="0.25">
      <c r="A31064" s="2">
        <v>31059</v>
      </c>
      <c r="B31064" s="3" t="str">
        <f>"201406013889"</f>
        <v>201406013889</v>
      </c>
    </row>
    <row r="31065" spans="1:2" x14ac:dyDescent="0.25">
      <c r="A31065" s="2">
        <v>31060</v>
      </c>
      <c r="B31065" s="3" t="str">
        <f>"201406013894"</f>
        <v>201406013894</v>
      </c>
    </row>
    <row r="31066" spans="1:2" x14ac:dyDescent="0.25">
      <c r="A31066" s="2">
        <v>31061</v>
      </c>
      <c r="B31066" s="3" t="str">
        <f>"201406013924"</f>
        <v>201406013924</v>
      </c>
    </row>
    <row r="31067" spans="1:2" x14ac:dyDescent="0.25">
      <c r="A31067" s="2">
        <v>31062</v>
      </c>
      <c r="B31067" s="3" t="str">
        <f>"201406013942"</f>
        <v>201406013942</v>
      </c>
    </row>
    <row r="31068" spans="1:2" x14ac:dyDescent="0.25">
      <c r="A31068" s="2">
        <v>31063</v>
      </c>
      <c r="B31068" s="3" t="str">
        <f>"201406014014"</f>
        <v>201406014014</v>
      </c>
    </row>
    <row r="31069" spans="1:2" x14ac:dyDescent="0.25">
      <c r="A31069" s="2">
        <v>31064</v>
      </c>
      <c r="B31069" s="3" t="str">
        <f>"201406014021"</f>
        <v>201406014021</v>
      </c>
    </row>
    <row r="31070" spans="1:2" x14ac:dyDescent="0.25">
      <c r="A31070" s="2">
        <v>31065</v>
      </c>
      <c r="B31070" s="3" t="str">
        <f>"201406014023"</f>
        <v>201406014023</v>
      </c>
    </row>
    <row r="31071" spans="1:2" x14ac:dyDescent="0.25">
      <c r="A31071" s="2">
        <v>31066</v>
      </c>
      <c r="B31071" s="3" t="str">
        <f>"201406014026"</f>
        <v>201406014026</v>
      </c>
    </row>
    <row r="31072" spans="1:2" x14ac:dyDescent="0.25">
      <c r="A31072" s="2">
        <v>31067</v>
      </c>
      <c r="B31072" s="3" t="str">
        <f>"201406014033"</f>
        <v>201406014033</v>
      </c>
    </row>
    <row r="31073" spans="1:2" x14ac:dyDescent="0.25">
      <c r="A31073" s="2">
        <v>31068</v>
      </c>
      <c r="B31073" s="3" t="str">
        <f>"201406014036"</f>
        <v>201406014036</v>
      </c>
    </row>
    <row r="31074" spans="1:2" x14ac:dyDescent="0.25">
      <c r="A31074" s="2">
        <v>31069</v>
      </c>
      <c r="B31074" s="3" t="str">
        <f>"201406014039"</f>
        <v>201406014039</v>
      </c>
    </row>
    <row r="31075" spans="1:2" x14ac:dyDescent="0.25">
      <c r="A31075" s="2">
        <v>31070</v>
      </c>
      <c r="B31075" s="3" t="str">
        <f>"201406014112"</f>
        <v>201406014112</v>
      </c>
    </row>
    <row r="31076" spans="1:2" x14ac:dyDescent="0.25">
      <c r="A31076" s="2">
        <v>31071</v>
      </c>
      <c r="B31076" s="3" t="str">
        <f>"201406014118"</f>
        <v>201406014118</v>
      </c>
    </row>
    <row r="31077" spans="1:2" x14ac:dyDescent="0.25">
      <c r="A31077" s="2">
        <v>31072</v>
      </c>
      <c r="B31077" s="3" t="str">
        <f>"201406014154"</f>
        <v>201406014154</v>
      </c>
    </row>
    <row r="31078" spans="1:2" x14ac:dyDescent="0.25">
      <c r="A31078" s="2">
        <v>31073</v>
      </c>
      <c r="B31078" s="3" t="str">
        <f>"201406014190"</f>
        <v>201406014190</v>
      </c>
    </row>
    <row r="31079" spans="1:2" x14ac:dyDescent="0.25">
      <c r="A31079" s="2">
        <v>31074</v>
      </c>
      <c r="B31079" s="3" t="str">
        <f>"201406014191"</f>
        <v>201406014191</v>
      </c>
    </row>
    <row r="31080" spans="1:2" x14ac:dyDescent="0.25">
      <c r="A31080" s="2">
        <v>31075</v>
      </c>
      <c r="B31080" s="3" t="str">
        <f>"201406014210"</f>
        <v>201406014210</v>
      </c>
    </row>
    <row r="31081" spans="1:2" x14ac:dyDescent="0.25">
      <c r="A31081" s="2">
        <v>31076</v>
      </c>
      <c r="B31081" s="3" t="str">
        <f>"201406014213"</f>
        <v>201406014213</v>
      </c>
    </row>
    <row r="31082" spans="1:2" x14ac:dyDescent="0.25">
      <c r="A31082" s="2">
        <v>31077</v>
      </c>
      <c r="B31082" s="3" t="str">
        <f>"201406014214"</f>
        <v>201406014214</v>
      </c>
    </row>
    <row r="31083" spans="1:2" x14ac:dyDescent="0.25">
      <c r="A31083" s="2">
        <v>31078</v>
      </c>
      <c r="B31083" s="3" t="str">
        <f>"201406014248"</f>
        <v>201406014248</v>
      </c>
    </row>
    <row r="31084" spans="1:2" x14ac:dyDescent="0.25">
      <c r="A31084" s="2">
        <v>31079</v>
      </c>
      <c r="B31084" s="3" t="str">
        <f>"201406014266"</f>
        <v>201406014266</v>
      </c>
    </row>
    <row r="31085" spans="1:2" x14ac:dyDescent="0.25">
      <c r="A31085" s="2">
        <v>31080</v>
      </c>
      <c r="B31085" s="3" t="str">
        <f>"201406014282"</f>
        <v>201406014282</v>
      </c>
    </row>
    <row r="31086" spans="1:2" x14ac:dyDescent="0.25">
      <c r="A31086" s="2">
        <v>31081</v>
      </c>
      <c r="B31086" s="3" t="str">
        <f>"201406014287"</f>
        <v>201406014287</v>
      </c>
    </row>
    <row r="31087" spans="1:2" x14ac:dyDescent="0.25">
      <c r="A31087" s="2">
        <v>31082</v>
      </c>
      <c r="B31087" s="3" t="str">
        <f>"201406014350"</f>
        <v>201406014350</v>
      </c>
    </row>
    <row r="31088" spans="1:2" x14ac:dyDescent="0.25">
      <c r="A31088" s="2">
        <v>31083</v>
      </c>
      <c r="B31088" s="3" t="str">
        <f>"201406014356"</f>
        <v>201406014356</v>
      </c>
    </row>
    <row r="31089" spans="1:2" x14ac:dyDescent="0.25">
      <c r="A31089" s="2">
        <v>31084</v>
      </c>
      <c r="B31089" s="3" t="str">
        <f>"201406014389"</f>
        <v>201406014389</v>
      </c>
    </row>
    <row r="31090" spans="1:2" x14ac:dyDescent="0.25">
      <c r="A31090" s="2">
        <v>31085</v>
      </c>
      <c r="B31090" s="3" t="str">
        <f>"201406014419"</f>
        <v>201406014419</v>
      </c>
    </row>
    <row r="31091" spans="1:2" x14ac:dyDescent="0.25">
      <c r="A31091" s="2">
        <v>31086</v>
      </c>
      <c r="B31091" s="3" t="str">
        <f>"201406014449"</f>
        <v>201406014449</v>
      </c>
    </row>
    <row r="31092" spans="1:2" x14ac:dyDescent="0.25">
      <c r="A31092" s="2">
        <v>31087</v>
      </c>
      <c r="B31092" s="3" t="str">
        <f>"201406014455"</f>
        <v>201406014455</v>
      </c>
    </row>
    <row r="31093" spans="1:2" x14ac:dyDescent="0.25">
      <c r="A31093" s="2">
        <v>31088</v>
      </c>
      <c r="B31093" s="3" t="str">
        <f>"201406014486"</f>
        <v>201406014486</v>
      </c>
    </row>
    <row r="31094" spans="1:2" x14ac:dyDescent="0.25">
      <c r="A31094" s="2">
        <v>31089</v>
      </c>
      <c r="B31094" s="3" t="str">
        <f>"201406014507"</f>
        <v>201406014507</v>
      </c>
    </row>
    <row r="31095" spans="1:2" x14ac:dyDescent="0.25">
      <c r="A31095" s="2">
        <v>31090</v>
      </c>
      <c r="B31095" s="3" t="str">
        <f>"201406014513"</f>
        <v>201406014513</v>
      </c>
    </row>
    <row r="31096" spans="1:2" x14ac:dyDescent="0.25">
      <c r="A31096" s="2">
        <v>31091</v>
      </c>
      <c r="B31096" s="3" t="str">
        <f>"201406014523"</f>
        <v>201406014523</v>
      </c>
    </row>
    <row r="31097" spans="1:2" x14ac:dyDescent="0.25">
      <c r="A31097" s="2">
        <v>31092</v>
      </c>
      <c r="B31097" s="3" t="str">
        <f>"201406014543"</f>
        <v>201406014543</v>
      </c>
    </row>
    <row r="31098" spans="1:2" x14ac:dyDescent="0.25">
      <c r="A31098" s="2">
        <v>31093</v>
      </c>
      <c r="B31098" s="3" t="str">
        <f>"201406014573"</f>
        <v>201406014573</v>
      </c>
    </row>
    <row r="31099" spans="1:2" x14ac:dyDescent="0.25">
      <c r="A31099" s="2">
        <v>31094</v>
      </c>
      <c r="B31099" s="3" t="str">
        <f>"201406014618"</f>
        <v>201406014618</v>
      </c>
    </row>
    <row r="31100" spans="1:2" x14ac:dyDescent="0.25">
      <c r="A31100" s="2">
        <v>31095</v>
      </c>
      <c r="B31100" s="3" t="str">
        <f>"201406014622"</f>
        <v>201406014622</v>
      </c>
    </row>
    <row r="31101" spans="1:2" x14ac:dyDescent="0.25">
      <c r="A31101" s="2">
        <v>31096</v>
      </c>
      <c r="B31101" s="3" t="str">
        <f>"201406014651"</f>
        <v>201406014651</v>
      </c>
    </row>
    <row r="31102" spans="1:2" x14ac:dyDescent="0.25">
      <c r="A31102" s="2">
        <v>31097</v>
      </c>
      <c r="B31102" s="3" t="str">
        <f>"201406014670"</f>
        <v>201406014670</v>
      </c>
    </row>
    <row r="31103" spans="1:2" x14ac:dyDescent="0.25">
      <c r="A31103" s="2">
        <v>31098</v>
      </c>
      <c r="B31103" s="3" t="str">
        <f>"201406014672"</f>
        <v>201406014672</v>
      </c>
    </row>
    <row r="31104" spans="1:2" x14ac:dyDescent="0.25">
      <c r="A31104" s="2">
        <v>31099</v>
      </c>
      <c r="B31104" s="3" t="str">
        <f>"201406014680"</f>
        <v>201406014680</v>
      </c>
    </row>
    <row r="31105" spans="1:2" x14ac:dyDescent="0.25">
      <c r="A31105" s="2">
        <v>31100</v>
      </c>
      <c r="B31105" s="3" t="str">
        <f>"201406014699"</f>
        <v>201406014699</v>
      </c>
    </row>
    <row r="31106" spans="1:2" x14ac:dyDescent="0.25">
      <c r="A31106" s="2">
        <v>31101</v>
      </c>
      <c r="B31106" s="3" t="str">
        <f>"201406014751"</f>
        <v>201406014751</v>
      </c>
    </row>
    <row r="31107" spans="1:2" x14ac:dyDescent="0.25">
      <c r="A31107" s="2">
        <v>31102</v>
      </c>
      <c r="B31107" s="3" t="str">
        <f>"201406014784"</f>
        <v>201406014784</v>
      </c>
    </row>
    <row r="31108" spans="1:2" x14ac:dyDescent="0.25">
      <c r="A31108" s="2">
        <v>31103</v>
      </c>
      <c r="B31108" s="3" t="str">
        <f>"201406014813"</f>
        <v>201406014813</v>
      </c>
    </row>
    <row r="31109" spans="1:2" x14ac:dyDescent="0.25">
      <c r="A31109" s="2">
        <v>31104</v>
      </c>
      <c r="B31109" s="3" t="str">
        <f>"201406014814"</f>
        <v>201406014814</v>
      </c>
    </row>
    <row r="31110" spans="1:2" x14ac:dyDescent="0.25">
      <c r="A31110" s="2">
        <v>31105</v>
      </c>
      <c r="B31110" s="3" t="str">
        <f>"201406014817"</f>
        <v>201406014817</v>
      </c>
    </row>
    <row r="31111" spans="1:2" x14ac:dyDescent="0.25">
      <c r="A31111" s="2">
        <v>31106</v>
      </c>
      <c r="B31111" s="3" t="str">
        <f>"201406014818"</f>
        <v>201406014818</v>
      </c>
    </row>
    <row r="31112" spans="1:2" x14ac:dyDescent="0.25">
      <c r="A31112" s="2">
        <v>31107</v>
      </c>
      <c r="B31112" s="3" t="str">
        <f>"201406014824"</f>
        <v>201406014824</v>
      </c>
    </row>
    <row r="31113" spans="1:2" x14ac:dyDescent="0.25">
      <c r="A31113" s="2">
        <v>31108</v>
      </c>
      <c r="B31113" s="3" t="str">
        <f>"201406014834"</f>
        <v>201406014834</v>
      </c>
    </row>
    <row r="31114" spans="1:2" x14ac:dyDescent="0.25">
      <c r="A31114" s="2">
        <v>31109</v>
      </c>
      <c r="B31114" s="3" t="str">
        <f>"201406014849"</f>
        <v>201406014849</v>
      </c>
    </row>
    <row r="31115" spans="1:2" x14ac:dyDescent="0.25">
      <c r="A31115" s="2">
        <v>31110</v>
      </c>
      <c r="B31115" s="3" t="str">
        <f>"201406014883"</f>
        <v>201406014883</v>
      </c>
    </row>
    <row r="31116" spans="1:2" x14ac:dyDescent="0.25">
      <c r="A31116" s="2">
        <v>31111</v>
      </c>
      <c r="B31116" s="3" t="str">
        <f>"201406014893"</f>
        <v>201406014893</v>
      </c>
    </row>
    <row r="31117" spans="1:2" x14ac:dyDescent="0.25">
      <c r="A31117" s="2">
        <v>31112</v>
      </c>
      <c r="B31117" s="3" t="str">
        <f>"201406014916"</f>
        <v>201406014916</v>
      </c>
    </row>
    <row r="31118" spans="1:2" x14ac:dyDescent="0.25">
      <c r="A31118" s="2">
        <v>31113</v>
      </c>
      <c r="B31118" s="3" t="str">
        <f>"201406014992"</f>
        <v>201406014992</v>
      </c>
    </row>
    <row r="31119" spans="1:2" x14ac:dyDescent="0.25">
      <c r="A31119" s="2">
        <v>31114</v>
      </c>
      <c r="B31119" s="3" t="str">
        <f>"201406015005"</f>
        <v>201406015005</v>
      </c>
    </row>
    <row r="31120" spans="1:2" x14ac:dyDescent="0.25">
      <c r="A31120" s="2">
        <v>31115</v>
      </c>
      <c r="B31120" s="3" t="str">
        <f>"201406015016"</f>
        <v>201406015016</v>
      </c>
    </row>
    <row r="31121" spans="1:2" x14ac:dyDescent="0.25">
      <c r="A31121" s="2">
        <v>31116</v>
      </c>
      <c r="B31121" s="3" t="str">
        <f>"201406015021"</f>
        <v>201406015021</v>
      </c>
    </row>
    <row r="31122" spans="1:2" x14ac:dyDescent="0.25">
      <c r="A31122" s="2">
        <v>31117</v>
      </c>
      <c r="B31122" s="3" t="str">
        <f>"201406015024"</f>
        <v>201406015024</v>
      </c>
    </row>
    <row r="31123" spans="1:2" x14ac:dyDescent="0.25">
      <c r="A31123" s="2">
        <v>31118</v>
      </c>
      <c r="B31123" s="3" t="str">
        <f>"201406015042"</f>
        <v>201406015042</v>
      </c>
    </row>
    <row r="31124" spans="1:2" x14ac:dyDescent="0.25">
      <c r="A31124" s="2">
        <v>31119</v>
      </c>
      <c r="B31124" s="3" t="str">
        <f>"201406015043"</f>
        <v>201406015043</v>
      </c>
    </row>
    <row r="31125" spans="1:2" x14ac:dyDescent="0.25">
      <c r="A31125" s="2">
        <v>31120</v>
      </c>
      <c r="B31125" s="3" t="str">
        <f>"201406015049"</f>
        <v>201406015049</v>
      </c>
    </row>
    <row r="31126" spans="1:2" x14ac:dyDescent="0.25">
      <c r="A31126" s="2">
        <v>31121</v>
      </c>
      <c r="B31126" s="3" t="str">
        <f>"201406015086"</f>
        <v>201406015086</v>
      </c>
    </row>
    <row r="31127" spans="1:2" x14ac:dyDescent="0.25">
      <c r="A31127" s="2">
        <v>31122</v>
      </c>
      <c r="B31127" s="3" t="str">
        <f>"201406015094"</f>
        <v>201406015094</v>
      </c>
    </row>
    <row r="31128" spans="1:2" x14ac:dyDescent="0.25">
      <c r="A31128" s="2">
        <v>31123</v>
      </c>
      <c r="B31128" s="3" t="str">
        <f>"201406015102"</f>
        <v>201406015102</v>
      </c>
    </row>
    <row r="31129" spans="1:2" x14ac:dyDescent="0.25">
      <c r="A31129" s="2">
        <v>31124</v>
      </c>
      <c r="B31129" s="3" t="str">
        <f>"201406015103"</f>
        <v>201406015103</v>
      </c>
    </row>
    <row r="31130" spans="1:2" x14ac:dyDescent="0.25">
      <c r="A31130" s="2">
        <v>31125</v>
      </c>
      <c r="B31130" s="3" t="str">
        <f>"201406015127"</f>
        <v>201406015127</v>
      </c>
    </row>
    <row r="31131" spans="1:2" x14ac:dyDescent="0.25">
      <c r="A31131" s="2">
        <v>31126</v>
      </c>
      <c r="B31131" s="3" t="str">
        <f>"201406015128"</f>
        <v>201406015128</v>
      </c>
    </row>
    <row r="31132" spans="1:2" x14ac:dyDescent="0.25">
      <c r="A31132" s="2">
        <v>31127</v>
      </c>
      <c r="B31132" s="3" t="str">
        <f>"201406015172"</f>
        <v>201406015172</v>
      </c>
    </row>
    <row r="31133" spans="1:2" x14ac:dyDescent="0.25">
      <c r="A31133" s="2">
        <v>31128</v>
      </c>
      <c r="B31133" s="3" t="str">
        <f>"201406015175"</f>
        <v>201406015175</v>
      </c>
    </row>
    <row r="31134" spans="1:2" x14ac:dyDescent="0.25">
      <c r="A31134" s="2">
        <v>31129</v>
      </c>
      <c r="B31134" s="3" t="str">
        <f>"201406015186"</f>
        <v>201406015186</v>
      </c>
    </row>
    <row r="31135" spans="1:2" x14ac:dyDescent="0.25">
      <c r="A31135" s="2">
        <v>31130</v>
      </c>
      <c r="B31135" s="3" t="str">
        <f>"201406015225"</f>
        <v>201406015225</v>
      </c>
    </row>
    <row r="31136" spans="1:2" x14ac:dyDescent="0.25">
      <c r="A31136" s="2">
        <v>31131</v>
      </c>
      <c r="B31136" s="3" t="str">
        <f>"201406015267"</f>
        <v>201406015267</v>
      </c>
    </row>
    <row r="31137" spans="1:2" x14ac:dyDescent="0.25">
      <c r="A31137" s="2">
        <v>31132</v>
      </c>
      <c r="B31137" s="3" t="str">
        <f>"201406015275"</f>
        <v>201406015275</v>
      </c>
    </row>
    <row r="31138" spans="1:2" x14ac:dyDescent="0.25">
      <c r="A31138" s="2">
        <v>31133</v>
      </c>
      <c r="B31138" s="3" t="str">
        <f>"201406015292"</f>
        <v>201406015292</v>
      </c>
    </row>
    <row r="31139" spans="1:2" x14ac:dyDescent="0.25">
      <c r="A31139" s="2">
        <v>31134</v>
      </c>
      <c r="B31139" s="3" t="str">
        <f>"201406015300"</f>
        <v>201406015300</v>
      </c>
    </row>
    <row r="31140" spans="1:2" x14ac:dyDescent="0.25">
      <c r="A31140" s="2">
        <v>31135</v>
      </c>
      <c r="B31140" s="3" t="str">
        <f>"201406015305"</f>
        <v>201406015305</v>
      </c>
    </row>
    <row r="31141" spans="1:2" x14ac:dyDescent="0.25">
      <c r="A31141" s="2">
        <v>31136</v>
      </c>
      <c r="B31141" s="3" t="str">
        <f>"201406015310"</f>
        <v>201406015310</v>
      </c>
    </row>
    <row r="31142" spans="1:2" x14ac:dyDescent="0.25">
      <c r="A31142" s="2">
        <v>31137</v>
      </c>
      <c r="B31142" s="3" t="str">
        <f>"201406015314"</f>
        <v>201406015314</v>
      </c>
    </row>
    <row r="31143" spans="1:2" x14ac:dyDescent="0.25">
      <c r="A31143" s="2">
        <v>31138</v>
      </c>
      <c r="B31143" s="3" t="str">
        <f>"201406015323"</f>
        <v>201406015323</v>
      </c>
    </row>
    <row r="31144" spans="1:2" x14ac:dyDescent="0.25">
      <c r="A31144" s="2">
        <v>31139</v>
      </c>
      <c r="B31144" s="3" t="str">
        <f>"201406015341"</f>
        <v>201406015341</v>
      </c>
    </row>
    <row r="31145" spans="1:2" x14ac:dyDescent="0.25">
      <c r="A31145" s="2">
        <v>31140</v>
      </c>
      <c r="B31145" s="3" t="str">
        <f>"201406015429"</f>
        <v>201406015429</v>
      </c>
    </row>
    <row r="31146" spans="1:2" x14ac:dyDescent="0.25">
      <c r="A31146" s="2">
        <v>31141</v>
      </c>
      <c r="B31146" s="3" t="str">
        <f>"201406015433"</f>
        <v>201406015433</v>
      </c>
    </row>
    <row r="31147" spans="1:2" x14ac:dyDescent="0.25">
      <c r="A31147" s="2">
        <v>31142</v>
      </c>
      <c r="B31147" s="3" t="str">
        <f>"201406015440"</f>
        <v>201406015440</v>
      </c>
    </row>
    <row r="31148" spans="1:2" x14ac:dyDescent="0.25">
      <c r="A31148" s="2">
        <v>31143</v>
      </c>
      <c r="B31148" s="3" t="str">
        <f>"201406015489"</f>
        <v>201406015489</v>
      </c>
    </row>
    <row r="31149" spans="1:2" x14ac:dyDescent="0.25">
      <c r="A31149" s="2">
        <v>31144</v>
      </c>
      <c r="B31149" s="3" t="str">
        <f>"201406015502"</f>
        <v>201406015502</v>
      </c>
    </row>
    <row r="31150" spans="1:2" x14ac:dyDescent="0.25">
      <c r="A31150" s="2">
        <v>31145</v>
      </c>
      <c r="B31150" s="3" t="str">
        <f>"201406015532"</f>
        <v>201406015532</v>
      </c>
    </row>
    <row r="31151" spans="1:2" x14ac:dyDescent="0.25">
      <c r="A31151" s="2">
        <v>31146</v>
      </c>
      <c r="B31151" s="3" t="str">
        <f>"201406015579"</f>
        <v>201406015579</v>
      </c>
    </row>
    <row r="31152" spans="1:2" x14ac:dyDescent="0.25">
      <c r="A31152" s="2">
        <v>31147</v>
      </c>
      <c r="B31152" s="3" t="str">
        <f>"201406015592"</f>
        <v>201406015592</v>
      </c>
    </row>
    <row r="31153" spans="1:2" x14ac:dyDescent="0.25">
      <c r="A31153" s="2">
        <v>31148</v>
      </c>
      <c r="B31153" s="3" t="str">
        <f>"201406015611"</f>
        <v>201406015611</v>
      </c>
    </row>
    <row r="31154" spans="1:2" x14ac:dyDescent="0.25">
      <c r="A31154" s="2">
        <v>31149</v>
      </c>
      <c r="B31154" s="3" t="str">
        <f>"201406015616"</f>
        <v>201406015616</v>
      </c>
    </row>
    <row r="31155" spans="1:2" x14ac:dyDescent="0.25">
      <c r="A31155" s="2">
        <v>31150</v>
      </c>
      <c r="B31155" s="3" t="str">
        <f>"201406015732"</f>
        <v>201406015732</v>
      </c>
    </row>
    <row r="31156" spans="1:2" x14ac:dyDescent="0.25">
      <c r="A31156" s="2">
        <v>31151</v>
      </c>
      <c r="B31156" s="3" t="str">
        <f>"201406015778"</f>
        <v>201406015778</v>
      </c>
    </row>
    <row r="31157" spans="1:2" x14ac:dyDescent="0.25">
      <c r="A31157" s="2">
        <v>31152</v>
      </c>
      <c r="B31157" s="3" t="str">
        <f>"201406015815"</f>
        <v>201406015815</v>
      </c>
    </row>
    <row r="31158" spans="1:2" x14ac:dyDescent="0.25">
      <c r="A31158" s="2">
        <v>31153</v>
      </c>
      <c r="B31158" s="3" t="str">
        <f>"201406015818"</f>
        <v>201406015818</v>
      </c>
    </row>
    <row r="31159" spans="1:2" x14ac:dyDescent="0.25">
      <c r="A31159" s="2">
        <v>31154</v>
      </c>
      <c r="B31159" s="3" t="str">
        <f>"201406015875"</f>
        <v>201406015875</v>
      </c>
    </row>
    <row r="31160" spans="1:2" x14ac:dyDescent="0.25">
      <c r="A31160" s="2">
        <v>31155</v>
      </c>
      <c r="B31160" s="3" t="str">
        <f>"201406015918"</f>
        <v>201406015918</v>
      </c>
    </row>
    <row r="31161" spans="1:2" x14ac:dyDescent="0.25">
      <c r="A31161" s="2">
        <v>31156</v>
      </c>
      <c r="B31161" s="3" t="str">
        <f>"201406015999"</f>
        <v>201406015999</v>
      </c>
    </row>
    <row r="31162" spans="1:2" x14ac:dyDescent="0.25">
      <c r="A31162" s="2">
        <v>31157</v>
      </c>
      <c r="B31162" s="3" t="str">
        <f>"201406016032"</f>
        <v>201406016032</v>
      </c>
    </row>
    <row r="31163" spans="1:2" x14ac:dyDescent="0.25">
      <c r="A31163" s="2">
        <v>31158</v>
      </c>
      <c r="B31163" s="3" t="str">
        <f>"201406016058"</f>
        <v>201406016058</v>
      </c>
    </row>
    <row r="31164" spans="1:2" x14ac:dyDescent="0.25">
      <c r="A31164" s="2">
        <v>31159</v>
      </c>
      <c r="B31164" s="3" t="str">
        <f>"201406016096"</f>
        <v>201406016096</v>
      </c>
    </row>
    <row r="31165" spans="1:2" x14ac:dyDescent="0.25">
      <c r="A31165" s="2">
        <v>31160</v>
      </c>
      <c r="B31165" s="3" t="str">
        <f>"201406016184"</f>
        <v>201406016184</v>
      </c>
    </row>
    <row r="31166" spans="1:2" x14ac:dyDescent="0.25">
      <c r="A31166" s="2">
        <v>31161</v>
      </c>
      <c r="B31166" s="3" t="str">
        <f>"201406016192"</f>
        <v>201406016192</v>
      </c>
    </row>
    <row r="31167" spans="1:2" x14ac:dyDescent="0.25">
      <c r="A31167" s="2">
        <v>31162</v>
      </c>
      <c r="B31167" s="3" t="str">
        <f>"201406016237"</f>
        <v>201406016237</v>
      </c>
    </row>
    <row r="31168" spans="1:2" x14ac:dyDescent="0.25">
      <c r="A31168" s="2">
        <v>31163</v>
      </c>
      <c r="B31168" s="3" t="str">
        <f>"201406016277"</f>
        <v>201406016277</v>
      </c>
    </row>
    <row r="31169" spans="1:2" x14ac:dyDescent="0.25">
      <c r="A31169" s="2">
        <v>31164</v>
      </c>
      <c r="B31169" s="3" t="str">
        <f>"201406016329"</f>
        <v>201406016329</v>
      </c>
    </row>
    <row r="31170" spans="1:2" x14ac:dyDescent="0.25">
      <c r="A31170" s="2">
        <v>31165</v>
      </c>
      <c r="B31170" s="3" t="str">
        <f>"201406016352"</f>
        <v>201406016352</v>
      </c>
    </row>
    <row r="31171" spans="1:2" x14ac:dyDescent="0.25">
      <c r="A31171" s="2">
        <v>31166</v>
      </c>
      <c r="B31171" s="3" t="str">
        <f>"201406017296"</f>
        <v>201406017296</v>
      </c>
    </row>
    <row r="31172" spans="1:2" x14ac:dyDescent="0.25">
      <c r="A31172" s="2">
        <v>31167</v>
      </c>
      <c r="B31172" s="3" t="str">
        <f>"201406017304"</f>
        <v>201406017304</v>
      </c>
    </row>
    <row r="31173" spans="1:2" x14ac:dyDescent="0.25">
      <c r="A31173" s="2">
        <v>31168</v>
      </c>
      <c r="B31173" s="3" t="str">
        <f>"201406017340"</f>
        <v>201406017340</v>
      </c>
    </row>
    <row r="31174" spans="1:2" x14ac:dyDescent="0.25">
      <c r="A31174" s="2">
        <v>31169</v>
      </c>
      <c r="B31174" s="3" t="str">
        <f>"201406017397"</f>
        <v>201406017397</v>
      </c>
    </row>
    <row r="31175" spans="1:2" x14ac:dyDescent="0.25">
      <c r="A31175" s="2">
        <v>31170</v>
      </c>
      <c r="B31175" s="3" t="str">
        <f>"201406017426"</f>
        <v>201406017426</v>
      </c>
    </row>
    <row r="31176" spans="1:2" x14ac:dyDescent="0.25">
      <c r="A31176" s="2">
        <v>31171</v>
      </c>
      <c r="B31176" s="3" t="str">
        <f>"201406017427"</f>
        <v>201406017427</v>
      </c>
    </row>
    <row r="31177" spans="1:2" x14ac:dyDescent="0.25">
      <c r="A31177" s="2">
        <v>31172</v>
      </c>
      <c r="B31177" s="3" t="str">
        <f>"201406017459"</f>
        <v>201406017459</v>
      </c>
    </row>
    <row r="31178" spans="1:2" x14ac:dyDescent="0.25">
      <c r="A31178" s="2">
        <v>31173</v>
      </c>
      <c r="B31178" s="3" t="str">
        <f>"201406017483"</f>
        <v>201406017483</v>
      </c>
    </row>
    <row r="31179" spans="1:2" x14ac:dyDescent="0.25">
      <c r="A31179" s="2">
        <v>31174</v>
      </c>
      <c r="B31179" s="3" t="str">
        <f>"201406017506"</f>
        <v>201406017506</v>
      </c>
    </row>
    <row r="31180" spans="1:2" x14ac:dyDescent="0.25">
      <c r="A31180" s="2">
        <v>31175</v>
      </c>
      <c r="B31180" s="3" t="str">
        <f>"201406017525"</f>
        <v>201406017525</v>
      </c>
    </row>
    <row r="31181" spans="1:2" x14ac:dyDescent="0.25">
      <c r="A31181" s="2">
        <v>31176</v>
      </c>
      <c r="B31181" s="3" t="str">
        <f>"201406017558"</f>
        <v>201406017558</v>
      </c>
    </row>
    <row r="31182" spans="1:2" x14ac:dyDescent="0.25">
      <c r="A31182" s="2">
        <v>31177</v>
      </c>
      <c r="B31182" s="3" t="str">
        <f>"201406017590"</f>
        <v>201406017590</v>
      </c>
    </row>
    <row r="31183" spans="1:2" x14ac:dyDescent="0.25">
      <c r="A31183" s="2">
        <v>31178</v>
      </c>
      <c r="B31183" s="3" t="str">
        <f>"201406017593"</f>
        <v>201406017593</v>
      </c>
    </row>
    <row r="31184" spans="1:2" x14ac:dyDescent="0.25">
      <c r="A31184" s="2">
        <v>31179</v>
      </c>
      <c r="B31184" s="3" t="str">
        <f>"201406017608"</f>
        <v>201406017608</v>
      </c>
    </row>
    <row r="31185" spans="1:2" x14ac:dyDescent="0.25">
      <c r="A31185" s="2">
        <v>31180</v>
      </c>
      <c r="B31185" s="3" t="str">
        <f>"201406017623"</f>
        <v>201406017623</v>
      </c>
    </row>
    <row r="31186" spans="1:2" x14ac:dyDescent="0.25">
      <c r="A31186" s="2">
        <v>31181</v>
      </c>
      <c r="B31186" s="3" t="str">
        <f>"201406017699"</f>
        <v>201406017699</v>
      </c>
    </row>
    <row r="31187" spans="1:2" x14ac:dyDescent="0.25">
      <c r="A31187" s="2">
        <v>31182</v>
      </c>
      <c r="B31187" s="3" t="str">
        <f>"201406017738"</f>
        <v>201406017738</v>
      </c>
    </row>
    <row r="31188" spans="1:2" x14ac:dyDescent="0.25">
      <c r="A31188" s="2">
        <v>31183</v>
      </c>
      <c r="B31188" s="3" t="str">
        <f>"201406017741"</f>
        <v>201406017741</v>
      </c>
    </row>
    <row r="31189" spans="1:2" x14ac:dyDescent="0.25">
      <c r="A31189" s="2">
        <v>31184</v>
      </c>
      <c r="B31189" s="3" t="str">
        <f>"201406017748"</f>
        <v>201406017748</v>
      </c>
    </row>
    <row r="31190" spans="1:2" x14ac:dyDescent="0.25">
      <c r="A31190" s="2">
        <v>31185</v>
      </c>
      <c r="B31190" s="3" t="str">
        <f>"201406017768"</f>
        <v>201406017768</v>
      </c>
    </row>
    <row r="31191" spans="1:2" x14ac:dyDescent="0.25">
      <c r="A31191" s="2">
        <v>31186</v>
      </c>
      <c r="B31191" s="3" t="str">
        <f>"201406017800"</f>
        <v>201406017800</v>
      </c>
    </row>
    <row r="31192" spans="1:2" x14ac:dyDescent="0.25">
      <c r="A31192" s="2">
        <v>31187</v>
      </c>
      <c r="B31192" s="3" t="str">
        <f>"201406017830"</f>
        <v>201406017830</v>
      </c>
    </row>
    <row r="31193" spans="1:2" x14ac:dyDescent="0.25">
      <c r="A31193" s="2">
        <v>31188</v>
      </c>
      <c r="B31193" s="3" t="str">
        <f>"201406017856"</f>
        <v>201406017856</v>
      </c>
    </row>
    <row r="31194" spans="1:2" x14ac:dyDescent="0.25">
      <c r="A31194" s="2">
        <v>31189</v>
      </c>
      <c r="B31194" s="3" t="str">
        <f>"201406017903"</f>
        <v>201406017903</v>
      </c>
    </row>
    <row r="31195" spans="1:2" x14ac:dyDescent="0.25">
      <c r="A31195" s="2">
        <v>31190</v>
      </c>
      <c r="B31195" s="3" t="str">
        <f>"201406017962"</f>
        <v>201406017962</v>
      </c>
    </row>
    <row r="31196" spans="1:2" x14ac:dyDescent="0.25">
      <c r="A31196" s="2">
        <v>31191</v>
      </c>
      <c r="B31196" s="3" t="str">
        <f>"201406017977"</f>
        <v>201406017977</v>
      </c>
    </row>
    <row r="31197" spans="1:2" x14ac:dyDescent="0.25">
      <c r="A31197" s="2">
        <v>31192</v>
      </c>
      <c r="B31197" s="3" t="str">
        <f>"201406017996"</f>
        <v>201406017996</v>
      </c>
    </row>
    <row r="31198" spans="1:2" x14ac:dyDescent="0.25">
      <c r="A31198" s="2">
        <v>31193</v>
      </c>
      <c r="B31198" s="3" t="str">
        <f>"201406018031"</f>
        <v>201406018031</v>
      </c>
    </row>
    <row r="31199" spans="1:2" x14ac:dyDescent="0.25">
      <c r="A31199" s="2">
        <v>31194</v>
      </c>
      <c r="B31199" s="3" t="str">
        <f>"201406018048"</f>
        <v>201406018048</v>
      </c>
    </row>
    <row r="31200" spans="1:2" x14ac:dyDescent="0.25">
      <c r="A31200" s="2">
        <v>31195</v>
      </c>
      <c r="B31200" s="3" t="str">
        <f>"201406018087"</f>
        <v>201406018087</v>
      </c>
    </row>
    <row r="31201" spans="1:2" x14ac:dyDescent="0.25">
      <c r="A31201" s="2">
        <v>31196</v>
      </c>
      <c r="B31201" s="3" t="str">
        <f>"201406018107"</f>
        <v>201406018107</v>
      </c>
    </row>
    <row r="31202" spans="1:2" x14ac:dyDescent="0.25">
      <c r="A31202" s="2">
        <v>31197</v>
      </c>
      <c r="B31202" s="3" t="str">
        <f>"201406018109"</f>
        <v>201406018109</v>
      </c>
    </row>
    <row r="31203" spans="1:2" x14ac:dyDescent="0.25">
      <c r="A31203" s="2">
        <v>31198</v>
      </c>
      <c r="B31203" s="3" t="str">
        <f>"201406018169"</f>
        <v>201406018169</v>
      </c>
    </row>
    <row r="31204" spans="1:2" x14ac:dyDescent="0.25">
      <c r="A31204" s="2">
        <v>31199</v>
      </c>
      <c r="B31204" s="3" t="str">
        <f>"201406018192"</f>
        <v>201406018192</v>
      </c>
    </row>
    <row r="31205" spans="1:2" x14ac:dyDescent="0.25">
      <c r="A31205" s="2">
        <v>31200</v>
      </c>
      <c r="B31205" s="3" t="str">
        <f>"201406018205"</f>
        <v>201406018205</v>
      </c>
    </row>
    <row r="31206" spans="1:2" x14ac:dyDescent="0.25">
      <c r="A31206" s="2">
        <v>31201</v>
      </c>
      <c r="B31206" s="3" t="str">
        <f>"201406018245"</f>
        <v>201406018245</v>
      </c>
    </row>
    <row r="31207" spans="1:2" x14ac:dyDescent="0.25">
      <c r="A31207" s="2">
        <v>31202</v>
      </c>
      <c r="B31207" s="3" t="str">
        <f>"201406018271"</f>
        <v>201406018271</v>
      </c>
    </row>
    <row r="31208" spans="1:2" x14ac:dyDescent="0.25">
      <c r="A31208" s="2">
        <v>31203</v>
      </c>
      <c r="B31208" s="3" t="str">
        <f>"201406018314"</f>
        <v>201406018314</v>
      </c>
    </row>
    <row r="31209" spans="1:2" x14ac:dyDescent="0.25">
      <c r="A31209" s="2">
        <v>31204</v>
      </c>
      <c r="B31209" s="3" t="str">
        <f>"201406018328"</f>
        <v>201406018328</v>
      </c>
    </row>
    <row r="31210" spans="1:2" x14ac:dyDescent="0.25">
      <c r="A31210" s="2">
        <v>31205</v>
      </c>
      <c r="B31210" s="3" t="str">
        <f>"201406018329"</f>
        <v>201406018329</v>
      </c>
    </row>
    <row r="31211" spans="1:2" x14ac:dyDescent="0.25">
      <c r="A31211" s="2">
        <v>31206</v>
      </c>
      <c r="B31211" s="3" t="str">
        <f>"201406018352"</f>
        <v>201406018352</v>
      </c>
    </row>
    <row r="31212" spans="1:2" x14ac:dyDescent="0.25">
      <c r="A31212" s="2">
        <v>31207</v>
      </c>
      <c r="B31212" s="3" t="str">
        <f>"201406018363"</f>
        <v>201406018363</v>
      </c>
    </row>
    <row r="31213" spans="1:2" x14ac:dyDescent="0.25">
      <c r="A31213" s="2">
        <v>31208</v>
      </c>
      <c r="B31213" s="3" t="str">
        <f>"201406018364"</f>
        <v>201406018364</v>
      </c>
    </row>
    <row r="31214" spans="1:2" x14ac:dyDescent="0.25">
      <c r="A31214" s="2">
        <v>31209</v>
      </c>
      <c r="B31214" s="3" t="str">
        <f>"201406018412"</f>
        <v>201406018412</v>
      </c>
    </row>
    <row r="31215" spans="1:2" x14ac:dyDescent="0.25">
      <c r="A31215" s="2">
        <v>31210</v>
      </c>
      <c r="B31215" s="3" t="str">
        <f>"201406018414"</f>
        <v>201406018414</v>
      </c>
    </row>
    <row r="31216" spans="1:2" x14ac:dyDescent="0.25">
      <c r="A31216" s="2">
        <v>31211</v>
      </c>
      <c r="B31216" s="3" t="str">
        <f>"201406018449"</f>
        <v>201406018449</v>
      </c>
    </row>
    <row r="31217" spans="1:2" x14ac:dyDescent="0.25">
      <c r="A31217" s="2">
        <v>31212</v>
      </c>
      <c r="B31217" s="3" t="str">
        <f>"201406018467"</f>
        <v>201406018467</v>
      </c>
    </row>
    <row r="31218" spans="1:2" x14ac:dyDescent="0.25">
      <c r="A31218" s="2">
        <v>31213</v>
      </c>
      <c r="B31218" s="3" t="str">
        <f>"201406018496"</f>
        <v>201406018496</v>
      </c>
    </row>
    <row r="31219" spans="1:2" x14ac:dyDescent="0.25">
      <c r="A31219" s="2">
        <v>31214</v>
      </c>
      <c r="B31219" s="3" t="str">
        <f>"201406018512"</f>
        <v>201406018512</v>
      </c>
    </row>
    <row r="31220" spans="1:2" x14ac:dyDescent="0.25">
      <c r="A31220" s="2">
        <v>31215</v>
      </c>
      <c r="B31220" s="3" t="str">
        <f>"201406018547"</f>
        <v>201406018547</v>
      </c>
    </row>
    <row r="31221" spans="1:2" x14ac:dyDescent="0.25">
      <c r="A31221" s="2">
        <v>31216</v>
      </c>
      <c r="B31221" s="3" t="str">
        <f>"201406018576"</f>
        <v>201406018576</v>
      </c>
    </row>
    <row r="31222" spans="1:2" x14ac:dyDescent="0.25">
      <c r="A31222" s="2">
        <v>31217</v>
      </c>
      <c r="B31222" s="3" t="str">
        <f>"201406018581"</f>
        <v>201406018581</v>
      </c>
    </row>
    <row r="31223" spans="1:2" x14ac:dyDescent="0.25">
      <c r="A31223" s="2">
        <v>31218</v>
      </c>
      <c r="B31223" s="3" t="str">
        <f>"201406018647"</f>
        <v>201406018647</v>
      </c>
    </row>
    <row r="31224" spans="1:2" x14ac:dyDescent="0.25">
      <c r="A31224" s="2">
        <v>31219</v>
      </c>
      <c r="B31224" s="3" t="str">
        <f>"201406018676"</f>
        <v>201406018676</v>
      </c>
    </row>
    <row r="31225" spans="1:2" x14ac:dyDescent="0.25">
      <c r="A31225" s="2">
        <v>31220</v>
      </c>
      <c r="B31225" s="3" t="str">
        <f>"201406018705"</f>
        <v>201406018705</v>
      </c>
    </row>
    <row r="31226" spans="1:2" x14ac:dyDescent="0.25">
      <c r="A31226" s="2">
        <v>31221</v>
      </c>
      <c r="B31226" s="3" t="str">
        <f>"201406018712"</f>
        <v>201406018712</v>
      </c>
    </row>
    <row r="31227" spans="1:2" x14ac:dyDescent="0.25">
      <c r="A31227" s="2">
        <v>31222</v>
      </c>
      <c r="B31227" s="3" t="str">
        <f>"201406018727"</f>
        <v>201406018727</v>
      </c>
    </row>
    <row r="31228" spans="1:2" x14ac:dyDescent="0.25">
      <c r="A31228" s="2">
        <v>31223</v>
      </c>
      <c r="B31228" s="3" t="str">
        <f>"201406018760"</f>
        <v>201406018760</v>
      </c>
    </row>
    <row r="31229" spans="1:2" x14ac:dyDescent="0.25">
      <c r="A31229" s="2">
        <v>31224</v>
      </c>
      <c r="B31229" s="3" t="str">
        <f>"201406018781"</f>
        <v>201406018781</v>
      </c>
    </row>
    <row r="31230" spans="1:2" x14ac:dyDescent="0.25">
      <c r="A31230" s="2">
        <v>31225</v>
      </c>
      <c r="B31230" s="3" t="str">
        <f>"201406018784"</f>
        <v>201406018784</v>
      </c>
    </row>
    <row r="31231" spans="1:2" x14ac:dyDescent="0.25">
      <c r="A31231" s="2">
        <v>31226</v>
      </c>
      <c r="B31231" s="3" t="str">
        <f>"201406018788"</f>
        <v>201406018788</v>
      </c>
    </row>
    <row r="31232" spans="1:2" x14ac:dyDescent="0.25">
      <c r="A31232" s="2">
        <v>31227</v>
      </c>
      <c r="B31232" s="3" t="str">
        <f>"201406018794"</f>
        <v>201406018794</v>
      </c>
    </row>
    <row r="31233" spans="1:2" x14ac:dyDescent="0.25">
      <c r="A31233" s="2">
        <v>31228</v>
      </c>
      <c r="B31233" s="3" t="str">
        <f>"201406018809"</f>
        <v>201406018809</v>
      </c>
    </row>
    <row r="31234" spans="1:2" x14ac:dyDescent="0.25">
      <c r="A31234" s="2">
        <v>31229</v>
      </c>
      <c r="B31234" s="3" t="str">
        <f>"201406018881"</f>
        <v>201406018881</v>
      </c>
    </row>
    <row r="31235" spans="1:2" x14ac:dyDescent="0.25">
      <c r="A31235" s="2">
        <v>31230</v>
      </c>
      <c r="B31235" s="3" t="str">
        <f>"201406018886"</f>
        <v>201406018886</v>
      </c>
    </row>
    <row r="31236" spans="1:2" x14ac:dyDescent="0.25">
      <c r="A31236" s="2">
        <v>31231</v>
      </c>
      <c r="B31236" s="3" t="str">
        <f>"201406018970"</f>
        <v>201406018970</v>
      </c>
    </row>
    <row r="31237" spans="1:2" x14ac:dyDescent="0.25">
      <c r="A31237" s="2">
        <v>31232</v>
      </c>
      <c r="B31237" s="3" t="str">
        <f>"201406019003"</f>
        <v>201406019003</v>
      </c>
    </row>
    <row r="31238" spans="1:2" x14ac:dyDescent="0.25">
      <c r="A31238" s="2">
        <v>31233</v>
      </c>
      <c r="B31238" s="3" t="str">
        <f>"201406019016"</f>
        <v>201406019016</v>
      </c>
    </row>
    <row r="31239" spans="1:2" x14ac:dyDescent="0.25">
      <c r="A31239" s="2">
        <v>31234</v>
      </c>
      <c r="B31239" s="3" t="str">
        <f>"201406019032"</f>
        <v>201406019032</v>
      </c>
    </row>
    <row r="31240" spans="1:2" x14ac:dyDescent="0.25">
      <c r="A31240" s="2">
        <v>31235</v>
      </c>
      <c r="B31240" s="3" t="str">
        <f>"201406019056"</f>
        <v>201406019056</v>
      </c>
    </row>
    <row r="31241" spans="1:2" x14ac:dyDescent="0.25">
      <c r="A31241" s="2">
        <v>31236</v>
      </c>
      <c r="B31241" s="3" t="str">
        <f>"201406019062"</f>
        <v>201406019062</v>
      </c>
    </row>
    <row r="31242" spans="1:2" x14ac:dyDescent="0.25">
      <c r="A31242" s="2">
        <v>31237</v>
      </c>
      <c r="B31242" s="3" t="str">
        <f>"201406019067"</f>
        <v>201406019067</v>
      </c>
    </row>
    <row r="31243" spans="1:2" x14ac:dyDescent="0.25">
      <c r="A31243" s="2">
        <v>31238</v>
      </c>
      <c r="B31243" s="3" t="str">
        <f>"201406019084"</f>
        <v>201406019084</v>
      </c>
    </row>
    <row r="31244" spans="1:2" x14ac:dyDescent="0.25">
      <c r="A31244" s="2">
        <v>31239</v>
      </c>
      <c r="B31244" s="3" t="str">
        <f>"201406019137"</f>
        <v>201406019137</v>
      </c>
    </row>
    <row r="31245" spans="1:2" x14ac:dyDescent="0.25">
      <c r="A31245" s="2">
        <v>31240</v>
      </c>
      <c r="B31245" s="3" t="str">
        <f>"201406019151"</f>
        <v>201406019151</v>
      </c>
    </row>
    <row r="31246" spans="1:2" x14ac:dyDescent="0.25">
      <c r="A31246" s="2">
        <v>31241</v>
      </c>
      <c r="B31246" s="3" t="str">
        <f>"201406019162"</f>
        <v>201406019162</v>
      </c>
    </row>
    <row r="31247" spans="1:2" x14ac:dyDescent="0.25">
      <c r="A31247" s="2">
        <v>31242</v>
      </c>
      <c r="B31247" s="3" t="str">
        <f>"201406019185"</f>
        <v>201406019185</v>
      </c>
    </row>
    <row r="31248" spans="1:2" x14ac:dyDescent="0.25">
      <c r="A31248" s="2">
        <v>31243</v>
      </c>
      <c r="B31248" s="3" t="str">
        <f>"201406019205"</f>
        <v>201406019205</v>
      </c>
    </row>
    <row r="31249" spans="1:2" x14ac:dyDescent="0.25">
      <c r="A31249" s="2">
        <v>31244</v>
      </c>
      <c r="B31249" s="3" t="str">
        <f>"201406019206"</f>
        <v>201406019206</v>
      </c>
    </row>
    <row r="31250" spans="1:2" x14ac:dyDescent="0.25">
      <c r="A31250" s="2">
        <v>31245</v>
      </c>
      <c r="B31250" s="3" t="str">
        <f>"201406019209"</f>
        <v>201406019209</v>
      </c>
    </row>
    <row r="31251" spans="1:2" x14ac:dyDescent="0.25">
      <c r="A31251" s="2">
        <v>31246</v>
      </c>
      <c r="B31251" s="3" t="str">
        <f>"201406019223"</f>
        <v>201406019223</v>
      </c>
    </row>
    <row r="31252" spans="1:2" x14ac:dyDescent="0.25">
      <c r="A31252" s="2">
        <v>31247</v>
      </c>
      <c r="B31252" s="3" t="str">
        <f>"201406019315"</f>
        <v>201406019315</v>
      </c>
    </row>
    <row r="31253" spans="1:2" x14ac:dyDescent="0.25">
      <c r="A31253" s="2">
        <v>31248</v>
      </c>
      <c r="B31253" s="3" t="str">
        <f>"201407000016"</f>
        <v>201407000016</v>
      </c>
    </row>
    <row r="31254" spans="1:2" x14ac:dyDescent="0.25">
      <c r="A31254" s="2">
        <v>31249</v>
      </c>
      <c r="B31254" s="3" t="str">
        <f>"201407000061"</f>
        <v>201407000061</v>
      </c>
    </row>
    <row r="31255" spans="1:2" x14ac:dyDescent="0.25">
      <c r="A31255" s="2">
        <v>31250</v>
      </c>
      <c r="B31255" s="3" t="str">
        <f>"201407000068"</f>
        <v>201407000068</v>
      </c>
    </row>
    <row r="31256" spans="1:2" x14ac:dyDescent="0.25">
      <c r="A31256" s="2">
        <v>31251</v>
      </c>
      <c r="B31256" s="3" t="str">
        <f>"201407000075"</f>
        <v>201407000075</v>
      </c>
    </row>
    <row r="31257" spans="1:2" x14ac:dyDescent="0.25">
      <c r="A31257" s="2">
        <v>31252</v>
      </c>
      <c r="B31257" s="3" t="str">
        <f>"201407000089"</f>
        <v>201407000089</v>
      </c>
    </row>
    <row r="31258" spans="1:2" x14ac:dyDescent="0.25">
      <c r="A31258" s="2">
        <v>31253</v>
      </c>
      <c r="B31258" s="3" t="str">
        <f>"201407000090"</f>
        <v>201407000090</v>
      </c>
    </row>
    <row r="31259" spans="1:2" x14ac:dyDescent="0.25">
      <c r="A31259" s="2">
        <v>31254</v>
      </c>
      <c r="B31259" s="3" t="str">
        <f>"201407000147"</f>
        <v>201407000147</v>
      </c>
    </row>
    <row r="31260" spans="1:2" x14ac:dyDescent="0.25">
      <c r="A31260" s="2">
        <v>31255</v>
      </c>
      <c r="B31260" s="3" t="str">
        <f>"201407000174"</f>
        <v>201407000174</v>
      </c>
    </row>
    <row r="31261" spans="1:2" x14ac:dyDescent="0.25">
      <c r="A31261" s="2">
        <v>31256</v>
      </c>
      <c r="B31261" s="3" t="str">
        <f>"201407000238"</f>
        <v>201407000238</v>
      </c>
    </row>
    <row r="31262" spans="1:2" x14ac:dyDescent="0.25">
      <c r="A31262" s="2">
        <v>31257</v>
      </c>
      <c r="B31262" s="3" t="str">
        <f>"201407000254"</f>
        <v>201407000254</v>
      </c>
    </row>
    <row r="31263" spans="1:2" x14ac:dyDescent="0.25">
      <c r="A31263" s="2">
        <v>31258</v>
      </c>
      <c r="B31263" s="3" t="str">
        <f>"201407000281"</f>
        <v>201407000281</v>
      </c>
    </row>
    <row r="31264" spans="1:2" x14ac:dyDescent="0.25">
      <c r="A31264" s="2">
        <v>31259</v>
      </c>
      <c r="B31264" s="3" t="str">
        <f>"201407000323"</f>
        <v>201407000323</v>
      </c>
    </row>
    <row r="31265" spans="1:2" x14ac:dyDescent="0.25">
      <c r="A31265" s="2">
        <v>31260</v>
      </c>
      <c r="B31265" s="3" t="str">
        <f>"201408000052"</f>
        <v>201408000052</v>
      </c>
    </row>
    <row r="31266" spans="1:2" x14ac:dyDescent="0.25">
      <c r="A31266" s="2">
        <v>31261</v>
      </c>
      <c r="B31266" s="3" t="str">
        <f>"201408000057"</f>
        <v>201408000057</v>
      </c>
    </row>
    <row r="31267" spans="1:2" x14ac:dyDescent="0.25">
      <c r="A31267" s="2">
        <v>31262</v>
      </c>
      <c r="B31267" s="3" t="str">
        <f>"201408000063"</f>
        <v>201408000063</v>
      </c>
    </row>
    <row r="31268" spans="1:2" x14ac:dyDescent="0.25">
      <c r="A31268" s="2">
        <v>31263</v>
      </c>
      <c r="B31268" s="3" t="str">
        <f>"201408000077"</f>
        <v>201408000077</v>
      </c>
    </row>
    <row r="31269" spans="1:2" x14ac:dyDescent="0.25">
      <c r="A31269" s="2">
        <v>31264</v>
      </c>
      <c r="B31269" s="3" t="str">
        <f>"201408000151"</f>
        <v>201408000151</v>
      </c>
    </row>
    <row r="31270" spans="1:2" x14ac:dyDescent="0.25">
      <c r="A31270" s="2">
        <v>31265</v>
      </c>
      <c r="B31270" s="3" t="str">
        <f>"201408000160"</f>
        <v>201408000160</v>
      </c>
    </row>
    <row r="31271" spans="1:2" x14ac:dyDescent="0.25">
      <c r="A31271" s="2">
        <v>31266</v>
      </c>
      <c r="B31271" s="3" t="str">
        <f>"201408000169"</f>
        <v>201408000169</v>
      </c>
    </row>
    <row r="31272" spans="1:2" x14ac:dyDescent="0.25">
      <c r="A31272" s="2">
        <v>31267</v>
      </c>
      <c r="B31272" s="3" t="str">
        <f>"201409000017"</f>
        <v>201409000017</v>
      </c>
    </row>
    <row r="31273" spans="1:2" x14ac:dyDescent="0.25">
      <c r="A31273" s="2">
        <v>31268</v>
      </c>
      <c r="B31273" s="3" t="str">
        <f>"201409000030"</f>
        <v>201409000030</v>
      </c>
    </row>
    <row r="31274" spans="1:2" x14ac:dyDescent="0.25">
      <c r="A31274" s="2">
        <v>31269</v>
      </c>
      <c r="B31274" s="3" t="str">
        <f>"201409000087"</f>
        <v>201409000087</v>
      </c>
    </row>
    <row r="31275" spans="1:2" x14ac:dyDescent="0.25">
      <c r="A31275" s="2">
        <v>31270</v>
      </c>
      <c r="B31275" s="3" t="str">
        <f>"201409000157"</f>
        <v>201409000157</v>
      </c>
    </row>
    <row r="31276" spans="1:2" x14ac:dyDescent="0.25">
      <c r="A31276" s="2">
        <v>31271</v>
      </c>
      <c r="B31276" s="3" t="str">
        <f>"201409000221"</f>
        <v>201409000221</v>
      </c>
    </row>
    <row r="31277" spans="1:2" x14ac:dyDescent="0.25">
      <c r="A31277" s="2">
        <v>31272</v>
      </c>
      <c r="B31277" s="3" t="str">
        <f>"201409000243"</f>
        <v>201409000243</v>
      </c>
    </row>
    <row r="31278" spans="1:2" x14ac:dyDescent="0.25">
      <c r="A31278" s="2">
        <v>31273</v>
      </c>
      <c r="B31278" s="3" t="str">
        <f>"201409000245"</f>
        <v>201409000245</v>
      </c>
    </row>
    <row r="31279" spans="1:2" x14ac:dyDescent="0.25">
      <c r="A31279" s="2">
        <v>31274</v>
      </c>
      <c r="B31279" s="3" t="str">
        <f>"201409000259"</f>
        <v>201409000259</v>
      </c>
    </row>
    <row r="31280" spans="1:2" x14ac:dyDescent="0.25">
      <c r="A31280" s="2">
        <v>31275</v>
      </c>
      <c r="B31280" s="3" t="str">
        <f>"201409000262"</f>
        <v>201409000262</v>
      </c>
    </row>
    <row r="31281" spans="1:2" x14ac:dyDescent="0.25">
      <c r="A31281" s="2">
        <v>31276</v>
      </c>
      <c r="B31281" s="3" t="str">
        <f>"201409000267"</f>
        <v>201409000267</v>
      </c>
    </row>
    <row r="31282" spans="1:2" x14ac:dyDescent="0.25">
      <c r="A31282" s="2">
        <v>31277</v>
      </c>
      <c r="B31282" s="3" t="str">
        <f>"201409000322"</f>
        <v>201409000322</v>
      </c>
    </row>
    <row r="31283" spans="1:2" x14ac:dyDescent="0.25">
      <c r="A31283" s="2">
        <v>31278</v>
      </c>
      <c r="B31283" s="3" t="str">
        <f>"201409000367"</f>
        <v>201409000367</v>
      </c>
    </row>
    <row r="31284" spans="1:2" x14ac:dyDescent="0.25">
      <c r="A31284" s="2">
        <v>31279</v>
      </c>
      <c r="B31284" s="3" t="str">
        <f>"201409000377"</f>
        <v>201409000377</v>
      </c>
    </row>
    <row r="31285" spans="1:2" x14ac:dyDescent="0.25">
      <c r="A31285" s="2">
        <v>31280</v>
      </c>
      <c r="B31285" s="3" t="str">
        <f>"201409000381"</f>
        <v>201409000381</v>
      </c>
    </row>
    <row r="31286" spans="1:2" x14ac:dyDescent="0.25">
      <c r="A31286" s="2">
        <v>31281</v>
      </c>
      <c r="B31286" s="3" t="str">
        <f>"201409000451"</f>
        <v>201409000451</v>
      </c>
    </row>
    <row r="31287" spans="1:2" x14ac:dyDescent="0.25">
      <c r="A31287" s="2">
        <v>31282</v>
      </c>
      <c r="B31287" s="3" t="str">
        <f>"201409000471"</f>
        <v>201409000471</v>
      </c>
    </row>
    <row r="31288" spans="1:2" x14ac:dyDescent="0.25">
      <c r="A31288" s="2">
        <v>31283</v>
      </c>
      <c r="B31288" s="3" t="str">
        <f>"201409000476"</f>
        <v>201409000476</v>
      </c>
    </row>
    <row r="31289" spans="1:2" x14ac:dyDescent="0.25">
      <c r="A31289" s="2">
        <v>31284</v>
      </c>
      <c r="B31289" s="3" t="str">
        <f>"201409000481"</f>
        <v>201409000481</v>
      </c>
    </row>
    <row r="31290" spans="1:2" x14ac:dyDescent="0.25">
      <c r="A31290" s="2">
        <v>31285</v>
      </c>
      <c r="B31290" s="3" t="str">
        <f>"201409000503"</f>
        <v>201409000503</v>
      </c>
    </row>
    <row r="31291" spans="1:2" x14ac:dyDescent="0.25">
      <c r="A31291" s="2">
        <v>31286</v>
      </c>
      <c r="B31291" s="3" t="str">
        <f>"201409000632"</f>
        <v>201409000632</v>
      </c>
    </row>
    <row r="31292" spans="1:2" x14ac:dyDescent="0.25">
      <c r="A31292" s="2">
        <v>31287</v>
      </c>
      <c r="B31292" s="3" t="str">
        <f>"201409000641"</f>
        <v>201409000641</v>
      </c>
    </row>
    <row r="31293" spans="1:2" x14ac:dyDescent="0.25">
      <c r="A31293" s="2">
        <v>31288</v>
      </c>
      <c r="B31293" s="3" t="str">
        <f>"201409000683"</f>
        <v>201409000683</v>
      </c>
    </row>
    <row r="31294" spans="1:2" x14ac:dyDescent="0.25">
      <c r="A31294" s="2">
        <v>31289</v>
      </c>
      <c r="B31294" s="3" t="str">
        <f>"201409000716"</f>
        <v>201409000716</v>
      </c>
    </row>
    <row r="31295" spans="1:2" x14ac:dyDescent="0.25">
      <c r="A31295" s="2">
        <v>31290</v>
      </c>
      <c r="B31295" s="3" t="str">
        <f>"201409000742"</f>
        <v>201409000742</v>
      </c>
    </row>
    <row r="31296" spans="1:2" x14ac:dyDescent="0.25">
      <c r="A31296" s="2">
        <v>31291</v>
      </c>
      <c r="B31296" s="3" t="str">
        <f>"201409000796"</f>
        <v>201409000796</v>
      </c>
    </row>
    <row r="31297" spans="1:2" x14ac:dyDescent="0.25">
      <c r="A31297" s="2">
        <v>31292</v>
      </c>
      <c r="B31297" s="3" t="str">
        <f>"201409000802"</f>
        <v>201409000802</v>
      </c>
    </row>
    <row r="31298" spans="1:2" x14ac:dyDescent="0.25">
      <c r="A31298" s="2">
        <v>31293</v>
      </c>
      <c r="B31298" s="3" t="str">
        <f>"201409000891"</f>
        <v>201409000891</v>
      </c>
    </row>
    <row r="31299" spans="1:2" x14ac:dyDescent="0.25">
      <c r="A31299" s="2">
        <v>31294</v>
      </c>
      <c r="B31299" s="3" t="str">
        <f>"201409000915"</f>
        <v>201409000915</v>
      </c>
    </row>
    <row r="31300" spans="1:2" x14ac:dyDescent="0.25">
      <c r="A31300" s="2">
        <v>31295</v>
      </c>
      <c r="B31300" s="3" t="str">
        <f>"201409000946"</f>
        <v>201409000946</v>
      </c>
    </row>
    <row r="31301" spans="1:2" x14ac:dyDescent="0.25">
      <c r="A31301" s="2">
        <v>31296</v>
      </c>
      <c r="B31301" s="3" t="str">
        <f>"201409000952"</f>
        <v>201409000952</v>
      </c>
    </row>
    <row r="31302" spans="1:2" x14ac:dyDescent="0.25">
      <c r="A31302" s="2">
        <v>31297</v>
      </c>
      <c r="B31302" s="3" t="str">
        <f>"201409000961"</f>
        <v>201409000961</v>
      </c>
    </row>
    <row r="31303" spans="1:2" x14ac:dyDescent="0.25">
      <c r="A31303" s="2">
        <v>31298</v>
      </c>
      <c r="B31303" s="3" t="str">
        <f>"201409001008"</f>
        <v>201409001008</v>
      </c>
    </row>
    <row r="31304" spans="1:2" x14ac:dyDescent="0.25">
      <c r="A31304" s="2">
        <v>31299</v>
      </c>
      <c r="B31304" s="3" t="str">
        <f>"201409001021"</f>
        <v>201409001021</v>
      </c>
    </row>
    <row r="31305" spans="1:2" x14ac:dyDescent="0.25">
      <c r="A31305" s="2">
        <v>31300</v>
      </c>
      <c r="B31305" s="3" t="str">
        <f>"201409001031"</f>
        <v>201409001031</v>
      </c>
    </row>
    <row r="31306" spans="1:2" x14ac:dyDescent="0.25">
      <c r="A31306" s="2">
        <v>31301</v>
      </c>
      <c r="B31306" s="3" t="str">
        <f>"201409001032"</f>
        <v>201409001032</v>
      </c>
    </row>
    <row r="31307" spans="1:2" x14ac:dyDescent="0.25">
      <c r="A31307" s="2">
        <v>31302</v>
      </c>
      <c r="B31307" s="3" t="str">
        <f>"201409001046"</f>
        <v>201409001046</v>
      </c>
    </row>
    <row r="31308" spans="1:2" x14ac:dyDescent="0.25">
      <c r="A31308" s="2">
        <v>31303</v>
      </c>
      <c r="B31308" s="3" t="str">
        <f>"201409001059"</f>
        <v>201409001059</v>
      </c>
    </row>
    <row r="31309" spans="1:2" x14ac:dyDescent="0.25">
      <c r="A31309" s="2">
        <v>31304</v>
      </c>
      <c r="B31309" s="3" t="str">
        <f>"201409001086"</f>
        <v>201409001086</v>
      </c>
    </row>
    <row r="31310" spans="1:2" x14ac:dyDescent="0.25">
      <c r="A31310" s="2">
        <v>31305</v>
      </c>
      <c r="B31310" s="3" t="str">
        <f>"201409001098"</f>
        <v>201409001098</v>
      </c>
    </row>
    <row r="31311" spans="1:2" x14ac:dyDescent="0.25">
      <c r="A31311" s="2">
        <v>31306</v>
      </c>
      <c r="B31311" s="3" t="str">
        <f>"201409001141"</f>
        <v>201409001141</v>
      </c>
    </row>
    <row r="31312" spans="1:2" x14ac:dyDescent="0.25">
      <c r="A31312" s="2">
        <v>31307</v>
      </c>
      <c r="B31312" s="3" t="str">
        <f>"201409001157"</f>
        <v>201409001157</v>
      </c>
    </row>
    <row r="31313" spans="1:2" x14ac:dyDescent="0.25">
      <c r="A31313" s="2">
        <v>31308</v>
      </c>
      <c r="B31313" s="3" t="str">
        <f>"201409001185"</f>
        <v>201409001185</v>
      </c>
    </row>
    <row r="31314" spans="1:2" x14ac:dyDescent="0.25">
      <c r="A31314" s="2">
        <v>31309</v>
      </c>
      <c r="B31314" s="3" t="str">
        <f>"201409001211"</f>
        <v>201409001211</v>
      </c>
    </row>
    <row r="31315" spans="1:2" x14ac:dyDescent="0.25">
      <c r="A31315" s="2">
        <v>31310</v>
      </c>
      <c r="B31315" s="3" t="str">
        <f>"201409001226"</f>
        <v>201409001226</v>
      </c>
    </row>
    <row r="31316" spans="1:2" x14ac:dyDescent="0.25">
      <c r="A31316" s="2">
        <v>31311</v>
      </c>
      <c r="B31316" s="3" t="str">
        <f>"201409001227"</f>
        <v>201409001227</v>
      </c>
    </row>
    <row r="31317" spans="1:2" x14ac:dyDescent="0.25">
      <c r="A31317" s="2">
        <v>31312</v>
      </c>
      <c r="B31317" s="3" t="str">
        <f>"201409001256"</f>
        <v>201409001256</v>
      </c>
    </row>
    <row r="31318" spans="1:2" x14ac:dyDescent="0.25">
      <c r="A31318" s="2">
        <v>31313</v>
      </c>
      <c r="B31318" s="3" t="str">
        <f>"201409001268"</f>
        <v>201409001268</v>
      </c>
    </row>
    <row r="31319" spans="1:2" x14ac:dyDescent="0.25">
      <c r="A31319" s="2">
        <v>31314</v>
      </c>
      <c r="B31319" s="3" t="str">
        <f>"201409001386"</f>
        <v>201409001386</v>
      </c>
    </row>
    <row r="31320" spans="1:2" x14ac:dyDescent="0.25">
      <c r="A31320" s="2">
        <v>31315</v>
      </c>
      <c r="B31320" s="3" t="str">
        <f>"201409001418"</f>
        <v>201409001418</v>
      </c>
    </row>
    <row r="31321" spans="1:2" x14ac:dyDescent="0.25">
      <c r="A31321" s="2">
        <v>31316</v>
      </c>
      <c r="B31321" s="3" t="str">
        <f>"201409001454"</f>
        <v>201409001454</v>
      </c>
    </row>
    <row r="31322" spans="1:2" x14ac:dyDescent="0.25">
      <c r="A31322" s="2">
        <v>31317</v>
      </c>
      <c r="B31322" s="3" t="str">
        <f>"201409001480"</f>
        <v>201409001480</v>
      </c>
    </row>
    <row r="31323" spans="1:2" x14ac:dyDescent="0.25">
      <c r="A31323" s="2">
        <v>31318</v>
      </c>
      <c r="B31323" s="3" t="str">
        <f>"201409001497"</f>
        <v>201409001497</v>
      </c>
    </row>
    <row r="31324" spans="1:2" x14ac:dyDescent="0.25">
      <c r="A31324" s="2">
        <v>31319</v>
      </c>
      <c r="B31324" s="3" t="str">
        <f>"201409001515"</f>
        <v>201409001515</v>
      </c>
    </row>
    <row r="31325" spans="1:2" x14ac:dyDescent="0.25">
      <c r="A31325" s="2">
        <v>31320</v>
      </c>
      <c r="B31325" s="3" t="str">
        <f>"201409001516"</f>
        <v>201409001516</v>
      </c>
    </row>
    <row r="31326" spans="1:2" x14ac:dyDescent="0.25">
      <c r="A31326" s="2">
        <v>31321</v>
      </c>
      <c r="B31326" s="3" t="str">
        <f>"201409001517"</f>
        <v>201409001517</v>
      </c>
    </row>
    <row r="31327" spans="1:2" x14ac:dyDescent="0.25">
      <c r="A31327" s="2">
        <v>31322</v>
      </c>
      <c r="B31327" s="3" t="str">
        <f>"201409001553"</f>
        <v>201409001553</v>
      </c>
    </row>
    <row r="31328" spans="1:2" x14ac:dyDescent="0.25">
      <c r="A31328" s="2">
        <v>31323</v>
      </c>
      <c r="B31328" s="3" t="str">
        <f>"201409001576"</f>
        <v>201409001576</v>
      </c>
    </row>
    <row r="31329" spans="1:2" x14ac:dyDescent="0.25">
      <c r="A31329" s="2">
        <v>31324</v>
      </c>
      <c r="B31329" s="3" t="str">
        <f>"201409001621"</f>
        <v>201409001621</v>
      </c>
    </row>
    <row r="31330" spans="1:2" x14ac:dyDescent="0.25">
      <c r="A31330" s="2">
        <v>31325</v>
      </c>
      <c r="B31330" s="3" t="str">
        <f>"201409001627"</f>
        <v>201409001627</v>
      </c>
    </row>
    <row r="31331" spans="1:2" x14ac:dyDescent="0.25">
      <c r="A31331" s="2">
        <v>31326</v>
      </c>
      <c r="B31331" s="3" t="str">
        <f>"201409001632"</f>
        <v>201409001632</v>
      </c>
    </row>
    <row r="31332" spans="1:2" x14ac:dyDescent="0.25">
      <c r="A31332" s="2">
        <v>31327</v>
      </c>
      <c r="B31332" s="3" t="str">
        <f>"201409001637"</f>
        <v>201409001637</v>
      </c>
    </row>
    <row r="31333" spans="1:2" x14ac:dyDescent="0.25">
      <c r="A31333" s="2">
        <v>31328</v>
      </c>
      <c r="B31333" s="3" t="str">
        <f>"201409001675"</f>
        <v>201409001675</v>
      </c>
    </row>
    <row r="31334" spans="1:2" x14ac:dyDescent="0.25">
      <c r="A31334" s="2">
        <v>31329</v>
      </c>
      <c r="B31334" s="3" t="str">
        <f>"201409001691"</f>
        <v>201409001691</v>
      </c>
    </row>
    <row r="31335" spans="1:2" x14ac:dyDescent="0.25">
      <c r="A31335" s="2">
        <v>31330</v>
      </c>
      <c r="B31335" s="3" t="str">
        <f>"201409001707"</f>
        <v>201409001707</v>
      </c>
    </row>
    <row r="31336" spans="1:2" x14ac:dyDescent="0.25">
      <c r="A31336" s="2">
        <v>31331</v>
      </c>
      <c r="B31336" s="3" t="str">
        <f>"201409001710"</f>
        <v>201409001710</v>
      </c>
    </row>
    <row r="31337" spans="1:2" x14ac:dyDescent="0.25">
      <c r="A31337" s="2">
        <v>31332</v>
      </c>
      <c r="B31337" s="3" t="str">
        <f>"201409001778"</f>
        <v>201409001778</v>
      </c>
    </row>
    <row r="31338" spans="1:2" x14ac:dyDescent="0.25">
      <c r="A31338" s="2">
        <v>31333</v>
      </c>
      <c r="B31338" s="3" t="str">
        <f>"201409001780"</f>
        <v>201409001780</v>
      </c>
    </row>
    <row r="31339" spans="1:2" x14ac:dyDescent="0.25">
      <c r="A31339" s="2">
        <v>31334</v>
      </c>
      <c r="B31339" s="3" t="str">
        <f>"201409001822"</f>
        <v>201409001822</v>
      </c>
    </row>
    <row r="31340" spans="1:2" x14ac:dyDescent="0.25">
      <c r="A31340" s="2">
        <v>31335</v>
      </c>
      <c r="B31340" s="3" t="str">
        <f>"201409001837"</f>
        <v>201409001837</v>
      </c>
    </row>
    <row r="31341" spans="1:2" x14ac:dyDescent="0.25">
      <c r="A31341" s="2">
        <v>31336</v>
      </c>
      <c r="B31341" s="3" t="str">
        <f>"201409001914"</f>
        <v>201409001914</v>
      </c>
    </row>
    <row r="31342" spans="1:2" x14ac:dyDescent="0.25">
      <c r="A31342" s="2">
        <v>31337</v>
      </c>
      <c r="B31342" s="3" t="str">
        <f>"201409001935"</f>
        <v>201409001935</v>
      </c>
    </row>
    <row r="31343" spans="1:2" x14ac:dyDescent="0.25">
      <c r="A31343" s="2">
        <v>31338</v>
      </c>
      <c r="B31343" s="3" t="str">
        <f>"201409001959"</f>
        <v>201409001959</v>
      </c>
    </row>
    <row r="31344" spans="1:2" x14ac:dyDescent="0.25">
      <c r="A31344" s="2">
        <v>31339</v>
      </c>
      <c r="B31344" s="3" t="str">
        <f>"201409001973"</f>
        <v>201409001973</v>
      </c>
    </row>
    <row r="31345" spans="1:2" x14ac:dyDescent="0.25">
      <c r="A31345" s="2">
        <v>31340</v>
      </c>
      <c r="B31345" s="3" t="str">
        <f>"201409002041"</f>
        <v>201409002041</v>
      </c>
    </row>
    <row r="31346" spans="1:2" x14ac:dyDescent="0.25">
      <c r="A31346" s="2">
        <v>31341</v>
      </c>
      <c r="B31346" s="3" t="str">
        <f>"201409002057"</f>
        <v>201409002057</v>
      </c>
    </row>
    <row r="31347" spans="1:2" x14ac:dyDescent="0.25">
      <c r="A31347" s="2">
        <v>31342</v>
      </c>
      <c r="B31347" s="3" t="str">
        <f>"201409002067"</f>
        <v>201409002067</v>
      </c>
    </row>
    <row r="31348" spans="1:2" x14ac:dyDescent="0.25">
      <c r="A31348" s="2">
        <v>31343</v>
      </c>
      <c r="B31348" s="3" t="str">
        <f>"201409002070"</f>
        <v>201409002070</v>
      </c>
    </row>
    <row r="31349" spans="1:2" x14ac:dyDescent="0.25">
      <c r="A31349" s="2">
        <v>31344</v>
      </c>
      <c r="B31349" s="3" t="str">
        <f>"201409002136"</f>
        <v>201409002136</v>
      </c>
    </row>
    <row r="31350" spans="1:2" x14ac:dyDescent="0.25">
      <c r="A31350" s="2">
        <v>31345</v>
      </c>
      <c r="B31350" s="3" t="str">
        <f>"201409002142"</f>
        <v>201409002142</v>
      </c>
    </row>
    <row r="31351" spans="1:2" x14ac:dyDescent="0.25">
      <c r="A31351" s="2">
        <v>31346</v>
      </c>
      <c r="B31351" s="3" t="str">
        <f>"201409002146"</f>
        <v>201409002146</v>
      </c>
    </row>
    <row r="31352" spans="1:2" x14ac:dyDescent="0.25">
      <c r="A31352" s="2">
        <v>31347</v>
      </c>
      <c r="B31352" s="3" t="str">
        <f>"201409002163"</f>
        <v>201409002163</v>
      </c>
    </row>
    <row r="31353" spans="1:2" x14ac:dyDescent="0.25">
      <c r="A31353" s="2">
        <v>31348</v>
      </c>
      <c r="B31353" s="3" t="str">
        <f>"201409002235"</f>
        <v>201409002235</v>
      </c>
    </row>
    <row r="31354" spans="1:2" x14ac:dyDescent="0.25">
      <c r="A31354" s="2">
        <v>31349</v>
      </c>
      <c r="B31354" s="3" t="str">
        <f>"201409002302"</f>
        <v>201409002302</v>
      </c>
    </row>
    <row r="31355" spans="1:2" x14ac:dyDescent="0.25">
      <c r="A31355" s="2">
        <v>31350</v>
      </c>
      <c r="B31355" s="3" t="str">
        <f>"201409002317"</f>
        <v>201409002317</v>
      </c>
    </row>
    <row r="31356" spans="1:2" x14ac:dyDescent="0.25">
      <c r="A31356" s="2">
        <v>31351</v>
      </c>
      <c r="B31356" s="3" t="str">
        <f>"201409002336"</f>
        <v>201409002336</v>
      </c>
    </row>
    <row r="31357" spans="1:2" x14ac:dyDescent="0.25">
      <c r="A31357" s="2">
        <v>31352</v>
      </c>
      <c r="B31357" s="3" t="str">
        <f>"201409002363"</f>
        <v>201409002363</v>
      </c>
    </row>
    <row r="31358" spans="1:2" x14ac:dyDescent="0.25">
      <c r="A31358" s="2">
        <v>31353</v>
      </c>
      <c r="B31358" s="3" t="str">
        <f>"201409002391"</f>
        <v>201409002391</v>
      </c>
    </row>
    <row r="31359" spans="1:2" x14ac:dyDescent="0.25">
      <c r="A31359" s="2">
        <v>31354</v>
      </c>
      <c r="B31359" s="3" t="str">
        <f>"201409002410"</f>
        <v>201409002410</v>
      </c>
    </row>
    <row r="31360" spans="1:2" x14ac:dyDescent="0.25">
      <c r="A31360" s="2">
        <v>31355</v>
      </c>
      <c r="B31360" s="3" t="str">
        <f>"201409002436"</f>
        <v>201409002436</v>
      </c>
    </row>
    <row r="31361" spans="1:2" x14ac:dyDescent="0.25">
      <c r="A31361" s="2">
        <v>31356</v>
      </c>
      <c r="B31361" s="3" t="str">
        <f>"201409002437"</f>
        <v>201409002437</v>
      </c>
    </row>
    <row r="31362" spans="1:2" x14ac:dyDescent="0.25">
      <c r="A31362" s="2">
        <v>31357</v>
      </c>
      <c r="B31362" s="3" t="str">
        <f>"201409002438"</f>
        <v>201409002438</v>
      </c>
    </row>
    <row r="31363" spans="1:2" x14ac:dyDescent="0.25">
      <c r="A31363" s="2">
        <v>31358</v>
      </c>
      <c r="B31363" s="3" t="str">
        <f>"201409002538"</f>
        <v>201409002538</v>
      </c>
    </row>
    <row r="31364" spans="1:2" x14ac:dyDescent="0.25">
      <c r="A31364" s="2">
        <v>31359</v>
      </c>
      <c r="B31364" s="3" t="str">
        <f>"201409002567"</f>
        <v>201409002567</v>
      </c>
    </row>
    <row r="31365" spans="1:2" x14ac:dyDescent="0.25">
      <c r="A31365" s="2">
        <v>31360</v>
      </c>
      <c r="B31365" s="3" t="str">
        <f>"201409002568"</f>
        <v>201409002568</v>
      </c>
    </row>
    <row r="31366" spans="1:2" x14ac:dyDescent="0.25">
      <c r="A31366" s="2">
        <v>31361</v>
      </c>
      <c r="B31366" s="3" t="str">
        <f>"201409002577"</f>
        <v>201409002577</v>
      </c>
    </row>
    <row r="31367" spans="1:2" x14ac:dyDescent="0.25">
      <c r="A31367" s="2">
        <v>31362</v>
      </c>
      <c r="B31367" s="3" t="str">
        <f>"201409002588"</f>
        <v>201409002588</v>
      </c>
    </row>
    <row r="31368" spans="1:2" x14ac:dyDescent="0.25">
      <c r="A31368" s="2">
        <v>31363</v>
      </c>
      <c r="B31368" s="3" t="str">
        <f>"201409002612"</f>
        <v>201409002612</v>
      </c>
    </row>
    <row r="31369" spans="1:2" x14ac:dyDescent="0.25">
      <c r="A31369" s="2">
        <v>31364</v>
      </c>
      <c r="B31369" s="3" t="str">
        <f>"201409002650"</f>
        <v>201409002650</v>
      </c>
    </row>
    <row r="31370" spans="1:2" x14ac:dyDescent="0.25">
      <c r="A31370" s="2">
        <v>31365</v>
      </c>
      <c r="B31370" s="3" t="str">
        <f>"201409002660"</f>
        <v>201409002660</v>
      </c>
    </row>
    <row r="31371" spans="1:2" x14ac:dyDescent="0.25">
      <c r="A31371" s="2">
        <v>31366</v>
      </c>
      <c r="B31371" s="3" t="str">
        <f>"201409002667"</f>
        <v>201409002667</v>
      </c>
    </row>
    <row r="31372" spans="1:2" x14ac:dyDescent="0.25">
      <c r="A31372" s="2">
        <v>31367</v>
      </c>
      <c r="B31372" s="3" t="str">
        <f>"201409002811"</f>
        <v>201409002811</v>
      </c>
    </row>
    <row r="31373" spans="1:2" x14ac:dyDescent="0.25">
      <c r="A31373" s="2">
        <v>31368</v>
      </c>
      <c r="B31373" s="3" t="str">
        <f>"201409002825"</f>
        <v>201409002825</v>
      </c>
    </row>
    <row r="31374" spans="1:2" x14ac:dyDescent="0.25">
      <c r="A31374" s="2">
        <v>31369</v>
      </c>
      <c r="B31374" s="3" t="str">
        <f>"201409002826"</f>
        <v>201409002826</v>
      </c>
    </row>
    <row r="31375" spans="1:2" x14ac:dyDescent="0.25">
      <c r="A31375" s="2">
        <v>31370</v>
      </c>
      <c r="B31375" s="3" t="str">
        <f>"201409002840"</f>
        <v>201409002840</v>
      </c>
    </row>
    <row r="31376" spans="1:2" x14ac:dyDescent="0.25">
      <c r="A31376" s="2">
        <v>31371</v>
      </c>
      <c r="B31376" s="3" t="str">
        <f>"201409002854"</f>
        <v>201409002854</v>
      </c>
    </row>
    <row r="31377" spans="1:2" x14ac:dyDescent="0.25">
      <c r="A31377" s="2">
        <v>31372</v>
      </c>
      <c r="B31377" s="3" t="str">
        <f>"201409002859"</f>
        <v>201409002859</v>
      </c>
    </row>
    <row r="31378" spans="1:2" x14ac:dyDescent="0.25">
      <c r="A31378" s="2">
        <v>31373</v>
      </c>
      <c r="B31378" s="3" t="str">
        <f>"201409002860"</f>
        <v>201409002860</v>
      </c>
    </row>
    <row r="31379" spans="1:2" x14ac:dyDescent="0.25">
      <c r="A31379" s="2">
        <v>31374</v>
      </c>
      <c r="B31379" s="3" t="str">
        <f>"201409002880"</f>
        <v>201409002880</v>
      </c>
    </row>
    <row r="31380" spans="1:2" x14ac:dyDescent="0.25">
      <c r="A31380" s="2">
        <v>31375</v>
      </c>
      <c r="B31380" s="3" t="str">
        <f>"201409002898"</f>
        <v>201409002898</v>
      </c>
    </row>
    <row r="31381" spans="1:2" x14ac:dyDescent="0.25">
      <c r="A31381" s="2">
        <v>31376</v>
      </c>
      <c r="B31381" s="3" t="str">
        <f>"201409002909"</f>
        <v>201409002909</v>
      </c>
    </row>
    <row r="31382" spans="1:2" x14ac:dyDescent="0.25">
      <c r="A31382" s="2">
        <v>31377</v>
      </c>
      <c r="B31382" s="3" t="str">
        <f>"201409002917"</f>
        <v>201409002917</v>
      </c>
    </row>
    <row r="31383" spans="1:2" x14ac:dyDescent="0.25">
      <c r="A31383" s="2">
        <v>31378</v>
      </c>
      <c r="B31383" s="3" t="str">
        <f>"201409002969"</f>
        <v>201409002969</v>
      </c>
    </row>
    <row r="31384" spans="1:2" x14ac:dyDescent="0.25">
      <c r="A31384" s="2">
        <v>31379</v>
      </c>
      <c r="B31384" s="3" t="str">
        <f>"201409002970"</f>
        <v>201409002970</v>
      </c>
    </row>
    <row r="31385" spans="1:2" x14ac:dyDescent="0.25">
      <c r="A31385" s="2">
        <v>31380</v>
      </c>
      <c r="B31385" s="3" t="str">
        <f>"201409002996"</f>
        <v>201409002996</v>
      </c>
    </row>
    <row r="31386" spans="1:2" x14ac:dyDescent="0.25">
      <c r="A31386" s="2">
        <v>31381</v>
      </c>
      <c r="B31386" s="3" t="str">
        <f>"201409003018"</f>
        <v>201409003018</v>
      </c>
    </row>
    <row r="31387" spans="1:2" x14ac:dyDescent="0.25">
      <c r="A31387" s="2">
        <v>31382</v>
      </c>
      <c r="B31387" s="3" t="str">
        <f>"201409003029"</f>
        <v>201409003029</v>
      </c>
    </row>
    <row r="31388" spans="1:2" x14ac:dyDescent="0.25">
      <c r="A31388" s="2">
        <v>31383</v>
      </c>
      <c r="B31388" s="3" t="str">
        <f>"201409003036"</f>
        <v>201409003036</v>
      </c>
    </row>
    <row r="31389" spans="1:2" x14ac:dyDescent="0.25">
      <c r="A31389" s="2">
        <v>31384</v>
      </c>
      <c r="B31389" s="3" t="str">
        <f>"201409003134"</f>
        <v>201409003134</v>
      </c>
    </row>
    <row r="31390" spans="1:2" x14ac:dyDescent="0.25">
      <c r="A31390" s="2">
        <v>31385</v>
      </c>
      <c r="B31390" s="3" t="str">
        <f>"201409003182"</f>
        <v>201409003182</v>
      </c>
    </row>
    <row r="31391" spans="1:2" x14ac:dyDescent="0.25">
      <c r="A31391" s="2">
        <v>31386</v>
      </c>
      <c r="B31391" s="3" t="str">
        <f>"201409003186"</f>
        <v>201409003186</v>
      </c>
    </row>
    <row r="31392" spans="1:2" x14ac:dyDescent="0.25">
      <c r="A31392" s="2">
        <v>31387</v>
      </c>
      <c r="B31392" s="3" t="str">
        <f>"201409003202"</f>
        <v>201409003202</v>
      </c>
    </row>
    <row r="31393" spans="1:2" x14ac:dyDescent="0.25">
      <c r="A31393" s="2">
        <v>31388</v>
      </c>
      <c r="B31393" s="3" t="str">
        <f>"201409003295"</f>
        <v>201409003295</v>
      </c>
    </row>
    <row r="31394" spans="1:2" x14ac:dyDescent="0.25">
      <c r="A31394" s="2">
        <v>31389</v>
      </c>
      <c r="B31394" s="3" t="str">
        <f>"201409003323"</f>
        <v>201409003323</v>
      </c>
    </row>
    <row r="31395" spans="1:2" x14ac:dyDescent="0.25">
      <c r="A31395" s="2">
        <v>31390</v>
      </c>
      <c r="B31395" s="3" t="str">
        <f>"201409003338"</f>
        <v>201409003338</v>
      </c>
    </row>
    <row r="31396" spans="1:2" x14ac:dyDescent="0.25">
      <c r="A31396" s="2">
        <v>31391</v>
      </c>
      <c r="B31396" s="3" t="str">
        <f>"201409003424"</f>
        <v>201409003424</v>
      </c>
    </row>
    <row r="31397" spans="1:2" x14ac:dyDescent="0.25">
      <c r="A31397" s="2">
        <v>31392</v>
      </c>
      <c r="B31397" s="3" t="str">
        <f>"201409003467"</f>
        <v>201409003467</v>
      </c>
    </row>
    <row r="31398" spans="1:2" x14ac:dyDescent="0.25">
      <c r="A31398" s="2">
        <v>31393</v>
      </c>
      <c r="B31398" s="3" t="str">
        <f>"201409003491"</f>
        <v>201409003491</v>
      </c>
    </row>
    <row r="31399" spans="1:2" x14ac:dyDescent="0.25">
      <c r="A31399" s="2">
        <v>31394</v>
      </c>
      <c r="B31399" s="3" t="str">
        <f>"201409003563"</f>
        <v>201409003563</v>
      </c>
    </row>
    <row r="31400" spans="1:2" x14ac:dyDescent="0.25">
      <c r="A31400" s="2">
        <v>31395</v>
      </c>
      <c r="B31400" s="3" t="str">
        <f>"201409003575"</f>
        <v>201409003575</v>
      </c>
    </row>
    <row r="31401" spans="1:2" x14ac:dyDescent="0.25">
      <c r="A31401" s="2">
        <v>31396</v>
      </c>
      <c r="B31401" s="3" t="str">
        <f>"201409003613"</f>
        <v>201409003613</v>
      </c>
    </row>
    <row r="31402" spans="1:2" x14ac:dyDescent="0.25">
      <c r="A31402" s="2">
        <v>31397</v>
      </c>
      <c r="B31402" s="3" t="str">
        <f>"201409003648"</f>
        <v>201409003648</v>
      </c>
    </row>
    <row r="31403" spans="1:2" x14ac:dyDescent="0.25">
      <c r="A31403" s="2">
        <v>31398</v>
      </c>
      <c r="B31403" s="3" t="str">
        <f>"201409003682"</f>
        <v>201409003682</v>
      </c>
    </row>
    <row r="31404" spans="1:2" x14ac:dyDescent="0.25">
      <c r="A31404" s="2">
        <v>31399</v>
      </c>
      <c r="B31404" s="3" t="str">
        <f>"201409003691"</f>
        <v>201409003691</v>
      </c>
    </row>
    <row r="31405" spans="1:2" x14ac:dyDescent="0.25">
      <c r="A31405" s="2">
        <v>31400</v>
      </c>
      <c r="B31405" s="3" t="str">
        <f>"201409003746"</f>
        <v>201409003746</v>
      </c>
    </row>
    <row r="31406" spans="1:2" x14ac:dyDescent="0.25">
      <c r="A31406" s="2">
        <v>31401</v>
      </c>
      <c r="B31406" s="3" t="str">
        <f>"201409003775"</f>
        <v>201409003775</v>
      </c>
    </row>
    <row r="31407" spans="1:2" x14ac:dyDescent="0.25">
      <c r="A31407" s="2">
        <v>31402</v>
      </c>
      <c r="B31407" s="3" t="str">
        <f>"201409003792"</f>
        <v>201409003792</v>
      </c>
    </row>
    <row r="31408" spans="1:2" x14ac:dyDescent="0.25">
      <c r="A31408" s="2">
        <v>31403</v>
      </c>
      <c r="B31408" s="3" t="str">
        <f>"201409003874"</f>
        <v>201409003874</v>
      </c>
    </row>
    <row r="31409" spans="1:2" x14ac:dyDescent="0.25">
      <c r="A31409" s="2">
        <v>31404</v>
      </c>
      <c r="B31409" s="3" t="str">
        <f>"201409003929"</f>
        <v>201409003929</v>
      </c>
    </row>
    <row r="31410" spans="1:2" x14ac:dyDescent="0.25">
      <c r="A31410" s="2">
        <v>31405</v>
      </c>
      <c r="B31410" s="3" t="str">
        <f>"201409003959"</f>
        <v>201409003959</v>
      </c>
    </row>
    <row r="31411" spans="1:2" x14ac:dyDescent="0.25">
      <c r="A31411" s="2">
        <v>31406</v>
      </c>
      <c r="B31411" s="3" t="str">
        <f>"201409003963"</f>
        <v>201409003963</v>
      </c>
    </row>
    <row r="31412" spans="1:2" x14ac:dyDescent="0.25">
      <c r="A31412" s="2">
        <v>31407</v>
      </c>
      <c r="B31412" s="3" t="str">
        <f>"201409003977"</f>
        <v>201409003977</v>
      </c>
    </row>
    <row r="31413" spans="1:2" x14ac:dyDescent="0.25">
      <c r="A31413" s="2">
        <v>31408</v>
      </c>
      <c r="B31413" s="3" t="str">
        <f>"201409004024"</f>
        <v>201409004024</v>
      </c>
    </row>
    <row r="31414" spans="1:2" x14ac:dyDescent="0.25">
      <c r="A31414" s="2">
        <v>31409</v>
      </c>
      <c r="B31414" s="3" t="str">
        <f>"201409004067"</f>
        <v>201409004067</v>
      </c>
    </row>
    <row r="31415" spans="1:2" x14ac:dyDescent="0.25">
      <c r="A31415" s="2">
        <v>31410</v>
      </c>
      <c r="B31415" s="3" t="str">
        <f>"201409004126"</f>
        <v>201409004126</v>
      </c>
    </row>
    <row r="31416" spans="1:2" x14ac:dyDescent="0.25">
      <c r="A31416" s="2">
        <v>31411</v>
      </c>
      <c r="B31416" s="3" t="str">
        <f>"201409004161"</f>
        <v>201409004161</v>
      </c>
    </row>
    <row r="31417" spans="1:2" x14ac:dyDescent="0.25">
      <c r="A31417" s="2">
        <v>31412</v>
      </c>
      <c r="B31417" s="3" t="str">
        <f>"201409004205"</f>
        <v>201409004205</v>
      </c>
    </row>
    <row r="31418" spans="1:2" x14ac:dyDescent="0.25">
      <c r="A31418" s="2">
        <v>31413</v>
      </c>
      <c r="B31418" s="3" t="str">
        <f>"201409004266"</f>
        <v>201409004266</v>
      </c>
    </row>
    <row r="31419" spans="1:2" x14ac:dyDescent="0.25">
      <c r="A31419" s="2">
        <v>31414</v>
      </c>
      <c r="B31419" s="3" t="str">
        <f>"201409004284"</f>
        <v>201409004284</v>
      </c>
    </row>
    <row r="31420" spans="1:2" x14ac:dyDescent="0.25">
      <c r="A31420" s="2">
        <v>31415</v>
      </c>
      <c r="B31420" s="3" t="str">
        <f>"201409004295"</f>
        <v>201409004295</v>
      </c>
    </row>
    <row r="31421" spans="1:2" x14ac:dyDescent="0.25">
      <c r="A31421" s="2">
        <v>31416</v>
      </c>
      <c r="B31421" s="3" t="str">
        <f>"201409004361"</f>
        <v>201409004361</v>
      </c>
    </row>
    <row r="31422" spans="1:2" x14ac:dyDescent="0.25">
      <c r="A31422" s="2">
        <v>31417</v>
      </c>
      <c r="B31422" s="3" t="str">
        <f>"201409004385"</f>
        <v>201409004385</v>
      </c>
    </row>
    <row r="31423" spans="1:2" x14ac:dyDescent="0.25">
      <c r="A31423" s="2">
        <v>31418</v>
      </c>
      <c r="B31423" s="3" t="str">
        <f>"201409004396"</f>
        <v>201409004396</v>
      </c>
    </row>
    <row r="31424" spans="1:2" x14ac:dyDescent="0.25">
      <c r="A31424" s="2">
        <v>31419</v>
      </c>
      <c r="B31424" s="3" t="str">
        <f>"201409004413"</f>
        <v>201409004413</v>
      </c>
    </row>
    <row r="31425" spans="1:2" x14ac:dyDescent="0.25">
      <c r="A31425" s="2">
        <v>31420</v>
      </c>
      <c r="B31425" s="3" t="str">
        <f>"201409004421"</f>
        <v>201409004421</v>
      </c>
    </row>
    <row r="31426" spans="1:2" x14ac:dyDescent="0.25">
      <c r="A31426" s="2">
        <v>31421</v>
      </c>
      <c r="B31426" s="3" t="str">
        <f>"201409004427"</f>
        <v>201409004427</v>
      </c>
    </row>
    <row r="31427" spans="1:2" x14ac:dyDescent="0.25">
      <c r="A31427" s="2">
        <v>31422</v>
      </c>
      <c r="B31427" s="3" t="str">
        <f>"201409004478"</f>
        <v>201409004478</v>
      </c>
    </row>
    <row r="31428" spans="1:2" x14ac:dyDescent="0.25">
      <c r="A31428" s="2">
        <v>31423</v>
      </c>
      <c r="B31428" s="3" t="str">
        <f>"201409004502"</f>
        <v>201409004502</v>
      </c>
    </row>
    <row r="31429" spans="1:2" x14ac:dyDescent="0.25">
      <c r="A31429" s="2">
        <v>31424</v>
      </c>
      <c r="B31429" s="3" t="str">
        <f>"201409004503"</f>
        <v>201409004503</v>
      </c>
    </row>
    <row r="31430" spans="1:2" x14ac:dyDescent="0.25">
      <c r="A31430" s="2">
        <v>31425</v>
      </c>
      <c r="B31430" s="3" t="str">
        <f>"201409004542"</f>
        <v>201409004542</v>
      </c>
    </row>
    <row r="31431" spans="1:2" x14ac:dyDescent="0.25">
      <c r="A31431" s="2">
        <v>31426</v>
      </c>
      <c r="B31431" s="3" t="str">
        <f>"201409004554"</f>
        <v>201409004554</v>
      </c>
    </row>
    <row r="31432" spans="1:2" x14ac:dyDescent="0.25">
      <c r="A31432" s="2">
        <v>31427</v>
      </c>
      <c r="B31432" s="3" t="str">
        <f>"201409004630"</f>
        <v>201409004630</v>
      </c>
    </row>
    <row r="31433" spans="1:2" x14ac:dyDescent="0.25">
      <c r="A31433" s="2">
        <v>31428</v>
      </c>
      <c r="B31433" s="3" t="str">
        <f>"201409004636"</f>
        <v>201409004636</v>
      </c>
    </row>
    <row r="31434" spans="1:2" x14ac:dyDescent="0.25">
      <c r="A31434" s="2">
        <v>31429</v>
      </c>
      <c r="B31434" s="3" t="str">
        <f>"201409004642"</f>
        <v>201409004642</v>
      </c>
    </row>
    <row r="31435" spans="1:2" x14ac:dyDescent="0.25">
      <c r="A31435" s="2">
        <v>31430</v>
      </c>
      <c r="B31435" s="3" t="str">
        <f>"201409004662"</f>
        <v>201409004662</v>
      </c>
    </row>
    <row r="31436" spans="1:2" x14ac:dyDescent="0.25">
      <c r="A31436" s="2">
        <v>31431</v>
      </c>
      <c r="B31436" s="3" t="str">
        <f>"201409004714"</f>
        <v>201409004714</v>
      </c>
    </row>
    <row r="31437" spans="1:2" x14ac:dyDescent="0.25">
      <c r="A31437" s="2">
        <v>31432</v>
      </c>
      <c r="B31437" s="3" t="str">
        <f>"201409004715"</f>
        <v>201409004715</v>
      </c>
    </row>
    <row r="31438" spans="1:2" x14ac:dyDescent="0.25">
      <c r="A31438" s="2">
        <v>31433</v>
      </c>
      <c r="B31438" s="3" t="str">
        <f>"201409004719"</f>
        <v>201409004719</v>
      </c>
    </row>
    <row r="31439" spans="1:2" x14ac:dyDescent="0.25">
      <c r="A31439" s="2">
        <v>31434</v>
      </c>
      <c r="B31439" s="3" t="str">
        <f>"201409004752"</f>
        <v>201409004752</v>
      </c>
    </row>
    <row r="31440" spans="1:2" x14ac:dyDescent="0.25">
      <c r="A31440" s="2">
        <v>31435</v>
      </c>
      <c r="B31440" s="3" t="str">
        <f>"201409004815"</f>
        <v>201409004815</v>
      </c>
    </row>
    <row r="31441" spans="1:2" x14ac:dyDescent="0.25">
      <c r="A31441" s="2">
        <v>31436</v>
      </c>
      <c r="B31441" s="3" t="str">
        <f>"201409004825"</f>
        <v>201409004825</v>
      </c>
    </row>
    <row r="31442" spans="1:2" x14ac:dyDescent="0.25">
      <c r="A31442" s="2">
        <v>31437</v>
      </c>
      <c r="B31442" s="3" t="str">
        <f>"201409004874"</f>
        <v>201409004874</v>
      </c>
    </row>
    <row r="31443" spans="1:2" x14ac:dyDescent="0.25">
      <c r="A31443" s="2">
        <v>31438</v>
      </c>
      <c r="B31443" s="3" t="str">
        <f>"201409004904"</f>
        <v>201409004904</v>
      </c>
    </row>
    <row r="31444" spans="1:2" x14ac:dyDescent="0.25">
      <c r="A31444" s="2">
        <v>31439</v>
      </c>
      <c r="B31444" s="3" t="str">
        <f>"201409004915"</f>
        <v>201409004915</v>
      </c>
    </row>
    <row r="31445" spans="1:2" x14ac:dyDescent="0.25">
      <c r="A31445" s="2">
        <v>31440</v>
      </c>
      <c r="B31445" s="3" t="str">
        <f>"201409004916"</f>
        <v>201409004916</v>
      </c>
    </row>
    <row r="31446" spans="1:2" x14ac:dyDescent="0.25">
      <c r="A31446" s="2">
        <v>31441</v>
      </c>
      <c r="B31446" s="3" t="str">
        <f>"201409005040"</f>
        <v>201409005040</v>
      </c>
    </row>
    <row r="31447" spans="1:2" x14ac:dyDescent="0.25">
      <c r="A31447" s="2">
        <v>31442</v>
      </c>
      <c r="B31447" s="3" t="str">
        <f>"201409005042"</f>
        <v>201409005042</v>
      </c>
    </row>
    <row r="31448" spans="1:2" x14ac:dyDescent="0.25">
      <c r="A31448" s="2">
        <v>31443</v>
      </c>
      <c r="B31448" s="3" t="str">
        <f>"201409005056"</f>
        <v>201409005056</v>
      </c>
    </row>
    <row r="31449" spans="1:2" x14ac:dyDescent="0.25">
      <c r="A31449" s="2">
        <v>31444</v>
      </c>
      <c r="B31449" s="3" t="str">
        <f>"201409005082"</f>
        <v>201409005082</v>
      </c>
    </row>
    <row r="31450" spans="1:2" x14ac:dyDescent="0.25">
      <c r="A31450" s="2">
        <v>31445</v>
      </c>
      <c r="B31450" s="3" t="str">
        <f>"201409005108"</f>
        <v>201409005108</v>
      </c>
    </row>
    <row r="31451" spans="1:2" x14ac:dyDescent="0.25">
      <c r="A31451" s="2">
        <v>31446</v>
      </c>
      <c r="B31451" s="3" t="str">
        <f>"201409005152"</f>
        <v>201409005152</v>
      </c>
    </row>
    <row r="31452" spans="1:2" x14ac:dyDescent="0.25">
      <c r="A31452" s="2">
        <v>31447</v>
      </c>
      <c r="B31452" s="3" t="str">
        <f>"201409005190"</f>
        <v>201409005190</v>
      </c>
    </row>
    <row r="31453" spans="1:2" x14ac:dyDescent="0.25">
      <c r="A31453" s="2">
        <v>31448</v>
      </c>
      <c r="B31453" s="3" t="str">
        <f>"201409005197"</f>
        <v>201409005197</v>
      </c>
    </row>
    <row r="31454" spans="1:2" x14ac:dyDescent="0.25">
      <c r="A31454" s="2">
        <v>31449</v>
      </c>
      <c r="B31454" s="3" t="str">
        <f>"201409005236"</f>
        <v>201409005236</v>
      </c>
    </row>
    <row r="31455" spans="1:2" x14ac:dyDescent="0.25">
      <c r="A31455" s="2">
        <v>31450</v>
      </c>
      <c r="B31455" s="3" t="str">
        <f>"201409005237"</f>
        <v>201409005237</v>
      </c>
    </row>
    <row r="31456" spans="1:2" x14ac:dyDescent="0.25">
      <c r="A31456" s="2">
        <v>31451</v>
      </c>
      <c r="B31456" s="3" t="str">
        <f>"201409005258"</f>
        <v>201409005258</v>
      </c>
    </row>
    <row r="31457" spans="1:2" x14ac:dyDescent="0.25">
      <c r="A31457" s="2">
        <v>31452</v>
      </c>
      <c r="B31457" s="3" t="str">
        <f>"201409005265"</f>
        <v>201409005265</v>
      </c>
    </row>
    <row r="31458" spans="1:2" x14ac:dyDescent="0.25">
      <c r="A31458" s="2">
        <v>31453</v>
      </c>
      <c r="B31458" s="3" t="str">
        <f>"201409005278"</f>
        <v>201409005278</v>
      </c>
    </row>
    <row r="31459" spans="1:2" x14ac:dyDescent="0.25">
      <c r="A31459" s="2">
        <v>31454</v>
      </c>
      <c r="B31459" s="3" t="str">
        <f>"201409005307"</f>
        <v>201409005307</v>
      </c>
    </row>
    <row r="31460" spans="1:2" x14ac:dyDescent="0.25">
      <c r="A31460" s="2">
        <v>31455</v>
      </c>
      <c r="B31460" s="3" t="str">
        <f>"201409005352"</f>
        <v>201409005352</v>
      </c>
    </row>
    <row r="31461" spans="1:2" x14ac:dyDescent="0.25">
      <c r="A31461" s="2">
        <v>31456</v>
      </c>
      <c r="B31461" s="3" t="str">
        <f>"201409005365"</f>
        <v>201409005365</v>
      </c>
    </row>
    <row r="31462" spans="1:2" x14ac:dyDescent="0.25">
      <c r="A31462" s="2">
        <v>31457</v>
      </c>
      <c r="B31462" s="3" t="str">
        <f>"201409005409"</f>
        <v>201409005409</v>
      </c>
    </row>
    <row r="31463" spans="1:2" x14ac:dyDescent="0.25">
      <c r="A31463" s="2">
        <v>31458</v>
      </c>
      <c r="B31463" s="3" t="str">
        <f>"201409005414"</f>
        <v>201409005414</v>
      </c>
    </row>
    <row r="31464" spans="1:2" x14ac:dyDescent="0.25">
      <c r="A31464" s="2">
        <v>31459</v>
      </c>
      <c r="B31464" s="3" t="str">
        <f>"201409005417"</f>
        <v>201409005417</v>
      </c>
    </row>
    <row r="31465" spans="1:2" x14ac:dyDescent="0.25">
      <c r="A31465" s="2">
        <v>31460</v>
      </c>
      <c r="B31465" s="3" t="str">
        <f>"201409005493"</f>
        <v>201409005493</v>
      </c>
    </row>
    <row r="31466" spans="1:2" x14ac:dyDescent="0.25">
      <c r="A31466" s="2">
        <v>31461</v>
      </c>
      <c r="B31466" s="3" t="str">
        <f>"201409005533"</f>
        <v>201409005533</v>
      </c>
    </row>
    <row r="31467" spans="1:2" x14ac:dyDescent="0.25">
      <c r="A31467" s="2">
        <v>31462</v>
      </c>
      <c r="B31467" s="3" t="str">
        <f>"201409005547"</f>
        <v>201409005547</v>
      </c>
    </row>
    <row r="31468" spans="1:2" x14ac:dyDescent="0.25">
      <c r="A31468" s="2">
        <v>31463</v>
      </c>
      <c r="B31468" s="3" t="str">
        <f>"201409005656"</f>
        <v>201409005656</v>
      </c>
    </row>
    <row r="31469" spans="1:2" x14ac:dyDescent="0.25">
      <c r="A31469" s="2">
        <v>31464</v>
      </c>
      <c r="B31469" s="3" t="str">
        <f>"201409005677"</f>
        <v>201409005677</v>
      </c>
    </row>
    <row r="31470" spans="1:2" x14ac:dyDescent="0.25">
      <c r="A31470" s="2">
        <v>31465</v>
      </c>
      <c r="B31470" s="3" t="str">
        <f>"201409005773"</f>
        <v>201409005773</v>
      </c>
    </row>
    <row r="31471" spans="1:2" x14ac:dyDescent="0.25">
      <c r="A31471" s="2">
        <v>31466</v>
      </c>
      <c r="B31471" s="3" t="str">
        <f>"201409005775"</f>
        <v>201409005775</v>
      </c>
    </row>
    <row r="31472" spans="1:2" x14ac:dyDescent="0.25">
      <c r="A31472" s="2">
        <v>31467</v>
      </c>
      <c r="B31472" s="3" t="str">
        <f>"201409005820"</f>
        <v>201409005820</v>
      </c>
    </row>
    <row r="31473" spans="1:2" x14ac:dyDescent="0.25">
      <c r="A31473" s="2">
        <v>31468</v>
      </c>
      <c r="B31473" s="3" t="str">
        <f>"201409005910"</f>
        <v>201409005910</v>
      </c>
    </row>
    <row r="31474" spans="1:2" x14ac:dyDescent="0.25">
      <c r="A31474" s="2">
        <v>31469</v>
      </c>
      <c r="B31474" s="3" t="str">
        <f>"201409005940"</f>
        <v>201409005940</v>
      </c>
    </row>
    <row r="31475" spans="1:2" x14ac:dyDescent="0.25">
      <c r="A31475" s="2">
        <v>31470</v>
      </c>
      <c r="B31475" s="3" t="str">
        <f>"201409005943"</f>
        <v>201409005943</v>
      </c>
    </row>
    <row r="31476" spans="1:2" x14ac:dyDescent="0.25">
      <c r="A31476" s="2">
        <v>31471</v>
      </c>
      <c r="B31476" s="3" t="str">
        <f>"201409005967"</f>
        <v>201409005967</v>
      </c>
    </row>
    <row r="31477" spans="1:2" x14ac:dyDescent="0.25">
      <c r="A31477" s="2">
        <v>31472</v>
      </c>
      <c r="B31477" s="3" t="str">
        <f>"201409005968"</f>
        <v>201409005968</v>
      </c>
    </row>
    <row r="31478" spans="1:2" x14ac:dyDescent="0.25">
      <c r="A31478" s="2">
        <v>31473</v>
      </c>
      <c r="B31478" s="3" t="str">
        <f>"201409005988"</f>
        <v>201409005988</v>
      </c>
    </row>
    <row r="31479" spans="1:2" x14ac:dyDescent="0.25">
      <c r="A31479" s="2">
        <v>31474</v>
      </c>
      <c r="B31479" s="3" t="str">
        <f>"201409006004"</f>
        <v>201409006004</v>
      </c>
    </row>
    <row r="31480" spans="1:2" x14ac:dyDescent="0.25">
      <c r="A31480" s="2">
        <v>31475</v>
      </c>
      <c r="B31480" s="3" t="str">
        <f>"201409006020"</f>
        <v>201409006020</v>
      </c>
    </row>
    <row r="31481" spans="1:2" x14ac:dyDescent="0.25">
      <c r="A31481" s="2">
        <v>31476</v>
      </c>
      <c r="B31481" s="3" t="str">
        <f>"201409006031"</f>
        <v>201409006031</v>
      </c>
    </row>
    <row r="31482" spans="1:2" x14ac:dyDescent="0.25">
      <c r="A31482" s="2">
        <v>31477</v>
      </c>
      <c r="B31482" s="3" t="str">
        <f>"201409006078"</f>
        <v>201409006078</v>
      </c>
    </row>
    <row r="31483" spans="1:2" x14ac:dyDescent="0.25">
      <c r="A31483" s="2">
        <v>31478</v>
      </c>
      <c r="B31483" s="3" t="str">
        <f>"201409006079"</f>
        <v>201409006079</v>
      </c>
    </row>
    <row r="31484" spans="1:2" x14ac:dyDescent="0.25">
      <c r="A31484" s="2">
        <v>31479</v>
      </c>
      <c r="B31484" s="3" t="str">
        <f>"201409006133"</f>
        <v>201409006133</v>
      </c>
    </row>
    <row r="31485" spans="1:2" x14ac:dyDescent="0.25">
      <c r="A31485" s="2">
        <v>31480</v>
      </c>
      <c r="B31485" s="3" t="str">
        <f>"201409006146"</f>
        <v>201409006146</v>
      </c>
    </row>
    <row r="31486" spans="1:2" x14ac:dyDescent="0.25">
      <c r="A31486" s="2">
        <v>31481</v>
      </c>
      <c r="B31486" s="3" t="str">
        <f>"201409006153"</f>
        <v>201409006153</v>
      </c>
    </row>
    <row r="31487" spans="1:2" x14ac:dyDescent="0.25">
      <c r="A31487" s="2">
        <v>31482</v>
      </c>
      <c r="B31487" s="3" t="str">
        <f>"201409006154"</f>
        <v>201409006154</v>
      </c>
    </row>
    <row r="31488" spans="1:2" x14ac:dyDescent="0.25">
      <c r="A31488" s="2">
        <v>31483</v>
      </c>
      <c r="B31488" s="3" t="str">
        <f>"201409006167"</f>
        <v>201409006167</v>
      </c>
    </row>
    <row r="31489" spans="1:2" x14ac:dyDescent="0.25">
      <c r="A31489" s="2">
        <v>31484</v>
      </c>
      <c r="B31489" s="3" t="str">
        <f>"201409006188"</f>
        <v>201409006188</v>
      </c>
    </row>
    <row r="31490" spans="1:2" x14ac:dyDescent="0.25">
      <c r="A31490" s="2">
        <v>31485</v>
      </c>
      <c r="B31490" s="3" t="str">
        <f>"201409006245"</f>
        <v>201409006245</v>
      </c>
    </row>
    <row r="31491" spans="1:2" x14ac:dyDescent="0.25">
      <c r="A31491" s="2">
        <v>31486</v>
      </c>
      <c r="B31491" s="3" t="str">
        <f>"201409006263"</f>
        <v>201409006263</v>
      </c>
    </row>
    <row r="31492" spans="1:2" x14ac:dyDescent="0.25">
      <c r="A31492" s="2">
        <v>31487</v>
      </c>
      <c r="B31492" s="3" t="str">
        <f>"201409006342"</f>
        <v>201409006342</v>
      </c>
    </row>
    <row r="31493" spans="1:2" x14ac:dyDescent="0.25">
      <c r="A31493" s="2">
        <v>31488</v>
      </c>
      <c r="B31493" s="3" t="str">
        <f>"201409006348"</f>
        <v>201409006348</v>
      </c>
    </row>
    <row r="31494" spans="1:2" x14ac:dyDescent="0.25">
      <c r="A31494" s="2">
        <v>31489</v>
      </c>
      <c r="B31494" s="3" t="str">
        <f>"201409006386"</f>
        <v>201409006386</v>
      </c>
    </row>
    <row r="31495" spans="1:2" x14ac:dyDescent="0.25">
      <c r="A31495" s="2">
        <v>31490</v>
      </c>
      <c r="B31495" s="3" t="str">
        <f>"201409006441"</f>
        <v>201409006441</v>
      </c>
    </row>
    <row r="31496" spans="1:2" x14ac:dyDescent="0.25">
      <c r="A31496" s="2">
        <v>31491</v>
      </c>
      <c r="B31496" s="3" t="str">
        <f>"201409006452"</f>
        <v>201409006452</v>
      </c>
    </row>
    <row r="31497" spans="1:2" x14ac:dyDescent="0.25">
      <c r="A31497" s="2">
        <v>31492</v>
      </c>
      <c r="B31497" s="3" t="str">
        <f>"201409006467"</f>
        <v>201409006467</v>
      </c>
    </row>
    <row r="31498" spans="1:2" x14ac:dyDescent="0.25">
      <c r="A31498" s="2">
        <v>31493</v>
      </c>
      <c r="B31498" s="3" t="str">
        <f>"201409006522"</f>
        <v>201409006522</v>
      </c>
    </row>
    <row r="31499" spans="1:2" x14ac:dyDescent="0.25">
      <c r="A31499" s="2">
        <v>31494</v>
      </c>
      <c r="B31499" s="3" t="str">
        <f>"201409006552"</f>
        <v>201409006552</v>
      </c>
    </row>
    <row r="31500" spans="1:2" x14ac:dyDescent="0.25">
      <c r="A31500" s="2">
        <v>31495</v>
      </c>
      <c r="B31500" s="3" t="str">
        <f>"201409006576"</f>
        <v>201409006576</v>
      </c>
    </row>
    <row r="31501" spans="1:2" x14ac:dyDescent="0.25">
      <c r="A31501" s="2">
        <v>31496</v>
      </c>
      <c r="B31501" s="3" t="str">
        <f>"201409006595"</f>
        <v>201409006595</v>
      </c>
    </row>
    <row r="31502" spans="1:2" x14ac:dyDescent="0.25">
      <c r="A31502" s="2">
        <v>31497</v>
      </c>
      <c r="B31502" s="3" t="str">
        <f>"201409006611"</f>
        <v>201409006611</v>
      </c>
    </row>
    <row r="31503" spans="1:2" x14ac:dyDescent="0.25">
      <c r="A31503" s="2">
        <v>31498</v>
      </c>
      <c r="B31503" s="3" t="str">
        <f>"201409006673"</f>
        <v>201409006673</v>
      </c>
    </row>
    <row r="31504" spans="1:2" x14ac:dyDescent="0.25">
      <c r="A31504" s="2">
        <v>31499</v>
      </c>
      <c r="B31504" s="3" t="str">
        <f>"201409006690"</f>
        <v>201409006690</v>
      </c>
    </row>
    <row r="31505" spans="1:2" x14ac:dyDescent="0.25">
      <c r="A31505" s="2">
        <v>31500</v>
      </c>
      <c r="B31505" s="3" t="str">
        <f>"201409006762"</f>
        <v>201409006762</v>
      </c>
    </row>
    <row r="31506" spans="1:2" x14ac:dyDescent="0.25">
      <c r="A31506" s="2">
        <v>31501</v>
      </c>
      <c r="B31506" s="3" t="str">
        <f>"201409006791"</f>
        <v>201409006791</v>
      </c>
    </row>
    <row r="31507" spans="1:2" x14ac:dyDescent="0.25">
      <c r="A31507" s="2">
        <v>31502</v>
      </c>
      <c r="B31507" s="3" t="str">
        <f>"201409006795"</f>
        <v>201409006795</v>
      </c>
    </row>
    <row r="31508" spans="1:2" x14ac:dyDescent="0.25">
      <c r="A31508" s="2">
        <v>31503</v>
      </c>
      <c r="B31508" s="3" t="str">
        <f>"201409006813"</f>
        <v>201409006813</v>
      </c>
    </row>
    <row r="31509" spans="1:2" x14ac:dyDescent="0.25">
      <c r="A31509" s="2">
        <v>31504</v>
      </c>
      <c r="B31509" s="3" t="str">
        <f>"201409006828"</f>
        <v>201409006828</v>
      </c>
    </row>
    <row r="31510" spans="1:2" x14ac:dyDescent="0.25">
      <c r="A31510" s="2">
        <v>31505</v>
      </c>
      <c r="B31510" s="3" t="str">
        <f>"201409006855"</f>
        <v>201409006855</v>
      </c>
    </row>
    <row r="31511" spans="1:2" x14ac:dyDescent="0.25">
      <c r="A31511" s="2">
        <v>31506</v>
      </c>
      <c r="B31511" s="3" t="str">
        <f>"201409006894"</f>
        <v>201409006894</v>
      </c>
    </row>
    <row r="31512" spans="1:2" x14ac:dyDescent="0.25">
      <c r="A31512" s="2">
        <v>31507</v>
      </c>
      <c r="B31512" s="3" t="str">
        <f>"201409006912"</f>
        <v>201409006912</v>
      </c>
    </row>
    <row r="31513" spans="1:2" x14ac:dyDescent="0.25">
      <c r="A31513" s="2">
        <v>31508</v>
      </c>
      <c r="B31513" s="3" t="str">
        <f>"201409006940"</f>
        <v>201409006940</v>
      </c>
    </row>
    <row r="31514" spans="1:2" x14ac:dyDescent="0.25">
      <c r="A31514" s="2">
        <v>31509</v>
      </c>
      <c r="B31514" s="3" t="str">
        <f>"201409006956"</f>
        <v>201409006956</v>
      </c>
    </row>
    <row r="31515" spans="1:2" x14ac:dyDescent="0.25">
      <c r="A31515" s="2">
        <v>31510</v>
      </c>
      <c r="B31515" s="3" t="str">
        <f>"201409006959"</f>
        <v>201409006959</v>
      </c>
    </row>
    <row r="31516" spans="1:2" x14ac:dyDescent="0.25">
      <c r="A31516" s="2">
        <v>31511</v>
      </c>
      <c r="B31516" s="3" t="str">
        <f>"201409006963"</f>
        <v>201409006963</v>
      </c>
    </row>
    <row r="31517" spans="1:2" x14ac:dyDescent="0.25">
      <c r="A31517" s="2">
        <v>31512</v>
      </c>
      <c r="B31517" s="3" t="str">
        <f>"201409006983"</f>
        <v>201409006983</v>
      </c>
    </row>
    <row r="31518" spans="1:2" x14ac:dyDescent="0.25">
      <c r="A31518" s="2">
        <v>31513</v>
      </c>
      <c r="B31518" s="3" t="str">
        <f>"201409007001"</f>
        <v>201409007001</v>
      </c>
    </row>
    <row r="31519" spans="1:2" x14ac:dyDescent="0.25">
      <c r="A31519" s="2">
        <v>31514</v>
      </c>
      <c r="B31519" s="3" t="str">
        <f>"201409007039"</f>
        <v>201409007039</v>
      </c>
    </row>
    <row r="31520" spans="1:2" x14ac:dyDescent="0.25">
      <c r="A31520" s="2">
        <v>31515</v>
      </c>
      <c r="B31520" s="3" t="str">
        <f>"201409007064"</f>
        <v>201409007064</v>
      </c>
    </row>
    <row r="31521" spans="1:2" x14ac:dyDescent="0.25">
      <c r="A31521" s="2">
        <v>31516</v>
      </c>
      <c r="B31521" s="3" t="str">
        <f>"201409007070"</f>
        <v>201409007070</v>
      </c>
    </row>
    <row r="31522" spans="1:2" x14ac:dyDescent="0.25">
      <c r="A31522" s="2">
        <v>31517</v>
      </c>
      <c r="B31522" s="3" t="str">
        <f>"201409007092"</f>
        <v>201409007092</v>
      </c>
    </row>
    <row r="31523" spans="1:2" x14ac:dyDescent="0.25">
      <c r="A31523" s="2">
        <v>31518</v>
      </c>
      <c r="B31523" s="3" t="str">
        <f>"201409007100"</f>
        <v>201409007100</v>
      </c>
    </row>
    <row r="31524" spans="1:2" x14ac:dyDescent="0.25">
      <c r="A31524" s="2">
        <v>31519</v>
      </c>
      <c r="B31524" s="3" t="str">
        <f>"201409007113"</f>
        <v>201409007113</v>
      </c>
    </row>
    <row r="31525" spans="1:2" x14ac:dyDescent="0.25">
      <c r="A31525" s="2">
        <v>31520</v>
      </c>
      <c r="B31525" s="3" t="str">
        <f>"201409007117"</f>
        <v>201409007117</v>
      </c>
    </row>
    <row r="31526" spans="1:2" x14ac:dyDescent="0.25">
      <c r="A31526" s="2">
        <v>31521</v>
      </c>
      <c r="B31526" s="3" t="str">
        <f>"201409007128"</f>
        <v>201409007128</v>
      </c>
    </row>
    <row r="31527" spans="1:2" x14ac:dyDescent="0.25">
      <c r="A31527" s="2">
        <v>31522</v>
      </c>
      <c r="B31527" s="3" t="str">
        <f>"201409007149"</f>
        <v>201409007149</v>
      </c>
    </row>
    <row r="31528" spans="1:2" x14ac:dyDescent="0.25">
      <c r="A31528" s="2">
        <v>31523</v>
      </c>
      <c r="B31528" s="3" t="str">
        <f>"201409007155"</f>
        <v>201409007155</v>
      </c>
    </row>
    <row r="31529" spans="1:2" x14ac:dyDescent="0.25">
      <c r="A31529" s="2">
        <v>31524</v>
      </c>
      <c r="B31529" s="3" t="str">
        <f>"201409007200"</f>
        <v>201409007200</v>
      </c>
    </row>
    <row r="31530" spans="1:2" x14ac:dyDescent="0.25">
      <c r="A31530" s="2">
        <v>31525</v>
      </c>
      <c r="B31530" s="3" t="str">
        <f>"201410000030"</f>
        <v>201410000030</v>
      </c>
    </row>
    <row r="31531" spans="1:2" x14ac:dyDescent="0.25">
      <c r="A31531" s="2">
        <v>31526</v>
      </c>
      <c r="B31531" s="3" t="str">
        <f>"201410000055"</f>
        <v>201410000055</v>
      </c>
    </row>
    <row r="31532" spans="1:2" x14ac:dyDescent="0.25">
      <c r="A31532" s="2">
        <v>31527</v>
      </c>
      <c r="B31532" s="3" t="str">
        <f>"201410000063"</f>
        <v>201410000063</v>
      </c>
    </row>
    <row r="31533" spans="1:2" x14ac:dyDescent="0.25">
      <c r="A31533" s="2">
        <v>31528</v>
      </c>
      <c r="B31533" s="3" t="str">
        <f>"201410000165"</f>
        <v>201410000165</v>
      </c>
    </row>
    <row r="31534" spans="1:2" x14ac:dyDescent="0.25">
      <c r="A31534" s="2">
        <v>31529</v>
      </c>
      <c r="B31534" s="3" t="str">
        <f>"201410000202"</f>
        <v>201410000202</v>
      </c>
    </row>
    <row r="31535" spans="1:2" x14ac:dyDescent="0.25">
      <c r="A31535" s="2">
        <v>31530</v>
      </c>
      <c r="B31535" s="3" t="str">
        <f>"201410000214"</f>
        <v>201410000214</v>
      </c>
    </row>
    <row r="31536" spans="1:2" x14ac:dyDescent="0.25">
      <c r="A31536" s="2">
        <v>31531</v>
      </c>
      <c r="B31536" s="3" t="str">
        <f>"201410000250"</f>
        <v>201410000250</v>
      </c>
    </row>
    <row r="31537" spans="1:2" x14ac:dyDescent="0.25">
      <c r="A31537" s="2">
        <v>31532</v>
      </c>
      <c r="B31537" s="3" t="str">
        <f>"201410000259"</f>
        <v>201410000259</v>
      </c>
    </row>
    <row r="31538" spans="1:2" x14ac:dyDescent="0.25">
      <c r="A31538" s="2">
        <v>31533</v>
      </c>
      <c r="B31538" s="3" t="str">
        <f>"201410000293"</f>
        <v>201410000293</v>
      </c>
    </row>
    <row r="31539" spans="1:2" x14ac:dyDescent="0.25">
      <c r="A31539" s="2">
        <v>31534</v>
      </c>
      <c r="B31539" s="3" t="str">
        <f>"201410000300"</f>
        <v>201410000300</v>
      </c>
    </row>
    <row r="31540" spans="1:2" x14ac:dyDescent="0.25">
      <c r="A31540" s="2">
        <v>31535</v>
      </c>
      <c r="B31540" s="3" t="str">
        <f>"201410000302"</f>
        <v>201410000302</v>
      </c>
    </row>
    <row r="31541" spans="1:2" x14ac:dyDescent="0.25">
      <c r="A31541" s="2">
        <v>31536</v>
      </c>
      <c r="B31541" s="3" t="str">
        <f>"201410000389"</f>
        <v>201410000389</v>
      </c>
    </row>
    <row r="31542" spans="1:2" x14ac:dyDescent="0.25">
      <c r="A31542" s="2">
        <v>31537</v>
      </c>
      <c r="B31542" s="3" t="str">
        <f>"201410000445"</f>
        <v>201410000445</v>
      </c>
    </row>
    <row r="31543" spans="1:2" x14ac:dyDescent="0.25">
      <c r="A31543" s="2">
        <v>31538</v>
      </c>
      <c r="B31543" s="3" t="str">
        <f>"201410000458"</f>
        <v>201410000458</v>
      </c>
    </row>
    <row r="31544" spans="1:2" x14ac:dyDescent="0.25">
      <c r="A31544" s="2">
        <v>31539</v>
      </c>
      <c r="B31544" s="3" t="str">
        <f>"201410000481"</f>
        <v>201410000481</v>
      </c>
    </row>
    <row r="31545" spans="1:2" x14ac:dyDescent="0.25">
      <c r="A31545" s="2">
        <v>31540</v>
      </c>
      <c r="B31545" s="3" t="str">
        <f>"201410000486"</f>
        <v>201410000486</v>
      </c>
    </row>
    <row r="31546" spans="1:2" x14ac:dyDescent="0.25">
      <c r="A31546" s="2">
        <v>31541</v>
      </c>
      <c r="B31546" s="3" t="str">
        <f>"201410000490"</f>
        <v>201410000490</v>
      </c>
    </row>
    <row r="31547" spans="1:2" x14ac:dyDescent="0.25">
      <c r="A31547" s="2">
        <v>31542</v>
      </c>
      <c r="B31547" s="3" t="str">
        <f>"201410000501"</f>
        <v>201410000501</v>
      </c>
    </row>
    <row r="31548" spans="1:2" x14ac:dyDescent="0.25">
      <c r="A31548" s="2">
        <v>31543</v>
      </c>
      <c r="B31548" s="3" t="str">
        <f>"201410000546"</f>
        <v>201410000546</v>
      </c>
    </row>
    <row r="31549" spans="1:2" x14ac:dyDescent="0.25">
      <c r="A31549" s="2">
        <v>31544</v>
      </c>
      <c r="B31549" s="3" t="str">
        <f>"201410000584"</f>
        <v>201410000584</v>
      </c>
    </row>
    <row r="31550" spans="1:2" x14ac:dyDescent="0.25">
      <c r="A31550" s="2">
        <v>31545</v>
      </c>
      <c r="B31550" s="3" t="str">
        <f>"201410000685"</f>
        <v>201410000685</v>
      </c>
    </row>
    <row r="31551" spans="1:2" x14ac:dyDescent="0.25">
      <c r="A31551" s="2">
        <v>31546</v>
      </c>
      <c r="B31551" s="3" t="str">
        <f>"201410000703"</f>
        <v>201410000703</v>
      </c>
    </row>
    <row r="31552" spans="1:2" x14ac:dyDescent="0.25">
      <c r="A31552" s="2">
        <v>31547</v>
      </c>
      <c r="B31552" s="3" t="str">
        <f>"201410000713"</f>
        <v>201410000713</v>
      </c>
    </row>
    <row r="31553" spans="1:2" x14ac:dyDescent="0.25">
      <c r="A31553" s="2">
        <v>31548</v>
      </c>
      <c r="B31553" s="3" t="str">
        <f>"201410000747"</f>
        <v>201410000747</v>
      </c>
    </row>
    <row r="31554" spans="1:2" x14ac:dyDescent="0.25">
      <c r="A31554" s="2">
        <v>31549</v>
      </c>
      <c r="B31554" s="3" t="str">
        <f>"201410000763"</f>
        <v>201410000763</v>
      </c>
    </row>
    <row r="31555" spans="1:2" x14ac:dyDescent="0.25">
      <c r="A31555" s="2">
        <v>31550</v>
      </c>
      <c r="B31555" s="3" t="str">
        <f>"201410000768"</f>
        <v>201410000768</v>
      </c>
    </row>
    <row r="31556" spans="1:2" x14ac:dyDescent="0.25">
      <c r="A31556" s="2">
        <v>31551</v>
      </c>
      <c r="B31556" s="3" t="str">
        <f>"201410000773"</f>
        <v>201410000773</v>
      </c>
    </row>
    <row r="31557" spans="1:2" x14ac:dyDescent="0.25">
      <c r="A31557" s="2">
        <v>31552</v>
      </c>
      <c r="B31557" s="3" t="str">
        <f>"201410000781"</f>
        <v>201410000781</v>
      </c>
    </row>
    <row r="31558" spans="1:2" x14ac:dyDescent="0.25">
      <c r="A31558" s="2">
        <v>31553</v>
      </c>
      <c r="B31558" s="3" t="str">
        <f>"201410000846"</f>
        <v>201410000846</v>
      </c>
    </row>
    <row r="31559" spans="1:2" x14ac:dyDescent="0.25">
      <c r="A31559" s="2">
        <v>31554</v>
      </c>
      <c r="B31559" s="3" t="str">
        <f>"201410000860"</f>
        <v>201410000860</v>
      </c>
    </row>
    <row r="31560" spans="1:2" x14ac:dyDescent="0.25">
      <c r="A31560" s="2">
        <v>31555</v>
      </c>
      <c r="B31560" s="3" t="str">
        <f>"201410000869"</f>
        <v>201410000869</v>
      </c>
    </row>
    <row r="31561" spans="1:2" x14ac:dyDescent="0.25">
      <c r="A31561" s="2">
        <v>31556</v>
      </c>
      <c r="B31561" s="3" t="str">
        <f>"201410000909"</f>
        <v>201410000909</v>
      </c>
    </row>
    <row r="31562" spans="1:2" x14ac:dyDescent="0.25">
      <c r="A31562" s="2">
        <v>31557</v>
      </c>
      <c r="B31562" s="3" t="str">
        <f>"201410000918"</f>
        <v>201410000918</v>
      </c>
    </row>
    <row r="31563" spans="1:2" x14ac:dyDescent="0.25">
      <c r="A31563" s="2">
        <v>31558</v>
      </c>
      <c r="B31563" s="3" t="str">
        <f>"201410000923"</f>
        <v>201410000923</v>
      </c>
    </row>
    <row r="31564" spans="1:2" x14ac:dyDescent="0.25">
      <c r="A31564" s="2">
        <v>31559</v>
      </c>
      <c r="B31564" s="3" t="str">
        <f>"201410000931"</f>
        <v>201410000931</v>
      </c>
    </row>
    <row r="31565" spans="1:2" x14ac:dyDescent="0.25">
      <c r="A31565" s="2">
        <v>31560</v>
      </c>
      <c r="B31565" s="3" t="str">
        <f>"201410000941"</f>
        <v>201410000941</v>
      </c>
    </row>
    <row r="31566" spans="1:2" x14ac:dyDescent="0.25">
      <c r="A31566" s="2">
        <v>31561</v>
      </c>
      <c r="B31566" s="3" t="str">
        <f>"201410000956"</f>
        <v>201410000956</v>
      </c>
    </row>
    <row r="31567" spans="1:2" x14ac:dyDescent="0.25">
      <c r="A31567" s="2">
        <v>31562</v>
      </c>
      <c r="B31567" s="3" t="str">
        <f>"201410000994"</f>
        <v>201410000994</v>
      </c>
    </row>
    <row r="31568" spans="1:2" x14ac:dyDescent="0.25">
      <c r="A31568" s="2">
        <v>31563</v>
      </c>
      <c r="B31568" s="3" t="str">
        <f>"201410001013"</f>
        <v>201410001013</v>
      </c>
    </row>
    <row r="31569" spans="1:2" x14ac:dyDescent="0.25">
      <c r="A31569" s="2">
        <v>31564</v>
      </c>
      <c r="B31569" s="3" t="str">
        <f>"201410001040"</f>
        <v>201410001040</v>
      </c>
    </row>
    <row r="31570" spans="1:2" x14ac:dyDescent="0.25">
      <c r="A31570" s="2">
        <v>31565</v>
      </c>
      <c r="B31570" s="3" t="str">
        <f>"201410001044"</f>
        <v>201410001044</v>
      </c>
    </row>
    <row r="31571" spans="1:2" x14ac:dyDescent="0.25">
      <c r="A31571" s="2">
        <v>31566</v>
      </c>
      <c r="B31571" s="3" t="str">
        <f>"201410001060"</f>
        <v>201410001060</v>
      </c>
    </row>
    <row r="31572" spans="1:2" x14ac:dyDescent="0.25">
      <c r="A31572" s="2">
        <v>31567</v>
      </c>
      <c r="B31572" s="3" t="str">
        <f>"201410001078"</f>
        <v>201410001078</v>
      </c>
    </row>
    <row r="31573" spans="1:2" x14ac:dyDescent="0.25">
      <c r="A31573" s="2">
        <v>31568</v>
      </c>
      <c r="B31573" s="3" t="str">
        <f>"201410001114"</f>
        <v>201410001114</v>
      </c>
    </row>
    <row r="31574" spans="1:2" x14ac:dyDescent="0.25">
      <c r="A31574" s="2">
        <v>31569</v>
      </c>
      <c r="B31574" s="3" t="str">
        <f>"201410001143"</f>
        <v>201410001143</v>
      </c>
    </row>
    <row r="31575" spans="1:2" x14ac:dyDescent="0.25">
      <c r="A31575" s="2">
        <v>31570</v>
      </c>
      <c r="B31575" s="3" t="str">
        <f>"201410001154"</f>
        <v>201410001154</v>
      </c>
    </row>
    <row r="31576" spans="1:2" x14ac:dyDescent="0.25">
      <c r="A31576" s="2">
        <v>31571</v>
      </c>
      <c r="B31576" s="3" t="str">
        <f>"201410001155"</f>
        <v>201410001155</v>
      </c>
    </row>
    <row r="31577" spans="1:2" x14ac:dyDescent="0.25">
      <c r="A31577" s="2">
        <v>31572</v>
      </c>
      <c r="B31577" s="3" t="str">
        <f>"201410001162"</f>
        <v>201410001162</v>
      </c>
    </row>
    <row r="31578" spans="1:2" x14ac:dyDescent="0.25">
      <c r="A31578" s="2">
        <v>31573</v>
      </c>
      <c r="B31578" s="3" t="str">
        <f>"201410001171"</f>
        <v>201410001171</v>
      </c>
    </row>
    <row r="31579" spans="1:2" x14ac:dyDescent="0.25">
      <c r="A31579" s="2">
        <v>31574</v>
      </c>
      <c r="B31579" s="3" t="str">
        <f>"201410001174"</f>
        <v>201410001174</v>
      </c>
    </row>
    <row r="31580" spans="1:2" x14ac:dyDescent="0.25">
      <c r="A31580" s="2">
        <v>31575</v>
      </c>
      <c r="B31580" s="3" t="str">
        <f>"201410001182"</f>
        <v>201410001182</v>
      </c>
    </row>
    <row r="31581" spans="1:2" x14ac:dyDescent="0.25">
      <c r="A31581" s="2">
        <v>31576</v>
      </c>
      <c r="B31581" s="3" t="str">
        <f>"201410001183"</f>
        <v>201410001183</v>
      </c>
    </row>
    <row r="31582" spans="1:2" x14ac:dyDescent="0.25">
      <c r="A31582" s="2">
        <v>31577</v>
      </c>
      <c r="B31582" s="3" t="str">
        <f>"201410001185"</f>
        <v>201410001185</v>
      </c>
    </row>
    <row r="31583" spans="1:2" x14ac:dyDescent="0.25">
      <c r="A31583" s="2">
        <v>31578</v>
      </c>
      <c r="B31583" s="3" t="str">
        <f>"201410001189"</f>
        <v>201410001189</v>
      </c>
    </row>
    <row r="31584" spans="1:2" x14ac:dyDescent="0.25">
      <c r="A31584" s="2">
        <v>31579</v>
      </c>
      <c r="B31584" s="3" t="str">
        <f>"201410001205"</f>
        <v>201410001205</v>
      </c>
    </row>
    <row r="31585" spans="1:2" x14ac:dyDescent="0.25">
      <c r="A31585" s="2">
        <v>31580</v>
      </c>
      <c r="B31585" s="3" t="str">
        <f>"201410001265"</f>
        <v>201410001265</v>
      </c>
    </row>
    <row r="31586" spans="1:2" x14ac:dyDescent="0.25">
      <c r="A31586" s="2">
        <v>31581</v>
      </c>
      <c r="B31586" s="3" t="str">
        <f>"201410001270"</f>
        <v>201410001270</v>
      </c>
    </row>
    <row r="31587" spans="1:2" x14ac:dyDescent="0.25">
      <c r="A31587" s="2">
        <v>31582</v>
      </c>
      <c r="B31587" s="3" t="str">
        <f>"201410001296"</f>
        <v>201410001296</v>
      </c>
    </row>
    <row r="31588" spans="1:2" x14ac:dyDescent="0.25">
      <c r="A31588" s="2">
        <v>31583</v>
      </c>
      <c r="B31588" s="3" t="str">
        <f>"201410001305"</f>
        <v>201410001305</v>
      </c>
    </row>
    <row r="31589" spans="1:2" x14ac:dyDescent="0.25">
      <c r="A31589" s="2">
        <v>31584</v>
      </c>
      <c r="B31589" s="3" t="str">
        <f>"201410001356"</f>
        <v>201410001356</v>
      </c>
    </row>
    <row r="31590" spans="1:2" x14ac:dyDescent="0.25">
      <c r="A31590" s="2">
        <v>31585</v>
      </c>
      <c r="B31590" s="3" t="str">
        <f>"201410001389"</f>
        <v>201410001389</v>
      </c>
    </row>
    <row r="31591" spans="1:2" x14ac:dyDescent="0.25">
      <c r="A31591" s="2">
        <v>31586</v>
      </c>
      <c r="B31591" s="3" t="str">
        <f>"201410001412"</f>
        <v>201410001412</v>
      </c>
    </row>
    <row r="31592" spans="1:2" x14ac:dyDescent="0.25">
      <c r="A31592" s="2">
        <v>31587</v>
      </c>
      <c r="B31592" s="3" t="str">
        <f>"201410001417"</f>
        <v>201410001417</v>
      </c>
    </row>
    <row r="31593" spans="1:2" x14ac:dyDescent="0.25">
      <c r="A31593" s="2">
        <v>31588</v>
      </c>
      <c r="B31593" s="3" t="str">
        <f>"201410001442"</f>
        <v>201410001442</v>
      </c>
    </row>
    <row r="31594" spans="1:2" x14ac:dyDescent="0.25">
      <c r="A31594" s="2">
        <v>31589</v>
      </c>
      <c r="B31594" s="3" t="str">
        <f>"201410001447"</f>
        <v>201410001447</v>
      </c>
    </row>
    <row r="31595" spans="1:2" x14ac:dyDescent="0.25">
      <c r="A31595" s="2">
        <v>31590</v>
      </c>
      <c r="B31595" s="3" t="str">
        <f>"201410001459"</f>
        <v>201410001459</v>
      </c>
    </row>
    <row r="31596" spans="1:2" x14ac:dyDescent="0.25">
      <c r="A31596" s="2">
        <v>31591</v>
      </c>
      <c r="B31596" s="3" t="str">
        <f>"201410001526"</f>
        <v>201410001526</v>
      </c>
    </row>
    <row r="31597" spans="1:2" x14ac:dyDescent="0.25">
      <c r="A31597" s="2">
        <v>31592</v>
      </c>
      <c r="B31597" s="3" t="str">
        <f>"201410001534"</f>
        <v>201410001534</v>
      </c>
    </row>
    <row r="31598" spans="1:2" x14ac:dyDescent="0.25">
      <c r="A31598" s="2">
        <v>31593</v>
      </c>
      <c r="B31598" s="3" t="str">
        <f>"201410001535"</f>
        <v>201410001535</v>
      </c>
    </row>
    <row r="31599" spans="1:2" x14ac:dyDescent="0.25">
      <c r="A31599" s="2">
        <v>31594</v>
      </c>
      <c r="B31599" s="3" t="str">
        <f>"201410001567"</f>
        <v>201410001567</v>
      </c>
    </row>
    <row r="31600" spans="1:2" x14ac:dyDescent="0.25">
      <c r="A31600" s="2">
        <v>31595</v>
      </c>
      <c r="B31600" s="3" t="str">
        <f>"201410001579"</f>
        <v>201410001579</v>
      </c>
    </row>
    <row r="31601" spans="1:2" x14ac:dyDescent="0.25">
      <c r="A31601" s="2">
        <v>31596</v>
      </c>
      <c r="B31601" s="3" t="str">
        <f>"201410001612"</f>
        <v>201410001612</v>
      </c>
    </row>
    <row r="31602" spans="1:2" x14ac:dyDescent="0.25">
      <c r="A31602" s="2">
        <v>31597</v>
      </c>
      <c r="B31602" s="3" t="str">
        <f>"201410001616"</f>
        <v>201410001616</v>
      </c>
    </row>
    <row r="31603" spans="1:2" x14ac:dyDescent="0.25">
      <c r="A31603" s="2">
        <v>31598</v>
      </c>
      <c r="B31603" s="3" t="str">
        <f>"201410001623"</f>
        <v>201410001623</v>
      </c>
    </row>
    <row r="31604" spans="1:2" x14ac:dyDescent="0.25">
      <c r="A31604" s="2">
        <v>31599</v>
      </c>
      <c r="B31604" s="3" t="str">
        <f>"201410001690"</f>
        <v>201410001690</v>
      </c>
    </row>
    <row r="31605" spans="1:2" x14ac:dyDescent="0.25">
      <c r="A31605" s="2">
        <v>31600</v>
      </c>
      <c r="B31605" s="3" t="str">
        <f>"201410001691"</f>
        <v>201410001691</v>
      </c>
    </row>
    <row r="31606" spans="1:2" x14ac:dyDescent="0.25">
      <c r="A31606" s="2">
        <v>31601</v>
      </c>
      <c r="B31606" s="3" t="str">
        <f>"201410001728"</f>
        <v>201410001728</v>
      </c>
    </row>
    <row r="31607" spans="1:2" x14ac:dyDescent="0.25">
      <c r="A31607" s="2">
        <v>31602</v>
      </c>
      <c r="B31607" s="3" t="str">
        <f>"201410001732"</f>
        <v>201410001732</v>
      </c>
    </row>
    <row r="31608" spans="1:2" x14ac:dyDescent="0.25">
      <c r="A31608" s="2">
        <v>31603</v>
      </c>
      <c r="B31608" s="3" t="str">
        <f>"201410001758"</f>
        <v>201410001758</v>
      </c>
    </row>
    <row r="31609" spans="1:2" x14ac:dyDescent="0.25">
      <c r="A31609" s="2">
        <v>31604</v>
      </c>
      <c r="B31609" s="3" t="str">
        <f>"201410001767"</f>
        <v>201410001767</v>
      </c>
    </row>
    <row r="31610" spans="1:2" x14ac:dyDescent="0.25">
      <c r="A31610" s="2">
        <v>31605</v>
      </c>
      <c r="B31610" s="3" t="str">
        <f>"201410001775"</f>
        <v>201410001775</v>
      </c>
    </row>
    <row r="31611" spans="1:2" x14ac:dyDescent="0.25">
      <c r="A31611" s="2">
        <v>31606</v>
      </c>
      <c r="B31611" s="3" t="str">
        <f>"201410001849"</f>
        <v>201410001849</v>
      </c>
    </row>
    <row r="31612" spans="1:2" x14ac:dyDescent="0.25">
      <c r="A31612" s="2">
        <v>31607</v>
      </c>
      <c r="B31612" s="3" t="str">
        <f>"201410001889"</f>
        <v>201410001889</v>
      </c>
    </row>
    <row r="31613" spans="1:2" x14ac:dyDescent="0.25">
      <c r="A31613" s="2">
        <v>31608</v>
      </c>
      <c r="B31613" s="3" t="str">
        <f>"201410001939"</f>
        <v>201410001939</v>
      </c>
    </row>
    <row r="31614" spans="1:2" x14ac:dyDescent="0.25">
      <c r="A31614" s="2">
        <v>31609</v>
      </c>
      <c r="B31614" s="3" t="str">
        <f>"201410001952"</f>
        <v>201410001952</v>
      </c>
    </row>
    <row r="31615" spans="1:2" x14ac:dyDescent="0.25">
      <c r="A31615" s="2">
        <v>31610</v>
      </c>
      <c r="B31615" s="3" t="str">
        <f>"201410001983"</f>
        <v>201410001983</v>
      </c>
    </row>
    <row r="31616" spans="1:2" x14ac:dyDescent="0.25">
      <c r="A31616" s="2">
        <v>31611</v>
      </c>
      <c r="B31616" s="3" t="str">
        <f>"201410002001"</f>
        <v>201410002001</v>
      </c>
    </row>
    <row r="31617" spans="1:2" x14ac:dyDescent="0.25">
      <c r="A31617" s="2">
        <v>31612</v>
      </c>
      <c r="B31617" s="3" t="str">
        <f>"201410002018"</f>
        <v>201410002018</v>
      </c>
    </row>
    <row r="31618" spans="1:2" x14ac:dyDescent="0.25">
      <c r="A31618" s="2">
        <v>31613</v>
      </c>
      <c r="B31618" s="3" t="str">
        <f>"201410002053"</f>
        <v>201410002053</v>
      </c>
    </row>
    <row r="31619" spans="1:2" x14ac:dyDescent="0.25">
      <c r="A31619" s="2">
        <v>31614</v>
      </c>
      <c r="B31619" s="3" t="str">
        <f>"201410002136"</f>
        <v>201410002136</v>
      </c>
    </row>
    <row r="31620" spans="1:2" x14ac:dyDescent="0.25">
      <c r="A31620" s="2">
        <v>31615</v>
      </c>
      <c r="B31620" s="3" t="str">
        <f>"201410002137"</f>
        <v>201410002137</v>
      </c>
    </row>
    <row r="31621" spans="1:2" x14ac:dyDescent="0.25">
      <c r="A31621" s="2">
        <v>31616</v>
      </c>
      <c r="B31621" s="3" t="str">
        <f>"201410002159"</f>
        <v>201410002159</v>
      </c>
    </row>
    <row r="31622" spans="1:2" x14ac:dyDescent="0.25">
      <c r="A31622" s="2">
        <v>31617</v>
      </c>
      <c r="B31622" s="3" t="str">
        <f>"201410002188"</f>
        <v>201410002188</v>
      </c>
    </row>
    <row r="31623" spans="1:2" x14ac:dyDescent="0.25">
      <c r="A31623" s="2">
        <v>31618</v>
      </c>
      <c r="B31623" s="3" t="str">
        <f>"201410002194"</f>
        <v>201410002194</v>
      </c>
    </row>
    <row r="31624" spans="1:2" x14ac:dyDescent="0.25">
      <c r="A31624" s="2">
        <v>31619</v>
      </c>
      <c r="B31624" s="3" t="str">
        <f>"201410002299"</f>
        <v>201410002299</v>
      </c>
    </row>
    <row r="31625" spans="1:2" x14ac:dyDescent="0.25">
      <c r="A31625" s="2">
        <v>31620</v>
      </c>
      <c r="B31625" s="3" t="str">
        <f>"201410002339"</f>
        <v>201410002339</v>
      </c>
    </row>
    <row r="31626" spans="1:2" x14ac:dyDescent="0.25">
      <c r="A31626" s="2">
        <v>31621</v>
      </c>
      <c r="B31626" s="3" t="str">
        <f>"201410002385"</f>
        <v>201410002385</v>
      </c>
    </row>
    <row r="31627" spans="1:2" x14ac:dyDescent="0.25">
      <c r="A31627" s="2">
        <v>31622</v>
      </c>
      <c r="B31627" s="3" t="str">
        <f>"201410002413"</f>
        <v>201410002413</v>
      </c>
    </row>
    <row r="31628" spans="1:2" x14ac:dyDescent="0.25">
      <c r="A31628" s="2">
        <v>31623</v>
      </c>
      <c r="B31628" s="3" t="str">
        <f>"201410002414"</f>
        <v>201410002414</v>
      </c>
    </row>
    <row r="31629" spans="1:2" x14ac:dyDescent="0.25">
      <c r="A31629" s="2">
        <v>31624</v>
      </c>
      <c r="B31629" s="3" t="str">
        <f>"201410002468"</f>
        <v>201410002468</v>
      </c>
    </row>
    <row r="31630" spans="1:2" x14ac:dyDescent="0.25">
      <c r="A31630" s="2">
        <v>31625</v>
      </c>
      <c r="B31630" s="3" t="str">
        <f>"201410002541"</f>
        <v>201410002541</v>
      </c>
    </row>
    <row r="31631" spans="1:2" x14ac:dyDescent="0.25">
      <c r="A31631" s="2">
        <v>31626</v>
      </c>
      <c r="B31631" s="3" t="str">
        <f>"201410002542"</f>
        <v>201410002542</v>
      </c>
    </row>
    <row r="31632" spans="1:2" x14ac:dyDescent="0.25">
      <c r="A31632" s="2">
        <v>31627</v>
      </c>
      <c r="B31632" s="3" t="str">
        <f>"201410002577"</f>
        <v>201410002577</v>
      </c>
    </row>
    <row r="31633" spans="1:2" x14ac:dyDescent="0.25">
      <c r="A31633" s="2">
        <v>31628</v>
      </c>
      <c r="B31633" s="3" t="str">
        <f>"201410002604"</f>
        <v>201410002604</v>
      </c>
    </row>
    <row r="31634" spans="1:2" x14ac:dyDescent="0.25">
      <c r="A31634" s="2">
        <v>31629</v>
      </c>
      <c r="B31634" s="3" t="str">
        <f>"201410002605"</f>
        <v>201410002605</v>
      </c>
    </row>
    <row r="31635" spans="1:2" x14ac:dyDescent="0.25">
      <c r="A31635" s="2">
        <v>31630</v>
      </c>
      <c r="B31635" s="3" t="str">
        <f>"201410002640"</f>
        <v>201410002640</v>
      </c>
    </row>
    <row r="31636" spans="1:2" x14ac:dyDescent="0.25">
      <c r="A31636" s="2">
        <v>31631</v>
      </c>
      <c r="B31636" s="3" t="str">
        <f>"201410002649"</f>
        <v>201410002649</v>
      </c>
    </row>
    <row r="31637" spans="1:2" x14ac:dyDescent="0.25">
      <c r="A31637" s="2">
        <v>31632</v>
      </c>
      <c r="B31637" s="3" t="str">
        <f>"201410002658"</f>
        <v>201410002658</v>
      </c>
    </row>
    <row r="31638" spans="1:2" x14ac:dyDescent="0.25">
      <c r="A31638" s="2">
        <v>31633</v>
      </c>
      <c r="B31638" s="3" t="str">
        <f>"201410002659"</f>
        <v>201410002659</v>
      </c>
    </row>
    <row r="31639" spans="1:2" x14ac:dyDescent="0.25">
      <c r="A31639" s="2">
        <v>31634</v>
      </c>
      <c r="B31639" s="3" t="str">
        <f>"201410002675"</f>
        <v>201410002675</v>
      </c>
    </row>
    <row r="31640" spans="1:2" x14ac:dyDescent="0.25">
      <c r="A31640" s="2">
        <v>31635</v>
      </c>
      <c r="B31640" s="3" t="str">
        <f>"201410002697"</f>
        <v>201410002697</v>
      </c>
    </row>
    <row r="31641" spans="1:2" x14ac:dyDescent="0.25">
      <c r="A31641" s="2">
        <v>31636</v>
      </c>
      <c r="B31641" s="3" t="str">
        <f>"201410002704"</f>
        <v>201410002704</v>
      </c>
    </row>
    <row r="31642" spans="1:2" x14ac:dyDescent="0.25">
      <c r="A31642" s="2">
        <v>31637</v>
      </c>
      <c r="B31642" s="3" t="str">
        <f>"201410002744"</f>
        <v>201410002744</v>
      </c>
    </row>
    <row r="31643" spans="1:2" x14ac:dyDescent="0.25">
      <c r="A31643" s="2">
        <v>31638</v>
      </c>
      <c r="B31643" s="3" t="str">
        <f>"201410002747"</f>
        <v>201410002747</v>
      </c>
    </row>
    <row r="31644" spans="1:2" x14ac:dyDescent="0.25">
      <c r="A31644" s="2">
        <v>31639</v>
      </c>
      <c r="B31644" s="3" t="str">
        <f>"201410002767"</f>
        <v>201410002767</v>
      </c>
    </row>
    <row r="31645" spans="1:2" x14ac:dyDescent="0.25">
      <c r="A31645" s="2">
        <v>31640</v>
      </c>
      <c r="B31645" s="3" t="str">
        <f>"201410002768"</f>
        <v>201410002768</v>
      </c>
    </row>
    <row r="31646" spans="1:2" x14ac:dyDescent="0.25">
      <c r="A31646" s="2">
        <v>31641</v>
      </c>
      <c r="B31646" s="3" t="str">
        <f>"201410002802"</f>
        <v>201410002802</v>
      </c>
    </row>
    <row r="31647" spans="1:2" x14ac:dyDescent="0.25">
      <c r="A31647" s="2">
        <v>31642</v>
      </c>
      <c r="B31647" s="3" t="str">
        <f>"201410002822"</f>
        <v>201410002822</v>
      </c>
    </row>
    <row r="31648" spans="1:2" x14ac:dyDescent="0.25">
      <c r="A31648" s="2">
        <v>31643</v>
      </c>
      <c r="B31648" s="3" t="str">
        <f>"201410002828"</f>
        <v>201410002828</v>
      </c>
    </row>
    <row r="31649" spans="1:2" x14ac:dyDescent="0.25">
      <c r="A31649" s="2">
        <v>31644</v>
      </c>
      <c r="B31649" s="3" t="str">
        <f>"201410002848"</f>
        <v>201410002848</v>
      </c>
    </row>
    <row r="31650" spans="1:2" x14ac:dyDescent="0.25">
      <c r="A31650" s="2">
        <v>31645</v>
      </c>
      <c r="B31650" s="3" t="str">
        <f>"201410002863"</f>
        <v>201410002863</v>
      </c>
    </row>
    <row r="31651" spans="1:2" x14ac:dyDescent="0.25">
      <c r="A31651" s="2">
        <v>31646</v>
      </c>
      <c r="B31651" s="3" t="str">
        <f>"201410002868"</f>
        <v>201410002868</v>
      </c>
    </row>
    <row r="31652" spans="1:2" x14ac:dyDescent="0.25">
      <c r="A31652" s="2">
        <v>31647</v>
      </c>
      <c r="B31652" s="3" t="str">
        <f>"201410002878"</f>
        <v>201410002878</v>
      </c>
    </row>
    <row r="31653" spans="1:2" x14ac:dyDescent="0.25">
      <c r="A31653" s="2">
        <v>31648</v>
      </c>
      <c r="B31653" s="3" t="str">
        <f>"201410002892"</f>
        <v>201410002892</v>
      </c>
    </row>
    <row r="31654" spans="1:2" x14ac:dyDescent="0.25">
      <c r="A31654" s="2">
        <v>31649</v>
      </c>
      <c r="B31654" s="3" t="str">
        <f>"201410002904"</f>
        <v>201410002904</v>
      </c>
    </row>
    <row r="31655" spans="1:2" x14ac:dyDescent="0.25">
      <c r="A31655" s="2">
        <v>31650</v>
      </c>
      <c r="B31655" s="3" t="str">
        <f>"201410002922"</f>
        <v>201410002922</v>
      </c>
    </row>
    <row r="31656" spans="1:2" x14ac:dyDescent="0.25">
      <c r="A31656" s="2">
        <v>31651</v>
      </c>
      <c r="B31656" s="3" t="str">
        <f>"201410002958"</f>
        <v>201410002958</v>
      </c>
    </row>
    <row r="31657" spans="1:2" x14ac:dyDescent="0.25">
      <c r="A31657" s="2">
        <v>31652</v>
      </c>
      <c r="B31657" s="3" t="str">
        <f>"201410002972"</f>
        <v>201410002972</v>
      </c>
    </row>
    <row r="31658" spans="1:2" x14ac:dyDescent="0.25">
      <c r="A31658" s="2">
        <v>31653</v>
      </c>
      <c r="B31658" s="3" t="str">
        <f>"201410002993"</f>
        <v>201410002993</v>
      </c>
    </row>
    <row r="31659" spans="1:2" x14ac:dyDescent="0.25">
      <c r="A31659" s="2">
        <v>31654</v>
      </c>
      <c r="B31659" s="3" t="str">
        <f>"201410003087"</f>
        <v>201410003087</v>
      </c>
    </row>
    <row r="31660" spans="1:2" x14ac:dyDescent="0.25">
      <c r="A31660" s="2">
        <v>31655</v>
      </c>
      <c r="B31660" s="3" t="str">
        <f>"201410003100"</f>
        <v>201410003100</v>
      </c>
    </row>
    <row r="31661" spans="1:2" x14ac:dyDescent="0.25">
      <c r="A31661" s="2">
        <v>31656</v>
      </c>
      <c r="B31661" s="3" t="str">
        <f>"201410003105"</f>
        <v>201410003105</v>
      </c>
    </row>
    <row r="31662" spans="1:2" x14ac:dyDescent="0.25">
      <c r="A31662" s="2">
        <v>31657</v>
      </c>
      <c r="B31662" s="3" t="str">
        <f>"201410003141"</f>
        <v>201410003141</v>
      </c>
    </row>
    <row r="31663" spans="1:2" x14ac:dyDescent="0.25">
      <c r="A31663" s="2">
        <v>31658</v>
      </c>
      <c r="B31663" s="3" t="str">
        <f>"201410003165"</f>
        <v>201410003165</v>
      </c>
    </row>
    <row r="31664" spans="1:2" x14ac:dyDescent="0.25">
      <c r="A31664" s="2">
        <v>31659</v>
      </c>
      <c r="B31664" s="3" t="str">
        <f>"201410003186"</f>
        <v>201410003186</v>
      </c>
    </row>
    <row r="31665" spans="1:2" x14ac:dyDescent="0.25">
      <c r="A31665" s="2">
        <v>31660</v>
      </c>
      <c r="B31665" s="3" t="str">
        <f>"201410003225"</f>
        <v>201410003225</v>
      </c>
    </row>
    <row r="31666" spans="1:2" x14ac:dyDescent="0.25">
      <c r="A31666" s="2">
        <v>31661</v>
      </c>
      <c r="B31666" s="3" t="str">
        <f>"201410003233"</f>
        <v>201410003233</v>
      </c>
    </row>
    <row r="31667" spans="1:2" x14ac:dyDescent="0.25">
      <c r="A31667" s="2">
        <v>31662</v>
      </c>
      <c r="B31667" s="3" t="str">
        <f>"201410003237"</f>
        <v>201410003237</v>
      </c>
    </row>
    <row r="31668" spans="1:2" x14ac:dyDescent="0.25">
      <c r="A31668" s="2">
        <v>31663</v>
      </c>
      <c r="B31668" s="3" t="str">
        <f>"201410003242"</f>
        <v>201410003242</v>
      </c>
    </row>
    <row r="31669" spans="1:2" x14ac:dyDescent="0.25">
      <c r="A31669" s="2">
        <v>31664</v>
      </c>
      <c r="B31669" s="3" t="str">
        <f>"201410003247"</f>
        <v>201410003247</v>
      </c>
    </row>
    <row r="31670" spans="1:2" x14ac:dyDescent="0.25">
      <c r="A31670" s="2">
        <v>31665</v>
      </c>
      <c r="B31670" s="3" t="str">
        <f>"201410003317"</f>
        <v>201410003317</v>
      </c>
    </row>
    <row r="31671" spans="1:2" x14ac:dyDescent="0.25">
      <c r="A31671" s="2">
        <v>31666</v>
      </c>
      <c r="B31671" s="3" t="str">
        <f>"201410003357"</f>
        <v>201410003357</v>
      </c>
    </row>
    <row r="31672" spans="1:2" x14ac:dyDescent="0.25">
      <c r="A31672" s="2">
        <v>31667</v>
      </c>
      <c r="B31672" s="3" t="str">
        <f>"201410003358"</f>
        <v>201410003358</v>
      </c>
    </row>
    <row r="31673" spans="1:2" x14ac:dyDescent="0.25">
      <c r="A31673" s="2">
        <v>31668</v>
      </c>
      <c r="B31673" s="3" t="str">
        <f>"201410003419"</f>
        <v>201410003419</v>
      </c>
    </row>
    <row r="31674" spans="1:2" x14ac:dyDescent="0.25">
      <c r="A31674" s="2">
        <v>31669</v>
      </c>
      <c r="B31674" s="3" t="str">
        <f>"201410003452"</f>
        <v>201410003452</v>
      </c>
    </row>
    <row r="31675" spans="1:2" x14ac:dyDescent="0.25">
      <c r="A31675" s="2">
        <v>31670</v>
      </c>
      <c r="B31675" s="3" t="str">
        <f>"201410003457"</f>
        <v>201410003457</v>
      </c>
    </row>
    <row r="31676" spans="1:2" x14ac:dyDescent="0.25">
      <c r="A31676" s="2">
        <v>31671</v>
      </c>
      <c r="B31676" s="3" t="str">
        <f>"201410003500"</f>
        <v>201410003500</v>
      </c>
    </row>
    <row r="31677" spans="1:2" x14ac:dyDescent="0.25">
      <c r="A31677" s="2">
        <v>31672</v>
      </c>
      <c r="B31677" s="3" t="str">
        <f>"201410003592"</f>
        <v>201410003592</v>
      </c>
    </row>
    <row r="31678" spans="1:2" x14ac:dyDescent="0.25">
      <c r="A31678" s="2">
        <v>31673</v>
      </c>
      <c r="B31678" s="3" t="str">
        <f>"201410003593"</f>
        <v>201410003593</v>
      </c>
    </row>
    <row r="31679" spans="1:2" x14ac:dyDescent="0.25">
      <c r="A31679" s="2">
        <v>31674</v>
      </c>
      <c r="B31679" s="3" t="str">
        <f>"201410003678"</f>
        <v>201410003678</v>
      </c>
    </row>
    <row r="31680" spans="1:2" x14ac:dyDescent="0.25">
      <c r="A31680" s="2">
        <v>31675</v>
      </c>
      <c r="B31680" s="3" t="str">
        <f>"201410003704"</f>
        <v>201410003704</v>
      </c>
    </row>
    <row r="31681" spans="1:2" x14ac:dyDescent="0.25">
      <c r="A31681" s="2">
        <v>31676</v>
      </c>
      <c r="B31681" s="3" t="str">
        <f>"201410003740"</f>
        <v>201410003740</v>
      </c>
    </row>
    <row r="31682" spans="1:2" x14ac:dyDescent="0.25">
      <c r="A31682" s="2">
        <v>31677</v>
      </c>
      <c r="B31682" s="3" t="str">
        <f>"201410003764"</f>
        <v>201410003764</v>
      </c>
    </row>
    <row r="31683" spans="1:2" x14ac:dyDescent="0.25">
      <c r="A31683" s="2">
        <v>31678</v>
      </c>
      <c r="B31683" s="3" t="str">
        <f>"201410003796"</f>
        <v>201410003796</v>
      </c>
    </row>
    <row r="31684" spans="1:2" x14ac:dyDescent="0.25">
      <c r="A31684" s="2">
        <v>31679</v>
      </c>
      <c r="B31684" s="3" t="str">
        <f>"201410003812"</f>
        <v>201410003812</v>
      </c>
    </row>
    <row r="31685" spans="1:2" x14ac:dyDescent="0.25">
      <c r="A31685" s="2">
        <v>31680</v>
      </c>
      <c r="B31685" s="3" t="str">
        <f>"201410003828"</f>
        <v>201410003828</v>
      </c>
    </row>
    <row r="31686" spans="1:2" x14ac:dyDescent="0.25">
      <c r="A31686" s="2">
        <v>31681</v>
      </c>
      <c r="B31686" s="3" t="str">
        <f>"201410003833"</f>
        <v>201410003833</v>
      </c>
    </row>
    <row r="31687" spans="1:2" x14ac:dyDescent="0.25">
      <c r="A31687" s="2">
        <v>31682</v>
      </c>
      <c r="B31687" s="3" t="str">
        <f>"201410003854"</f>
        <v>201410003854</v>
      </c>
    </row>
    <row r="31688" spans="1:2" x14ac:dyDescent="0.25">
      <c r="A31688" s="2">
        <v>31683</v>
      </c>
      <c r="B31688" s="3" t="str">
        <f>"201410003884"</f>
        <v>201410003884</v>
      </c>
    </row>
    <row r="31689" spans="1:2" x14ac:dyDescent="0.25">
      <c r="A31689" s="2">
        <v>31684</v>
      </c>
      <c r="B31689" s="3" t="str">
        <f>"201410003936"</f>
        <v>201410003936</v>
      </c>
    </row>
    <row r="31690" spans="1:2" x14ac:dyDescent="0.25">
      <c r="A31690" s="2">
        <v>31685</v>
      </c>
      <c r="B31690" s="3" t="str">
        <f>"201410003978"</f>
        <v>201410003978</v>
      </c>
    </row>
    <row r="31691" spans="1:2" x14ac:dyDescent="0.25">
      <c r="A31691" s="2">
        <v>31686</v>
      </c>
      <c r="B31691" s="3" t="str">
        <f>"201410004010"</f>
        <v>201410004010</v>
      </c>
    </row>
    <row r="31692" spans="1:2" x14ac:dyDescent="0.25">
      <c r="A31692" s="2">
        <v>31687</v>
      </c>
      <c r="B31692" s="3" t="str">
        <f>"201410004030"</f>
        <v>201410004030</v>
      </c>
    </row>
    <row r="31693" spans="1:2" x14ac:dyDescent="0.25">
      <c r="A31693" s="2">
        <v>31688</v>
      </c>
      <c r="B31693" s="3" t="str">
        <f>"201410004051"</f>
        <v>201410004051</v>
      </c>
    </row>
    <row r="31694" spans="1:2" x14ac:dyDescent="0.25">
      <c r="A31694" s="2">
        <v>31689</v>
      </c>
      <c r="B31694" s="3" t="str">
        <f>"201410004063"</f>
        <v>201410004063</v>
      </c>
    </row>
    <row r="31695" spans="1:2" x14ac:dyDescent="0.25">
      <c r="A31695" s="2">
        <v>31690</v>
      </c>
      <c r="B31695" s="3" t="str">
        <f>"201410004071"</f>
        <v>201410004071</v>
      </c>
    </row>
    <row r="31696" spans="1:2" x14ac:dyDescent="0.25">
      <c r="A31696" s="2">
        <v>31691</v>
      </c>
      <c r="B31696" s="3" t="str">
        <f>"201410004109"</f>
        <v>201410004109</v>
      </c>
    </row>
    <row r="31697" spans="1:2" x14ac:dyDescent="0.25">
      <c r="A31697" s="2">
        <v>31692</v>
      </c>
      <c r="B31697" s="3" t="str">
        <f>"201410004111"</f>
        <v>201410004111</v>
      </c>
    </row>
    <row r="31698" spans="1:2" x14ac:dyDescent="0.25">
      <c r="A31698" s="2">
        <v>31693</v>
      </c>
      <c r="B31698" s="3" t="str">
        <f>"201410004143"</f>
        <v>201410004143</v>
      </c>
    </row>
    <row r="31699" spans="1:2" x14ac:dyDescent="0.25">
      <c r="A31699" s="2">
        <v>31694</v>
      </c>
      <c r="B31699" s="3" t="str">
        <f>"201410004146"</f>
        <v>201410004146</v>
      </c>
    </row>
    <row r="31700" spans="1:2" x14ac:dyDescent="0.25">
      <c r="A31700" s="2">
        <v>31695</v>
      </c>
      <c r="B31700" s="3" t="str">
        <f>"201410004195"</f>
        <v>201410004195</v>
      </c>
    </row>
    <row r="31701" spans="1:2" x14ac:dyDescent="0.25">
      <c r="A31701" s="2">
        <v>31696</v>
      </c>
      <c r="B31701" s="3" t="str">
        <f>"201410004218"</f>
        <v>201410004218</v>
      </c>
    </row>
    <row r="31702" spans="1:2" x14ac:dyDescent="0.25">
      <c r="A31702" s="2">
        <v>31697</v>
      </c>
      <c r="B31702" s="3" t="str">
        <f>"201410004279"</f>
        <v>201410004279</v>
      </c>
    </row>
    <row r="31703" spans="1:2" x14ac:dyDescent="0.25">
      <c r="A31703" s="2">
        <v>31698</v>
      </c>
      <c r="B31703" s="3" t="str">
        <f>"201410004295"</f>
        <v>201410004295</v>
      </c>
    </row>
    <row r="31704" spans="1:2" x14ac:dyDescent="0.25">
      <c r="A31704" s="2">
        <v>31699</v>
      </c>
      <c r="B31704" s="3" t="str">
        <f>"201410004296"</f>
        <v>201410004296</v>
      </c>
    </row>
    <row r="31705" spans="1:2" x14ac:dyDescent="0.25">
      <c r="A31705" s="2">
        <v>31700</v>
      </c>
      <c r="B31705" s="3" t="str">
        <f>"201410004311"</f>
        <v>201410004311</v>
      </c>
    </row>
    <row r="31706" spans="1:2" x14ac:dyDescent="0.25">
      <c r="A31706" s="2">
        <v>31701</v>
      </c>
      <c r="B31706" s="3" t="str">
        <f>"201410004343"</f>
        <v>201410004343</v>
      </c>
    </row>
    <row r="31707" spans="1:2" x14ac:dyDescent="0.25">
      <c r="A31707" s="2">
        <v>31702</v>
      </c>
      <c r="B31707" s="3" t="str">
        <f>"201410004377"</f>
        <v>201410004377</v>
      </c>
    </row>
    <row r="31708" spans="1:2" x14ac:dyDescent="0.25">
      <c r="A31708" s="2">
        <v>31703</v>
      </c>
      <c r="B31708" s="3" t="str">
        <f>"201410004402"</f>
        <v>201410004402</v>
      </c>
    </row>
    <row r="31709" spans="1:2" x14ac:dyDescent="0.25">
      <c r="A31709" s="2">
        <v>31704</v>
      </c>
      <c r="B31709" s="3" t="str">
        <f>"201410004451"</f>
        <v>201410004451</v>
      </c>
    </row>
    <row r="31710" spans="1:2" x14ac:dyDescent="0.25">
      <c r="A31710" s="2">
        <v>31705</v>
      </c>
      <c r="B31710" s="3" t="str">
        <f>"201410004479"</f>
        <v>201410004479</v>
      </c>
    </row>
    <row r="31711" spans="1:2" x14ac:dyDescent="0.25">
      <c r="A31711" s="2">
        <v>31706</v>
      </c>
      <c r="B31711" s="3" t="str">
        <f>"201410004509"</f>
        <v>201410004509</v>
      </c>
    </row>
    <row r="31712" spans="1:2" x14ac:dyDescent="0.25">
      <c r="A31712" s="2">
        <v>31707</v>
      </c>
      <c r="B31712" s="3" t="str">
        <f>"201410004526"</f>
        <v>201410004526</v>
      </c>
    </row>
    <row r="31713" spans="1:2" x14ac:dyDescent="0.25">
      <c r="A31713" s="2">
        <v>31708</v>
      </c>
      <c r="B31713" s="3" t="str">
        <f>"201410004570"</f>
        <v>201410004570</v>
      </c>
    </row>
    <row r="31714" spans="1:2" x14ac:dyDescent="0.25">
      <c r="A31714" s="2">
        <v>31709</v>
      </c>
      <c r="B31714" s="3" t="str">
        <f>"201410004648"</f>
        <v>201410004648</v>
      </c>
    </row>
    <row r="31715" spans="1:2" x14ac:dyDescent="0.25">
      <c r="A31715" s="2">
        <v>31710</v>
      </c>
      <c r="B31715" s="3" t="str">
        <f>"201410004651"</f>
        <v>201410004651</v>
      </c>
    </row>
    <row r="31716" spans="1:2" x14ac:dyDescent="0.25">
      <c r="A31716" s="2">
        <v>31711</v>
      </c>
      <c r="B31716" s="3" t="str">
        <f>"201410004696"</f>
        <v>201410004696</v>
      </c>
    </row>
    <row r="31717" spans="1:2" x14ac:dyDescent="0.25">
      <c r="A31717" s="2">
        <v>31712</v>
      </c>
      <c r="B31717" s="3" t="str">
        <f>"201410004720"</f>
        <v>201410004720</v>
      </c>
    </row>
    <row r="31718" spans="1:2" x14ac:dyDescent="0.25">
      <c r="A31718" s="2">
        <v>31713</v>
      </c>
      <c r="B31718" s="3" t="str">
        <f>"201410004759"</f>
        <v>201410004759</v>
      </c>
    </row>
    <row r="31719" spans="1:2" x14ac:dyDescent="0.25">
      <c r="A31719" s="2">
        <v>31714</v>
      </c>
      <c r="B31719" s="3" t="str">
        <f>"201410004761"</f>
        <v>201410004761</v>
      </c>
    </row>
    <row r="31720" spans="1:2" x14ac:dyDescent="0.25">
      <c r="A31720" s="2">
        <v>31715</v>
      </c>
      <c r="B31720" s="3" t="str">
        <f>"201410004786"</f>
        <v>201410004786</v>
      </c>
    </row>
    <row r="31721" spans="1:2" x14ac:dyDescent="0.25">
      <c r="A31721" s="2">
        <v>31716</v>
      </c>
      <c r="B31721" s="3" t="str">
        <f>"201410004790"</f>
        <v>201410004790</v>
      </c>
    </row>
    <row r="31722" spans="1:2" x14ac:dyDescent="0.25">
      <c r="A31722" s="2">
        <v>31717</v>
      </c>
      <c r="B31722" s="3" t="str">
        <f>"201410005313"</f>
        <v>201410005313</v>
      </c>
    </row>
    <row r="31723" spans="1:2" x14ac:dyDescent="0.25">
      <c r="A31723" s="2">
        <v>31718</v>
      </c>
      <c r="B31723" s="3" t="str">
        <f>"201410005333"</f>
        <v>201410005333</v>
      </c>
    </row>
    <row r="31724" spans="1:2" x14ac:dyDescent="0.25">
      <c r="A31724" s="2">
        <v>31719</v>
      </c>
      <c r="B31724" s="3" t="str">
        <f>"201410005334"</f>
        <v>201410005334</v>
      </c>
    </row>
    <row r="31725" spans="1:2" x14ac:dyDescent="0.25">
      <c r="A31725" s="2">
        <v>31720</v>
      </c>
      <c r="B31725" s="3" t="str">
        <f>"201410005345"</f>
        <v>201410005345</v>
      </c>
    </row>
    <row r="31726" spans="1:2" x14ac:dyDescent="0.25">
      <c r="A31726" s="2">
        <v>31721</v>
      </c>
      <c r="B31726" s="3" t="str">
        <f>"201410005363"</f>
        <v>201410005363</v>
      </c>
    </row>
    <row r="31727" spans="1:2" x14ac:dyDescent="0.25">
      <c r="A31727" s="2">
        <v>31722</v>
      </c>
      <c r="B31727" s="3" t="str">
        <f>"201410005411"</f>
        <v>201410005411</v>
      </c>
    </row>
    <row r="31728" spans="1:2" x14ac:dyDescent="0.25">
      <c r="A31728" s="2">
        <v>31723</v>
      </c>
      <c r="B31728" s="3" t="str">
        <f>"201410005465"</f>
        <v>201410005465</v>
      </c>
    </row>
    <row r="31729" spans="1:2" x14ac:dyDescent="0.25">
      <c r="A31729" s="2">
        <v>31724</v>
      </c>
      <c r="B31729" s="3" t="str">
        <f>"201410005491"</f>
        <v>201410005491</v>
      </c>
    </row>
    <row r="31730" spans="1:2" x14ac:dyDescent="0.25">
      <c r="A31730" s="2">
        <v>31725</v>
      </c>
      <c r="B31730" s="3" t="str">
        <f>"201410005577"</f>
        <v>201410005577</v>
      </c>
    </row>
    <row r="31731" spans="1:2" x14ac:dyDescent="0.25">
      <c r="A31731" s="2">
        <v>31726</v>
      </c>
      <c r="B31731" s="3" t="str">
        <f>"201410005602"</f>
        <v>201410005602</v>
      </c>
    </row>
    <row r="31732" spans="1:2" x14ac:dyDescent="0.25">
      <c r="A31732" s="2">
        <v>31727</v>
      </c>
      <c r="B31732" s="3" t="str">
        <f>"201410005714"</f>
        <v>201410005714</v>
      </c>
    </row>
    <row r="31733" spans="1:2" x14ac:dyDescent="0.25">
      <c r="A31733" s="2">
        <v>31728</v>
      </c>
      <c r="B31733" s="3" t="str">
        <f>"201410005722"</f>
        <v>201410005722</v>
      </c>
    </row>
    <row r="31734" spans="1:2" x14ac:dyDescent="0.25">
      <c r="A31734" s="2">
        <v>31729</v>
      </c>
      <c r="B31734" s="3" t="str">
        <f>"201410005772"</f>
        <v>201410005772</v>
      </c>
    </row>
    <row r="31735" spans="1:2" x14ac:dyDescent="0.25">
      <c r="A31735" s="2">
        <v>31730</v>
      </c>
      <c r="B31735" s="3" t="str">
        <f>"201410005807"</f>
        <v>201410005807</v>
      </c>
    </row>
    <row r="31736" spans="1:2" x14ac:dyDescent="0.25">
      <c r="A31736" s="2">
        <v>31731</v>
      </c>
      <c r="B31736" s="3" t="str">
        <f>"201410005817"</f>
        <v>201410005817</v>
      </c>
    </row>
    <row r="31737" spans="1:2" x14ac:dyDescent="0.25">
      <c r="A31737" s="2">
        <v>31732</v>
      </c>
      <c r="B31737" s="3" t="str">
        <f>"201410005826"</f>
        <v>201410005826</v>
      </c>
    </row>
    <row r="31738" spans="1:2" x14ac:dyDescent="0.25">
      <c r="A31738" s="2">
        <v>31733</v>
      </c>
      <c r="B31738" s="3" t="str">
        <f>"201410005847"</f>
        <v>201410005847</v>
      </c>
    </row>
    <row r="31739" spans="1:2" x14ac:dyDescent="0.25">
      <c r="A31739" s="2">
        <v>31734</v>
      </c>
      <c r="B31739" s="3" t="str">
        <f>"201410005866"</f>
        <v>201410005866</v>
      </c>
    </row>
    <row r="31740" spans="1:2" x14ac:dyDescent="0.25">
      <c r="A31740" s="2">
        <v>31735</v>
      </c>
      <c r="B31740" s="3" t="str">
        <f>"201410005891"</f>
        <v>201410005891</v>
      </c>
    </row>
    <row r="31741" spans="1:2" x14ac:dyDescent="0.25">
      <c r="A31741" s="2">
        <v>31736</v>
      </c>
      <c r="B31741" s="3" t="str">
        <f>"201410005895"</f>
        <v>201410005895</v>
      </c>
    </row>
    <row r="31742" spans="1:2" x14ac:dyDescent="0.25">
      <c r="A31742" s="2">
        <v>31737</v>
      </c>
      <c r="B31742" s="3" t="str">
        <f>"201410005948"</f>
        <v>201410005948</v>
      </c>
    </row>
    <row r="31743" spans="1:2" x14ac:dyDescent="0.25">
      <c r="A31743" s="2">
        <v>31738</v>
      </c>
      <c r="B31743" s="3" t="str">
        <f>"201410005972"</f>
        <v>201410005972</v>
      </c>
    </row>
    <row r="31744" spans="1:2" x14ac:dyDescent="0.25">
      <c r="A31744" s="2">
        <v>31739</v>
      </c>
      <c r="B31744" s="3" t="str">
        <f>"201410005997"</f>
        <v>201410005997</v>
      </c>
    </row>
    <row r="31745" spans="1:2" x14ac:dyDescent="0.25">
      <c r="A31745" s="2">
        <v>31740</v>
      </c>
      <c r="B31745" s="3" t="str">
        <f>"201410006040"</f>
        <v>201410006040</v>
      </c>
    </row>
    <row r="31746" spans="1:2" x14ac:dyDescent="0.25">
      <c r="A31746" s="2">
        <v>31741</v>
      </c>
      <c r="B31746" s="3" t="str">
        <f>"201410006072"</f>
        <v>201410006072</v>
      </c>
    </row>
    <row r="31747" spans="1:2" x14ac:dyDescent="0.25">
      <c r="A31747" s="2">
        <v>31742</v>
      </c>
      <c r="B31747" s="3" t="str">
        <f>"201410006094"</f>
        <v>201410006094</v>
      </c>
    </row>
    <row r="31748" spans="1:2" x14ac:dyDescent="0.25">
      <c r="A31748" s="2">
        <v>31743</v>
      </c>
      <c r="B31748" s="3" t="str">
        <f>"201410006134"</f>
        <v>201410006134</v>
      </c>
    </row>
    <row r="31749" spans="1:2" x14ac:dyDescent="0.25">
      <c r="A31749" s="2">
        <v>31744</v>
      </c>
      <c r="B31749" s="3" t="str">
        <f>"201410006160"</f>
        <v>201410006160</v>
      </c>
    </row>
    <row r="31750" spans="1:2" x14ac:dyDescent="0.25">
      <c r="A31750" s="2">
        <v>31745</v>
      </c>
      <c r="B31750" s="3" t="str">
        <f>"201410006197"</f>
        <v>201410006197</v>
      </c>
    </row>
    <row r="31751" spans="1:2" x14ac:dyDescent="0.25">
      <c r="A31751" s="2">
        <v>31746</v>
      </c>
      <c r="B31751" s="3" t="str">
        <f>"201410006198"</f>
        <v>201410006198</v>
      </c>
    </row>
    <row r="31752" spans="1:2" x14ac:dyDescent="0.25">
      <c r="A31752" s="2">
        <v>31747</v>
      </c>
      <c r="B31752" s="3" t="str">
        <f>"201410006212"</f>
        <v>201410006212</v>
      </c>
    </row>
    <row r="31753" spans="1:2" x14ac:dyDescent="0.25">
      <c r="A31753" s="2">
        <v>31748</v>
      </c>
      <c r="B31753" s="3" t="str">
        <f>"201410006222"</f>
        <v>201410006222</v>
      </c>
    </row>
    <row r="31754" spans="1:2" x14ac:dyDescent="0.25">
      <c r="A31754" s="2">
        <v>31749</v>
      </c>
      <c r="B31754" s="3" t="str">
        <f>"201410006223"</f>
        <v>201410006223</v>
      </c>
    </row>
    <row r="31755" spans="1:2" x14ac:dyDescent="0.25">
      <c r="A31755" s="2">
        <v>31750</v>
      </c>
      <c r="B31755" s="3" t="str">
        <f>"201410006236"</f>
        <v>201410006236</v>
      </c>
    </row>
    <row r="31756" spans="1:2" x14ac:dyDescent="0.25">
      <c r="A31756" s="2">
        <v>31751</v>
      </c>
      <c r="B31756" s="3" t="str">
        <f>"201410006252"</f>
        <v>201410006252</v>
      </c>
    </row>
    <row r="31757" spans="1:2" x14ac:dyDescent="0.25">
      <c r="A31757" s="2">
        <v>31752</v>
      </c>
      <c r="B31757" s="3" t="str">
        <f>"201410006269"</f>
        <v>201410006269</v>
      </c>
    </row>
    <row r="31758" spans="1:2" x14ac:dyDescent="0.25">
      <c r="A31758" s="2">
        <v>31753</v>
      </c>
      <c r="B31758" s="3" t="str">
        <f>"201410006284"</f>
        <v>201410006284</v>
      </c>
    </row>
    <row r="31759" spans="1:2" x14ac:dyDescent="0.25">
      <c r="A31759" s="2">
        <v>31754</v>
      </c>
      <c r="B31759" s="3" t="str">
        <f>"201410006308"</f>
        <v>201410006308</v>
      </c>
    </row>
    <row r="31760" spans="1:2" x14ac:dyDescent="0.25">
      <c r="A31760" s="2">
        <v>31755</v>
      </c>
      <c r="B31760" s="3" t="str">
        <f>"201410006311"</f>
        <v>201410006311</v>
      </c>
    </row>
    <row r="31761" spans="1:2" x14ac:dyDescent="0.25">
      <c r="A31761" s="2">
        <v>31756</v>
      </c>
      <c r="B31761" s="3" t="str">
        <f>"201410006323"</f>
        <v>201410006323</v>
      </c>
    </row>
    <row r="31762" spans="1:2" x14ac:dyDescent="0.25">
      <c r="A31762" s="2">
        <v>31757</v>
      </c>
      <c r="B31762" s="3" t="str">
        <f>"201410006359"</f>
        <v>201410006359</v>
      </c>
    </row>
    <row r="31763" spans="1:2" x14ac:dyDescent="0.25">
      <c r="A31763" s="2">
        <v>31758</v>
      </c>
      <c r="B31763" s="3" t="str">
        <f>"201410006393"</f>
        <v>201410006393</v>
      </c>
    </row>
    <row r="31764" spans="1:2" x14ac:dyDescent="0.25">
      <c r="A31764" s="2">
        <v>31759</v>
      </c>
      <c r="B31764" s="3" t="str">
        <f>"201410006397"</f>
        <v>201410006397</v>
      </c>
    </row>
    <row r="31765" spans="1:2" x14ac:dyDescent="0.25">
      <c r="A31765" s="2">
        <v>31760</v>
      </c>
      <c r="B31765" s="3" t="str">
        <f>"201410006478"</f>
        <v>201410006478</v>
      </c>
    </row>
    <row r="31766" spans="1:2" x14ac:dyDescent="0.25">
      <c r="A31766" s="2">
        <v>31761</v>
      </c>
      <c r="B31766" s="3" t="str">
        <f>"201410006513"</f>
        <v>201410006513</v>
      </c>
    </row>
    <row r="31767" spans="1:2" x14ac:dyDescent="0.25">
      <c r="A31767" s="2">
        <v>31762</v>
      </c>
      <c r="B31767" s="3" t="str">
        <f>"201410006532"</f>
        <v>201410006532</v>
      </c>
    </row>
    <row r="31768" spans="1:2" x14ac:dyDescent="0.25">
      <c r="A31768" s="2">
        <v>31763</v>
      </c>
      <c r="B31768" s="3" t="str">
        <f>"201410006547"</f>
        <v>201410006547</v>
      </c>
    </row>
    <row r="31769" spans="1:2" x14ac:dyDescent="0.25">
      <c r="A31769" s="2">
        <v>31764</v>
      </c>
      <c r="B31769" s="3" t="str">
        <f>"201410006603"</f>
        <v>201410006603</v>
      </c>
    </row>
    <row r="31770" spans="1:2" x14ac:dyDescent="0.25">
      <c r="A31770" s="2">
        <v>31765</v>
      </c>
      <c r="B31770" s="3" t="str">
        <f>"201410006627"</f>
        <v>201410006627</v>
      </c>
    </row>
    <row r="31771" spans="1:2" x14ac:dyDescent="0.25">
      <c r="A31771" s="2">
        <v>31766</v>
      </c>
      <c r="B31771" s="3" t="str">
        <f>"201410006635"</f>
        <v>201410006635</v>
      </c>
    </row>
    <row r="31772" spans="1:2" x14ac:dyDescent="0.25">
      <c r="A31772" s="2">
        <v>31767</v>
      </c>
      <c r="B31772" s="3" t="str">
        <f>"201410006662"</f>
        <v>201410006662</v>
      </c>
    </row>
    <row r="31773" spans="1:2" x14ac:dyDescent="0.25">
      <c r="A31773" s="2">
        <v>31768</v>
      </c>
      <c r="B31773" s="3" t="str">
        <f>"201410006679"</f>
        <v>201410006679</v>
      </c>
    </row>
    <row r="31774" spans="1:2" x14ac:dyDescent="0.25">
      <c r="A31774" s="2">
        <v>31769</v>
      </c>
      <c r="B31774" s="3" t="str">
        <f>"201410006686"</f>
        <v>201410006686</v>
      </c>
    </row>
    <row r="31775" spans="1:2" x14ac:dyDescent="0.25">
      <c r="A31775" s="2">
        <v>31770</v>
      </c>
      <c r="B31775" s="3" t="str">
        <f>"201410006706"</f>
        <v>201410006706</v>
      </c>
    </row>
    <row r="31776" spans="1:2" x14ac:dyDescent="0.25">
      <c r="A31776" s="2">
        <v>31771</v>
      </c>
      <c r="B31776" s="3" t="str">
        <f>"201410006715"</f>
        <v>201410006715</v>
      </c>
    </row>
    <row r="31777" spans="1:2" x14ac:dyDescent="0.25">
      <c r="A31777" s="2">
        <v>31772</v>
      </c>
      <c r="B31777" s="3" t="str">
        <f>"201410006717"</f>
        <v>201410006717</v>
      </c>
    </row>
    <row r="31778" spans="1:2" x14ac:dyDescent="0.25">
      <c r="A31778" s="2">
        <v>31773</v>
      </c>
      <c r="B31778" s="3" t="str">
        <f>"201410006771"</f>
        <v>201410006771</v>
      </c>
    </row>
    <row r="31779" spans="1:2" x14ac:dyDescent="0.25">
      <c r="A31779" s="2">
        <v>31774</v>
      </c>
      <c r="B31779" s="3" t="str">
        <f>"201410006794"</f>
        <v>201410006794</v>
      </c>
    </row>
    <row r="31780" spans="1:2" x14ac:dyDescent="0.25">
      <c r="A31780" s="2">
        <v>31775</v>
      </c>
      <c r="B31780" s="3" t="str">
        <f>"201410006806"</f>
        <v>201410006806</v>
      </c>
    </row>
    <row r="31781" spans="1:2" x14ac:dyDescent="0.25">
      <c r="A31781" s="2">
        <v>31776</v>
      </c>
      <c r="B31781" s="3" t="str">
        <f>"201410006888"</f>
        <v>201410006888</v>
      </c>
    </row>
    <row r="31782" spans="1:2" x14ac:dyDescent="0.25">
      <c r="A31782" s="2">
        <v>31777</v>
      </c>
      <c r="B31782" s="3" t="str">
        <f>"201410006890"</f>
        <v>201410006890</v>
      </c>
    </row>
    <row r="31783" spans="1:2" x14ac:dyDescent="0.25">
      <c r="A31783" s="2">
        <v>31778</v>
      </c>
      <c r="B31783" s="3" t="str">
        <f>"201410006899"</f>
        <v>201410006899</v>
      </c>
    </row>
    <row r="31784" spans="1:2" x14ac:dyDescent="0.25">
      <c r="A31784" s="2">
        <v>31779</v>
      </c>
      <c r="B31784" s="3" t="str">
        <f>"201410006900"</f>
        <v>201410006900</v>
      </c>
    </row>
    <row r="31785" spans="1:2" x14ac:dyDescent="0.25">
      <c r="A31785" s="2">
        <v>31780</v>
      </c>
      <c r="B31785" s="3" t="str">
        <f>"201410006932"</f>
        <v>201410006932</v>
      </c>
    </row>
    <row r="31786" spans="1:2" x14ac:dyDescent="0.25">
      <c r="A31786" s="2">
        <v>31781</v>
      </c>
      <c r="B31786" s="3" t="str">
        <f>"201410006938"</f>
        <v>201410006938</v>
      </c>
    </row>
    <row r="31787" spans="1:2" x14ac:dyDescent="0.25">
      <c r="A31787" s="2">
        <v>31782</v>
      </c>
      <c r="B31787" s="3" t="str">
        <f>"201410006978"</f>
        <v>201410006978</v>
      </c>
    </row>
    <row r="31788" spans="1:2" x14ac:dyDescent="0.25">
      <c r="A31788" s="2">
        <v>31783</v>
      </c>
      <c r="B31788" s="3" t="str">
        <f>"201410007034"</f>
        <v>201410007034</v>
      </c>
    </row>
    <row r="31789" spans="1:2" x14ac:dyDescent="0.25">
      <c r="A31789" s="2">
        <v>31784</v>
      </c>
      <c r="B31789" s="3" t="str">
        <f>"201410007060"</f>
        <v>201410007060</v>
      </c>
    </row>
    <row r="31790" spans="1:2" x14ac:dyDescent="0.25">
      <c r="A31790" s="2">
        <v>31785</v>
      </c>
      <c r="B31790" s="3" t="str">
        <f>"201410007099"</f>
        <v>201410007099</v>
      </c>
    </row>
    <row r="31791" spans="1:2" x14ac:dyDescent="0.25">
      <c r="A31791" s="2">
        <v>31786</v>
      </c>
      <c r="B31791" s="3" t="str">
        <f>"201410007105"</f>
        <v>201410007105</v>
      </c>
    </row>
    <row r="31792" spans="1:2" x14ac:dyDescent="0.25">
      <c r="A31792" s="2">
        <v>31787</v>
      </c>
      <c r="B31792" s="3" t="str">
        <f>"201410007112"</f>
        <v>201410007112</v>
      </c>
    </row>
    <row r="31793" spans="1:2" x14ac:dyDescent="0.25">
      <c r="A31793" s="2">
        <v>31788</v>
      </c>
      <c r="B31793" s="3" t="str">
        <f>"201410007120"</f>
        <v>201410007120</v>
      </c>
    </row>
    <row r="31794" spans="1:2" x14ac:dyDescent="0.25">
      <c r="A31794" s="2">
        <v>31789</v>
      </c>
      <c r="B31794" s="3" t="str">
        <f>"201410007142"</f>
        <v>201410007142</v>
      </c>
    </row>
    <row r="31795" spans="1:2" x14ac:dyDescent="0.25">
      <c r="A31795" s="2">
        <v>31790</v>
      </c>
      <c r="B31795" s="3" t="str">
        <f>"201410007155"</f>
        <v>201410007155</v>
      </c>
    </row>
    <row r="31796" spans="1:2" x14ac:dyDescent="0.25">
      <c r="A31796" s="2">
        <v>31791</v>
      </c>
      <c r="B31796" s="3" t="str">
        <f>"201410007169"</f>
        <v>201410007169</v>
      </c>
    </row>
    <row r="31797" spans="1:2" x14ac:dyDescent="0.25">
      <c r="A31797" s="2">
        <v>31792</v>
      </c>
      <c r="B31797" s="3" t="str">
        <f>"201410007184"</f>
        <v>201410007184</v>
      </c>
    </row>
    <row r="31798" spans="1:2" x14ac:dyDescent="0.25">
      <c r="A31798" s="2">
        <v>31793</v>
      </c>
      <c r="B31798" s="3" t="str">
        <f>"201410007217"</f>
        <v>201410007217</v>
      </c>
    </row>
    <row r="31799" spans="1:2" x14ac:dyDescent="0.25">
      <c r="A31799" s="2">
        <v>31794</v>
      </c>
      <c r="B31799" s="3" t="str">
        <f>"201410007272"</f>
        <v>201410007272</v>
      </c>
    </row>
    <row r="31800" spans="1:2" x14ac:dyDescent="0.25">
      <c r="A31800" s="2">
        <v>31795</v>
      </c>
      <c r="B31800" s="3" t="str">
        <f>"201410007347"</f>
        <v>201410007347</v>
      </c>
    </row>
    <row r="31801" spans="1:2" x14ac:dyDescent="0.25">
      <c r="A31801" s="2">
        <v>31796</v>
      </c>
      <c r="B31801" s="3" t="str">
        <f>"201410007391"</f>
        <v>201410007391</v>
      </c>
    </row>
    <row r="31802" spans="1:2" x14ac:dyDescent="0.25">
      <c r="A31802" s="2">
        <v>31797</v>
      </c>
      <c r="B31802" s="3" t="str">
        <f>"201410007404"</f>
        <v>201410007404</v>
      </c>
    </row>
    <row r="31803" spans="1:2" x14ac:dyDescent="0.25">
      <c r="A31803" s="2">
        <v>31798</v>
      </c>
      <c r="B31803" s="3" t="str">
        <f>"201410007412"</f>
        <v>201410007412</v>
      </c>
    </row>
    <row r="31804" spans="1:2" x14ac:dyDescent="0.25">
      <c r="A31804" s="2">
        <v>31799</v>
      </c>
      <c r="B31804" s="3" t="str">
        <f>"201410007429"</f>
        <v>201410007429</v>
      </c>
    </row>
    <row r="31805" spans="1:2" x14ac:dyDescent="0.25">
      <c r="A31805" s="2">
        <v>31800</v>
      </c>
      <c r="B31805" s="3" t="str">
        <f>"201410007453"</f>
        <v>201410007453</v>
      </c>
    </row>
    <row r="31806" spans="1:2" x14ac:dyDescent="0.25">
      <c r="A31806" s="2">
        <v>31801</v>
      </c>
      <c r="B31806" s="3" t="str">
        <f>"201410007463"</f>
        <v>201410007463</v>
      </c>
    </row>
    <row r="31807" spans="1:2" x14ac:dyDescent="0.25">
      <c r="A31807" s="2">
        <v>31802</v>
      </c>
      <c r="B31807" s="3" t="str">
        <f>"201410007491"</f>
        <v>201410007491</v>
      </c>
    </row>
    <row r="31808" spans="1:2" x14ac:dyDescent="0.25">
      <c r="A31808" s="2">
        <v>31803</v>
      </c>
      <c r="B31808" s="3" t="str">
        <f>"201410007511"</f>
        <v>201410007511</v>
      </c>
    </row>
    <row r="31809" spans="1:2" x14ac:dyDescent="0.25">
      <c r="A31809" s="2">
        <v>31804</v>
      </c>
      <c r="B31809" s="3" t="str">
        <f>"201410007539"</f>
        <v>201410007539</v>
      </c>
    </row>
    <row r="31810" spans="1:2" x14ac:dyDescent="0.25">
      <c r="A31810" s="2">
        <v>31805</v>
      </c>
      <c r="B31810" s="3" t="str">
        <f>"201410007557"</f>
        <v>201410007557</v>
      </c>
    </row>
    <row r="31811" spans="1:2" x14ac:dyDescent="0.25">
      <c r="A31811" s="2">
        <v>31806</v>
      </c>
      <c r="B31811" s="3" t="str">
        <f>"201410007571"</f>
        <v>201410007571</v>
      </c>
    </row>
    <row r="31812" spans="1:2" x14ac:dyDescent="0.25">
      <c r="A31812" s="2">
        <v>31807</v>
      </c>
      <c r="B31812" s="3" t="str">
        <f>"201410007601"</f>
        <v>201410007601</v>
      </c>
    </row>
    <row r="31813" spans="1:2" x14ac:dyDescent="0.25">
      <c r="A31813" s="2">
        <v>31808</v>
      </c>
      <c r="B31813" s="3" t="str">
        <f>"201410007661"</f>
        <v>201410007661</v>
      </c>
    </row>
    <row r="31814" spans="1:2" x14ac:dyDescent="0.25">
      <c r="A31814" s="2">
        <v>31809</v>
      </c>
      <c r="B31814" s="3" t="str">
        <f>"201410007664"</f>
        <v>201410007664</v>
      </c>
    </row>
    <row r="31815" spans="1:2" x14ac:dyDescent="0.25">
      <c r="A31815" s="2">
        <v>31810</v>
      </c>
      <c r="B31815" s="3" t="str">
        <f>"201410007768"</f>
        <v>201410007768</v>
      </c>
    </row>
    <row r="31816" spans="1:2" x14ac:dyDescent="0.25">
      <c r="A31816" s="2">
        <v>31811</v>
      </c>
      <c r="B31816" s="3" t="str">
        <f>"201410007769"</f>
        <v>201410007769</v>
      </c>
    </row>
    <row r="31817" spans="1:2" x14ac:dyDescent="0.25">
      <c r="A31817" s="2">
        <v>31812</v>
      </c>
      <c r="B31817" s="3" t="str">
        <f>"201410007806"</f>
        <v>201410007806</v>
      </c>
    </row>
    <row r="31818" spans="1:2" x14ac:dyDescent="0.25">
      <c r="A31818" s="2">
        <v>31813</v>
      </c>
      <c r="B31818" s="3" t="str">
        <f>"201410007899"</f>
        <v>201410007899</v>
      </c>
    </row>
    <row r="31819" spans="1:2" x14ac:dyDescent="0.25">
      <c r="A31819" s="2">
        <v>31814</v>
      </c>
      <c r="B31819" s="3" t="str">
        <f>"201410007911"</f>
        <v>201410007911</v>
      </c>
    </row>
    <row r="31820" spans="1:2" x14ac:dyDescent="0.25">
      <c r="A31820" s="2">
        <v>31815</v>
      </c>
      <c r="B31820" s="3" t="str">
        <f>"201410007944"</f>
        <v>201410007944</v>
      </c>
    </row>
    <row r="31821" spans="1:2" x14ac:dyDescent="0.25">
      <c r="A31821" s="2">
        <v>31816</v>
      </c>
      <c r="B31821" s="3" t="str">
        <f>"201410007973"</f>
        <v>201410007973</v>
      </c>
    </row>
    <row r="31822" spans="1:2" x14ac:dyDescent="0.25">
      <c r="A31822" s="2">
        <v>31817</v>
      </c>
      <c r="B31822" s="3" t="str">
        <f>"201410008004"</f>
        <v>201410008004</v>
      </c>
    </row>
    <row r="31823" spans="1:2" x14ac:dyDescent="0.25">
      <c r="A31823" s="2">
        <v>31818</v>
      </c>
      <c r="B31823" s="3" t="str">
        <f>"201410008016"</f>
        <v>201410008016</v>
      </c>
    </row>
    <row r="31824" spans="1:2" x14ac:dyDescent="0.25">
      <c r="A31824" s="2">
        <v>31819</v>
      </c>
      <c r="B31824" s="3" t="str">
        <f>"201410008019"</f>
        <v>201410008019</v>
      </c>
    </row>
    <row r="31825" spans="1:2" x14ac:dyDescent="0.25">
      <c r="A31825" s="2">
        <v>31820</v>
      </c>
      <c r="B31825" s="3" t="str">
        <f>"201410008029"</f>
        <v>201410008029</v>
      </c>
    </row>
    <row r="31826" spans="1:2" x14ac:dyDescent="0.25">
      <c r="A31826" s="2">
        <v>31821</v>
      </c>
      <c r="B31826" s="3" t="str">
        <f>"201410008048"</f>
        <v>201410008048</v>
      </c>
    </row>
    <row r="31827" spans="1:2" x14ac:dyDescent="0.25">
      <c r="A31827" s="2">
        <v>31822</v>
      </c>
      <c r="B31827" s="3" t="str">
        <f>"201410008050"</f>
        <v>201410008050</v>
      </c>
    </row>
    <row r="31828" spans="1:2" x14ac:dyDescent="0.25">
      <c r="A31828" s="2">
        <v>31823</v>
      </c>
      <c r="B31828" s="3" t="str">
        <f>"201410008080"</f>
        <v>201410008080</v>
      </c>
    </row>
    <row r="31829" spans="1:2" x14ac:dyDescent="0.25">
      <c r="A31829" s="2">
        <v>31824</v>
      </c>
      <c r="B31829" s="3" t="str">
        <f>"201410008106"</f>
        <v>201410008106</v>
      </c>
    </row>
    <row r="31830" spans="1:2" x14ac:dyDescent="0.25">
      <c r="A31830" s="2">
        <v>31825</v>
      </c>
      <c r="B31830" s="3" t="str">
        <f>"201410008156"</f>
        <v>201410008156</v>
      </c>
    </row>
    <row r="31831" spans="1:2" x14ac:dyDescent="0.25">
      <c r="A31831" s="2">
        <v>31826</v>
      </c>
      <c r="B31831" s="3" t="str">
        <f>"201410008192"</f>
        <v>201410008192</v>
      </c>
    </row>
    <row r="31832" spans="1:2" x14ac:dyDescent="0.25">
      <c r="A31832" s="2">
        <v>31827</v>
      </c>
      <c r="B31832" s="3" t="str">
        <f>"201410008228"</f>
        <v>201410008228</v>
      </c>
    </row>
    <row r="31833" spans="1:2" x14ac:dyDescent="0.25">
      <c r="A31833" s="2">
        <v>31828</v>
      </c>
      <c r="B31833" s="3" t="str">
        <f>"201410008245"</f>
        <v>201410008245</v>
      </c>
    </row>
    <row r="31834" spans="1:2" x14ac:dyDescent="0.25">
      <c r="A31834" s="2">
        <v>31829</v>
      </c>
      <c r="B31834" s="3" t="str">
        <f>"201410008251"</f>
        <v>201410008251</v>
      </c>
    </row>
    <row r="31835" spans="1:2" x14ac:dyDescent="0.25">
      <c r="A31835" s="2">
        <v>31830</v>
      </c>
      <c r="B31835" s="3" t="str">
        <f>"201410008259"</f>
        <v>201410008259</v>
      </c>
    </row>
    <row r="31836" spans="1:2" x14ac:dyDescent="0.25">
      <c r="A31836" s="2">
        <v>31831</v>
      </c>
      <c r="B31836" s="3" t="str">
        <f>"201410008263"</f>
        <v>201410008263</v>
      </c>
    </row>
    <row r="31837" spans="1:2" x14ac:dyDescent="0.25">
      <c r="A31837" s="2">
        <v>31832</v>
      </c>
      <c r="B31837" s="3" t="str">
        <f>"201410008272"</f>
        <v>201410008272</v>
      </c>
    </row>
    <row r="31838" spans="1:2" x14ac:dyDescent="0.25">
      <c r="A31838" s="2">
        <v>31833</v>
      </c>
      <c r="B31838" s="3" t="str">
        <f>"201410008279"</f>
        <v>201410008279</v>
      </c>
    </row>
    <row r="31839" spans="1:2" x14ac:dyDescent="0.25">
      <c r="A31839" s="2">
        <v>31834</v>
      </c>
      <c r="B31839" s="3" t="str">
        <f>"201410008288"</f>
        <v>201410008288</v>
      </c>
    </row>
    <row r="31840" spans="1:2" x14ac:dyDescent="0.25">
      <c r="A31840" s="2">
        <v>31835</v>
      </c>
      <c r="B31840" s="3" t="str">
        <f>"201410008291"</f>
        <v>201410008291</v>
      </c>
    </row>
    <row r="31841" spans="1:2" x14ac:dyDescent="0.25">
      <c r="A31841" s="2">
        <v>31836</v>
      </c>
      <c r="B31841" s="3" t="str">
        <f>"201410008349"</f>
        <v>201410008349</v>
      </c>
    </row>
    <row r="31842" spans="1:2" x14ac:dyDescent="0.25">
      <c r="A31842" s="2">
        <v>31837</v>
      </c>
      <c r="B31842" s="3" t="str">
        <f>"201410008362"</f>
        <v>201410008362</v>
      </c>
    </row>
    <row r="31843" spans="1:2" x14ac:dyDescent="0.25">
      <c r="A31843" s="2">
        <v>31838</v>
      </c>
      <c r="B31843" s="3" t="str">
        <f>"201410008384"</f>
        <v>201410008384</v>
      </c>
    </row>
    <row r="31844" spans="1:2" x14ac:dyDescent="0.25">
      <c r="A31844" s="2">
        <v>31839</v>
      </c>
      <c r="B31844" s="3" t="str">
        <f>"201410008428"</f>
        <v>201410008428</v>
      </c>
    </row>
    <row r="31845" spans="1:2" x14ac:dyDescent="0.25">
      <c r="A31845" s="2">
        <v>31840</v>
      </c>
      <c r="B31845" s="3" t="str">
        <f>"201410008441"</f>
        <v>201410008441</v>
      </c>
    </row>
    <row r="31846" spans="1:2" x14ac:dyDescent="0.25">
      <c r="A31846" s="2">
        <v>31841</v>
      </c>
      <c r="B31846" s="3" t="str">
        <f>"201410008470"</f>
        <v>201410008470</v>
      </c>
    </row>
    <row r="31847" spans="1:2" x14ac:dyDescent="0.25">
      <c r="A31847" s="2">
        <v>31842</v>
      </c>
      <c r="B31847" s="3" t="str">
        <f>"201410008480"</f>
        <v>201410008480</v>
      </c>
    </row>
    <row r="31848" spans="1:2" x14ac:dyDescent="0.25">
      <c r="A31848" s="2">
        <v>31843</v>
      </c>
      <c r="B31848" s="3" t="str">
        <f>"201410008495"</f>
        <v>201410008495</v>
      </c>
    </row>
    <row r="31849" spans="1:2" x14ac:dyDescent="0.25">
      <c r="A31849" s="2">
        <v>31844</v>
      </c>
      <c r="B31849" s="3" t="str">
        <f>"201410008520"</f>
        <v>201410008520</v>
      </c>
    </row>
    <row r="31850" spans="1:2" x14ac:dyDescent="0.25">
      <c r="A31850" s="2">
        <v>31845</v>
      </c>
      <c r="B31850" s="3" t="str">
        <f>"201410008550"</f>
        <v>201410008550</v>
      </c>
    </row>
    <row r="31851" spans="1:2" x14ac:dyDescent="0.25">
      <c r="A31851" s="2">
        <v>31846</v>
      </c>
      <c r="B31851" s="3" t="str">
        <f>"201410008567"</f>
        <v>201410008567</v>
      </c>
    </row>
    <row r="31852" spans="1:2" x14ac:dyDescent="0.25">
      <c r="A31852" s="2">
        <v>31847</v>
      </c>
      <c r="B31852" s="3" t="str">
        <f>"201410008626"</f>
        <v>201410008626</v>
      </c>
    </row>
    <row r="31853" spans="1:2" x14ac:dyDescent="0.25">
      <c r="A31853" s="2">
        <v>31848</v>
      </c>
      <c r="B31853" s="3" t="str">
        <f>"201410008684"</f>
        <v>201410008684</v>
      </c>
    </row>
    <row r="31854" spans="1:2" x14ac:dyDescent="0.25">
      <c r="A31854" s="2">
        <v>31849</v>
      </c>
      <c r="B31854" s="3" t="str">
        <f>"201410008703"</f>
        <v>201410008703</v>
      </c>
    </row>
    <row r="31855" spans="1:2" x14ac:dyDescent="0.25">
      <c r="A31855" s="2">
        <v>31850</v>
      </c>
      <c r="B31855" s="3" t="str">
        <f>"201410008711"</f>
        <v>201410008711</v>
      </c>
    </row>
    <row r="31856" spans="1:2" x14ac:dyDescent="0.25">
      <c r="A31856" s="2">
        <v>31851</v>
      </c>
      <c r="B31856" s="3" t="str">
        <f>"201410008739"</f>
        <v>201410008739</v>
      </c>
    </row>
    <row r="31857" spans="1:2" x14ac:dyDescent="0.25">
      <c r="A31857" s="2">
        <v>31852</v>
      </c>
      <c r="B31857" s="3" t="str">
        <f>"201410008751"</f>
        <v>201410008751</v>
      </c>
    </row>
    <row r="31858" spans="1:2" x14ac:dyDescent="0.25">
      <c r="A31858" s="2">
        <v>31853</v>
      </c>
      <c r="B31858" s="3" t="str">
        <f>"201410008754"</f>
        <v>201410008754</v>
      </c>
    </row>
    <row r="31859" spans="1:2" x14ac:dyDescent="0.25">
      <c r="A31859" s="2">
        <v>31854</v>
      </c>
      <c r="B31859" s="3" t="str">
        <f>"201410008769"</f>
        <v>201410008769</v>
      </c>
    </row>
    <row r="31860" spans="1:2" x14ac:dyDescent="0.25">
      <c r="A31860" s="2">
        <v>31855</v>
      </c>
      <c r="B31860" s="3" t="str">
        <f>"201410008784"</f>
        <v>201410008784</v>
      </c>
    </row>
    <row r="31861" spans="1:2" x14ac:dyDescent="0.25">
      <c r="A31861" s="2">
        <v>31856</v>
      </c>
      <c r="B31861" s="3" t="str">
        <f>"201410008785"</f>
        <v>201410008785</v>
      </c>
    </row>
    <row r="31862" spans="1:2" x14ac:dyDescent="0.25">
      <c r="A31862" s="2">
        <v>31857</v>
      </c>
      <c r="B31862" s="3" t="str">
        <f>"201410008792"</f>
        <v>201410008792</v>
      </c>
    </row>
    <row r="31863" spans="1:2" x14ac:dyDescent="0.25">
      <c r="A31863" s="2">
        <v>31858</v>
      </c>
      <c r="B31863" s="3" t="str">
        <f>"201410008835"</f>
        <v>201410008835</v>
      </c>
    </row>
    <row r="31864" spans="1:2" x14ac:dyDescent="0.25">
      <c r="A31864" s="2">
        <v>31859</v>
      </c>
      <c r="B31864" s="3" t="str">
        <f>"201410008842"</f>
        <v>201410008842</v>
      </c>
    </row>
    <row r="31865" spans="1:2" x14ac:dyDescent="0.25">
      <c r="A31865" s="2">
        <v>31860</v>
      </c>
      <c r="B31865" s="3" t="str">
        <f>"201410008872"</f>
        <v>201410008872</v>
      </c>
    </row>
    <row r="31866" spans="1:2" x14ac:dyDescent="0.25">
      <c r="A31866" s="2">
        <v>31861</v>
      </c>
      <c r="B31866" s="3" t="str">
        <f>"201410008887"</f>
        <v>201410008887</v>
      </c>
    </row>
    <row r="31867" spans="1:2" x14ac:dyDescent="0.25">
      <c r="A31867" s="2">
        <v>31862</v>
      </c>
      <c r="B31867" s="3" t="str">
        <f>"201410008896"</f>
        <v>201410008896</v>
      </c>
    </row>
    <row r="31868" spans="1:2" x14ac:dyDescent="0.25">
      <c r="A31868" s="2">
        <v>31863</v>
      </c>
      <c r="B31868" s="3" t="str">
        <f>"201410008940"</f>
        <v>201410008940</v>
      </c>
    </row>
    <row r="31869" spans="1:2" x14ac:dyDescent="0.25">
      <c r="A31869" s="2">
        <v>31864</v>
      </c>
      <c r="B31869" s="3" t="str">
        <f>"201410008951"</f>
        <v>201410008951</v>
      </c>
    </row>
    <row r="31870" spans="1:2" x14ac:dyDescent="0.25">
      <c r="A31870" s="2">
        <v>31865</v>
      </c>
      <c r="B31870" s="3" t="str">
        <f>"201410008983"</f>
        <v>201410008983</v>
      </c>
    </row>
    <row r="31871" spans="1:2" x14ac:dyDescent="0.25">
      <c r="A31871" s="2">
        <v>31866</v>
      </c>
      <c r="B31871" s="3" t="str">
        <f>"201410009037"</f>
        <v>201410009037</v>
      </c>
    </row>
    <row r="31872" spans="1:2" x14ac:dyDescent="0.25">
      <c r="A31872" s="2">
        <v>31867</v>
      </c>
      <c r="B31872" s="3" t="str">
        <f>"201410009040"</f>
        <v>201410009040</v>
      </c>
    </row>
    <row r="31873" spans="1:2" x14ac:dyDescent="0.25">
      <c r="A31873" s="2">
        <v>31868</v>
      </c>
      <c r="B31873" s="3" t="str">
        <f>"201410009063"</f>
        <v>201410009063</v>
      </c>
    </row>
    <row r="31874" spans="1:2" x14ac:dyDescent="0.25">
      <c r="A31874" s="2">
        <v>31869</v>
      </c>
      <c r="B31874" s="3" t="str">
        <f>"201410009080"</f>
        <v>201410009080</v>
      </c>
    </row>
    <row r="31875" spans="1:2" x14ac:dyDescent="0.25">
      <c r="A31875" s="2">
        <v>31870</v>
      </c>
      <c r="B31875" s="3" t="str">
        <f>"201410009098"</f>
        <v>201410009098</v>
      </c>
    </row>
    <row r="31876" spans="1:2" x14ac:dyDescent="0.25">
      <c r="A31876" s="2">
        <v>31871</v>
      </c>
      <c r="B31876" s="3" t="str">
        <f>"201410009113"</f>
        <v>201410009113</v>
      </c>
    </row>
    <row r="31877" spans="1:2" x14ac:dyDescent="0.25">
      <c r="A31877" s="2">
        <v>31872</v>
      </c>
      <c r="B31877" s="3" t="str">
        <f>"201410009120"</f>
        <v>201410009120</v>
      </c>
    </row>
    <row r="31878" spans="1:2" x14ac:dyDescent="0.25">
      <c r="A31878" s="2">
        <v>31873</v>
      </c>
      <c r="B31878" s="3" t="str">
        <f>"201410009128"</f>
        <v>201410009128</v>
      </c>
    </row>
    <row r="31879" spans="1:2" x14ac:dyDescent="0.25">
      <c r="A31879" s="2">
        <v>31874</v>
      </c>
      <c r="B31879" s="3" t="str">
        <f>"201410009139"</f>
        <v>201410009139</v>
      </c>
    </row>
    <row r="31880" spans="1:2" x14ac:dyDescent="0.25">
      <c r="A31880" s="2">
        <v>31875</v>
      </c>
      <c r="B31880" s="3" t="str">
        <f>"201410009179"</f>
        <v>201410009179</v>
      </c>
    </row>
    <row r="31881" spans="1:2" x14ac:dyDescent="0.25">
      <c r="A31881" s="2">
        <v>31876</v>
      </c>
      <c r="B31881" s="3" t="str">
        <f>"201410009192"</f>
        <v>201410009192</v>
      </c>
    </row>
    <row r="31882" spans="1:2" x14ac:dyDescent="0.25">
      <c r="A31882" s="2">
        <v>31877</v>
      </c>
      <c r="B31882" s="3" t="str">
        <f>"201410009227"</f>
        <v>201410009227</v>
      </c>
    </row>
    <row r="31883" spans="1:2" x14ac:dyDescent="0.25">
      <c r="A31883" s="2">
        <v>31878</v>
      </c>
      <c r="B31883" s="3" t="str">
        <f>"201410009230"</f>
        <v>201410009230</v>
      </c>
    </row>
    <row r="31884" spans="1:2" x14ac:dyDescent="0.25">
      <c r="A31884" s="2">
        <v>31879</v>
      </c>
      <c r="B31884" s="3" t="str">
        <f>"201410009243"</f>
        <v>201410009243</v>
      </c>
    </row>
    <row r="31885" spans="1:2" x14ac:dyDescent="0.25">
      <c r="A31885" s="2">
        <v>31880</v>
      </c>
      <c r="B31885" s="3" t="str">
        <f>"201410009396"</f>
        <v>201410009396</v>
      </c>
    </row>
    <row r="31886" spans="1:2" x14ac:dyDescent="0.25">
      <c r="A31886" s="2">
        <v>31881</v>
      </c>
      <c r="B31886" s="3" t="str">
        <f>"201410009398"</f>
        <v>201410009398</v>
      </c>
    </row>
    <row r="31887" spans="1:2" x14ac:dyDescent="0.25">
      <c r="A31887" s="2">
        <v>31882</v>
      </c>
      <c r="B31887" s="3" t="str">
        <f>"201410009469"</f>
        <v>201410009469</v>
      </c>
    </row>
    <row r="31888" spans="1:2" x14ac:dyDescent="0.25">
      <c r="A31888" s="2">
        <v>31883</v>
      </c>
      <c r="B31888" s="3" t="str">
        <f>"201410009491"</f>
        <v>201410009491</v>
      </c>
    </row>
    <row r="31889" spans="1:2" x14ac:dyDescent="0.25">
      <c r="A31889" s="2">
        <v>31884</v>
      </c>
      <c r="B31889" s="3" t="str">
        <f>"201410009508"</f>
        <v>201410009508</v>
      </c>
    </row>
    <row r="31890" spans="1:2" x14ac:dyDescent="0.25">
      <c r="A31890" s="2">
        <v>31885</v>
      </c>
      <c r="B31890" s="3" t="str">
        <f>"201410009580"</f>
        <v>201410009580</v>
      </c>
    </row>
    <row r="31891" spans="1:2" x14ac:dyDescent="0.25">
      <c r="A31891" s="2">
        <v>31886</v>
      </c>
      <c r="B31891" s="3" t="str">
        <f>"201410009635"</f>
        <v>201410009635</v>
      </c>
    </row>
    <row r="31892" spans="1:2" x14ac:dyDescent="0.25">
      <c r="A31892" s="2">
        <v>31887</v>
      </c>
      <c r="B31892" s="3" t="str">
        <f>"201410009676"</f>
        <v>201410009676</v>
      </c>
    </row>
    <row r="31893" spans="1:2" x14ac:dyDescent="0.25">
      <c r="A31893" s="2">
        <v>31888</v>
      </c>
      <c r="B31893" s="3" t="str">
        <f>"201410009726"</f>
        <v>201410009726</v>
      </c>
    </row>
    <row r="31894" spans="1:2" x14ac:dyDescent="0.25">
      <c r="A31894" s="2">
        <v>31889</v>
      </c>
      <c r="B31894" s="3" t="str">
        <f>"201410009751"</f>
        <v>201410009751</v>
      </c>
    </row>
    <row r="31895" spans="1:2" x14ac:dyDescent="0.25">
      <c r="A31895" s="2">
        <v>31890</v>
      </c>
      <c r="B31895" s="3" t="str">
        <f>"201410009759"</f>
        <v>201410009759</v>
      </c>
    </row>
    <row r="31896" spans="1:2" x14ac:dyDescent="0.25">
      <c r="A31896" s="2">
        <v>31891</v>
      </c>
      <c r="B31896" s="3" t="str">
        <f>"201410009777"</f>
        <v>201410009777</v>
      </c>
    </row>
    <row r="31897" spans="1:2" x14ac:dyDescent="0.25">
      <c r="A31897" s="2">
        <v>31892</v>
      </c>
      <c r="B31897" s="3" t="str">
        <f>"201410009796"</f>
        <v>201410009796</v>
      </c>
    </row>
    <row r="31898" spans="1:2" x14ac:dyDescent="0.25">
      <c r="A31898" s="2">
        <v>31893</v>
      </c>
      <c r="B31898" s="3" t="str">
        <f>"201410009808"</f>
        <v>201410009808</v>
      </c>
    </row>
    <row r="31899" spans="1:2" x14ac:dyDescent="0.25">
      <c r="A31899" s="2">
        <v>31894</v>
      </c>
      <c r="B31899" s="3" t="str">
        <f>"201410009825"</f>
        <v>201410009825</v>
      </c>
    </row>
    <row r="31900" spans="1:2" x14ac:dyDescent="0.25">
      <c r="A31900" s="2">
        <v>31895</v>
      </c>
      <c r="B31900" s="3" t="str">
        <f>"201410009967"</f>
        <v>201410009967</v>
      </c>
    </row>
    <row r="31901" spans="1:2" x14ac:dyDescent="0.25">
      <c r="A31901" s="2">
        <v>31896</v>
      </c>
      <c r="B31901" s="3" t="str">
        <f>"201410009983"</f>
        <v>201410009983</v>
      </c>
    </row>
    <row r="31902" spans="1:2" x14ac:dyDescent="0.25">
      <c r="A31902" s="2">
        <v>31897</v>
      </c>
      <c r="B31902" s="3" t="str">
        <f>"201410010004"</f>
        <v>201410010004</v>
      </c>
    </row>
    <row r="31903" spans="1:2" x14ac:dyDescent="0.25">
      <c r="A31903" s="2">
        <v>31898</v>
      </c>
      <c r="B31903" s="3" t="str">
        <f>"201410010014"</f>
        <v>201410010014</v>
      </c>
    </row>
    <row r="31904" spans="1:2" x14ac:dyDescent="0.25">
      <c r="A31904" s="2">
        <v>31899</v>
      </c>
      <c r="B31904" s="3" t="str">
        <f>"201410010028"</f>
        <v>201410010028</v>
      </c>
    </row>
    <row r="31905" spans="1:2" x14ac:dyDescent="0.25">
      <c r="A31905" s="2">
        <v>31900</v>
      </c>
      <c r="B31905" s="3" t="str">
        <f>"201410010077"</f>
        <v>201410010077</v>
      </c>
    </row>
    <row r="31906" spans="1:2" x14ac:dyDescent="0.25">
      <c r="A31906" s="2">
        <v>31901</v>
      </c>
      <c r="B31906" s="3" t="str">
        <f>"201410010131"</f>
        <v>201410010131</v>
      </c>
    </row>
    <row r="31907" spans="1:2" x14ac:dyDescent="0.25">
      <c r="A31907" s="2">
        <v>31902</v>
      </c>
      <c r="B31907" s="3" t="str">
        <f>"201410010177"</f>
        <v>201410010177</v>
      </c>
    </row>
    <row r="31908" spans="1:2" x14ac:dyDescent="0.25">
      <c r="A31908" s="2">
        <v>31903</v>
      </c>
      <c r="B31908" s="3" t="str">
        <f>"201410010183"</f>
        <v>201410010183</v>
      </c>
    </row>
    <row r="31909" spans="1:2" x14ac:dyDescent="0.25">
      <c r="A31909" s="2">
        <v>31904</v>
      </c>
      <c r="B31909" s="3" t="str">
        <f>"201410010264"</f>
        <v>201410010264</v>
      </c>
    </row>
    <row r="31910" spans="1:2" x14ac:dyDescent="0.25">
      <c r="A31910" s="2">
        <v>31905</v>
      </c>
      <c r="B31910" s="3" t="str">
        <f>"201410010271"</f>
        <v>201410010271</v>
      </c>
    </row>
    <row r="31911" spans="1:2" x14ac:dyDescent="0.25">
      <c r="A31911" s="2">
        <v>31906</v>
      </c>
      <c r="B31911" s="3" t="str">
        <f>"201410010295"</f>
        <v>201410010295</v>
      </c>
    </row>
    <row r="31912" spans="1:2" x14ac:dyDescent="0.25">
      <c r="A31912" s="2">
        <v>31907</v>
      </c>
      <c r="B31912" s="3" t="str">
        <f>"201410010313"</f>
        <v>201410010313</v>
      </c>
    </row>
    <row r="31913" spans="1:2" x14ac:dyDescent="0.25">
      <c r="A31913" s="2">
        <v>31908</v>
      </c>
      <c r="B31913" s="3" t="str">
        <f>"201410010323"</f>
        <v>201410010323</v>
      </c>
    </row>
    <row r="31914" spans="1:2" x14ac:dyDescent="0.25">
      <c r="A31914" s="2">
        <v>31909</v>
      </c>
      <c r="B31914" s="3" t="str">
        <f>"201410010327"</f>
        <v>201410010327</v>
      </c>
    </row>
    <row r="31915" spans="1:2" x14ac:dyDescent="0.25">
      <c r="A31915" s="2">
        <v>31910</v>
      </c>
      <c r="B31915" s="3" t="str">
        <f>"201410010336"</f>
        <v>201410010336</v>
      </c>
    </row>
    <row r="31916" spans="1:2" x14ac:dyDescent="0.25">
      <c r="A31916" s="2">
        <v>31911</v>
      </c>
      <c r="B31916" s="3" t="str">
        <f>"201410010354"</f>
        <v>201410010354</v>
      </c>
    </row>
    <row r="31917" spans="1:2" x14ac:dyDescent="0.25">
      <c r="A31917" s="2">
        <v>31912</v>
      </c>
      <c r="B31917" s="3" t="str">
        <f>"201410010397"</f>
        <v>201410010397</v>
      </c>
    </row>
    <row r="31918" spans="1:2" x14ac:dyDescent="0.25">
      <c r="A31918" s="2">
        <v>31913</v>
      </c>
      <c r="B31918" s="3" t="str">
        <f>"201410010405"</f>
        <v>201410010405</v>
      </c>
    </row>
    <row r="31919" spans="1:2" x14ac:dyDescent="0.25">
      <c r="A31919" s="2">
        <v>31914</v>
      </c>
      <c r="B31919" s="3" t="str">
        <f>"201410010430"</f>
        <v>201410010430</v>
      </c>
    </row>
    <row r="31920" spans="1:2" x14ac:dyDescent="0.25">
      <c r="A31920" s="2">
        <v>31915</v>
      </c>
      <c r="B31920" s="3" t="str">
        <f>"201410010468"</f>
        <v>201410010468</v>
      </c>
    </row>
    <row r="31921" spans="1:2" x14ac:dyDescent="0.25">
      <c r="A31921" s="2">
        <v>31916</v>
      </c>
      <c r="B31921" s="3" t="str">
        <f>"201410010513"</f>
        <v>201410010513</v>
      </c>
    </row>
    <row r="31922" spans="1:2" x14ac:dyDescent="0.25">
      <c r="A31922" s="2">
        <v>31917</v>
      </c>
      <c r="B31922" s="3" t="str">
        <f>"201410010527"</f>
        <v>201410010527</v>
      </c>
    </row>
    <row r="31923" spans="1:2" x14ac:dyDescent="0.25">
      <c r="A31923" s="2">
        <v>31918</v>
      </c>
      <c r="B31923" s="3" t="str">
        <f>"201410010538"</f>
        <v>201410010538</v>
      </c>
    </row>
    <row r="31924" spans="1:2" x14ac:dyDescent="0.25">
      <c r="A31924" s="2">
        <v>31919</v>
      </c>
      <c r="B31924" s="3" t="str">
        <f>"201410010573"</f>
        <v>201410010573</v>
      </c>
    </row>
    <row r="31925" spans="1:2" x14ac:dyDescent="0.25">
      <c r="A31925" s="2">
        <v>31920</v>
      </c>
      <c r="B31925" s="3" t="str">
        <f>"201410010576"</f>
        <v>201410010576</v>
      </c>
    </row>
    <row r="31926" spans="1:2" x14ac:dyDescent="0.25">
      <c r="A31926" s="2">
        <v>31921</v>
      </c>
      <c r="B31926" s="3" t="str">
        <f>"201410010606"</f>
        <v>201410010606</v>
      </c>
    </row>
    <row r="31927" spans="1:2" x14ac:dyDescent="0.25">
      <c r="A31927" s="2">
        <v>31922</v>
      </c>
      <c r="B31927" s="3" t="str">
        <f>"201410010632"</f>
        <v>201410010632</v>
      </c>
    </row>
    <row r="31928" spans="1:2" x14ac:dyDescent="0.25">
      <c r="A31928" s="2">
        <v>31923</v>
      </c>
      <c r="B31928" s="3" t="str">
        <f>"201410010644"</f>
        <v>201410010644</v>
      </c>
    </row>
    <row r="31929" spans="1:2" x14ac:dyDescent="0.25">
      <c r="A31929" s="2">
        <v>31924</v>
      </c>
      <c r="B31929" s="3" t="str">
        <f>"201410010719"</f>
        <v>201410010719</v>
      </c>
    </row>
    <row r="31930" spans="1:2" x14ac:dyDescent="0.25">
      <c r="A31930" s="2">
        <v>31925</v>
      </c>
      <c r="B31930" s="3" t="str">
        <f>"201410010723"</f>
        <v>201410010723</v>
      </c>
    </row>
    <row r="31931" spans="1:2" x14ac:dyDescent="0.25">
      <c r="A31931" s="2">
        <v>31926</v>
      </c>
      <c r="B31931" s="3" t="str">
        <f>"201410010724"</f>
        <v>201410010724</v>
      </c>
    </row>
    <row r="31932" spans="1:2" x14ac:dyDescent="0.25">
      <c r="A31932" s="2">
        <v>31927</v>
      </c>
      <c r="B31932" s="3" t="str">
        <f>"201410010728"</f>
        <v>201410010728</v>
      </c>
    </row>
    <row r="31933" spans="1:2" x14ac:dyDescent="0.25">
      <c r="A31933" s="2">
        <v>31928</v>
      </c>
      <c r="B31933" s="3" t="str">
        <f>"201410010754"</f>
        <v>201410010754</v>
      </c>
    </row>
    <row r="31934" spans="1:2" x14ac:dyDescent="0.25">
      <c r="A31934" s="2">
        <v>31929</v>
      </c>
      <c r="B31934" s="3" t="str">
        <f>"201410010769"</f>
        <v>201410010769</v>
      </c>
    </row>
    <row r="31935" spans="1:2" x14ac:dyDescent="0.25">
      <c r="A31935" s="2">
        <v>31930</v>
      </c>
      <c r="B31935" s="3" t="str">
        <f>"201410010776"</f>
        <v>201410010776</v>
      </c>
    </row>
    <row r="31936" spans="1:2" x14ac:dyDescent="0.25">
      <c r="A31936" s="2">
        <v>31931</v>
      </c>
      <c r="B31936" s="3" t="str">
        <f>"201410010777"</f>
        <v>201410010777</v>
      </c>
    </row>
    <row r="31937" spans="1:2" x14ac:dyDescent="0.25">
      <c r="A31937" s="2">
        <v>31932</v>
      </c>
      <c r="B31937" s="3" t="str">
        <f>"201410010783"</f>
        <v>201410010783</v>
      </c>
    </row>
    <row r="31938" spans="1:2" x14ac:dyDescent="0.25">
      <c r="A31938" s="2">
        <v>31933</v>
      </c>
      <c r="B31938" s="3" t="str">
        <f>"201410010915"</f>
        <v>201410010915</v>
      </c>
    </row>
    <row r="31939" spans="1:2" x14ac:dyDescent="0.25">
      <c r="A31939" s="2">
        <v>31934</v>
      </c>
      <c r="B31939" s="3" t="str">
        <f>"201410010925"</f>
        <v>201410010925</v>
      </c>
    </row>
    <row r="31940" spans="1:2" x14ac:dyDescent="0.25">
      <c r="A31940" s="2">
        <v>31935</v>
      </c>
      <c r="B31940" s="3" t="str">
        <f>"201410010937"</f>
        <v>201410010937</v>
      </c>
    </row>
    <row r="31941" spans="1:2" x14ac:dyDescent="0.25">
      <c r="A31941" s="2">
        <v>31936</v>
      </c>
      <c r="B31941" s="3" t="str">
        <f>"201410010962"</f>
        <v>201410010962</v>
      </c>
    </row>
    <row r="31942" spans="1:2" x14ac:dyDescent="0.25">
      <c r="A31942" s="2">
        <v>31937</v>
      </c>
      <c r="B31942" s="3" t="str">
        <f>"201410010977"</f>
        <v>201410010977</v>
      </c>
    </row>
    <row r="31943" spans="1:2" x14ac:dyDescent="0.25">
      <c r="A31943" s="2">
        <v>31938</v>
      </c>
      <c r="B31943" s="3" t="str">
        <f>"201410011052"</f>
        <v>201410011052</v>
      </c>
    </row>
    <row r="31944" spans="1:2" x14ac:dyDescent="0.25">
      <c r="A31944" s="2">
        <v>31939</v>
      </c>
      <c r="B31944" s="3" t="str">
        <f>"201410011079"</f>
        <v>201410011079</v>
      </c>
    </row>
    <row r="31945" spans="1:2" x14ac:dyDescent="0.25">
      <c r="A31945" s="2">
        <v>31940</v>
      </c>
      <c r="B31945" s="3" t="str">
        <f>"201410011120"</f>
        <v>201410011120</v>
      </c>
    </row>
    <row r="31946" spans="1:2" x14ac:dyDescent="0.25">
      <c r="A31946" s="2">
        <v>31941</v>
      </c>
      <c r="B31946" s="3" t="str">
        <f>"201410011161"</f>
        <v>201410011161</v>
      </c>
    </row>
    <row r="31947" spans="1:2" x14ac:dyDescent="0.25">
      <c r="A31947" s="2">
        <v>31942</v>
      </c>
      <c r="B31947" s="3" t="str">
        <f>"201410011231"</f>
        <v>201410011231</v>
      </c>
    </row>
    <row r="31948" spans="1:2" x14ac:dyDescent="0.25">
      <c r="A31948" s="2">
        <v>31943</v>
      </c>
      <c r="B31948" s="3" t="str">
        <f>"201410011233"</f>
        <v>201410011233</v>
      </c>
    </row>
    <row r="31949" spans="1:2" x14ac:dyDescent="0.25">
      <c r="A31949" s="2">
        <v>31944</v>
      </c>
      <c r="B31949" s="3" t="str">
        <f>"201410011265"</f>
        <v>201410011265</v>
      </c>
    </row>
    <row r="31950" spans="1:2" x14ac:dyDescent="0.25">
      <c r="A31950" s="2">
        <v>31945</v>
      </c>
      <c r="B31950" s="3" t="str">
        <f>"201410011288"</f>
        <v>201410011288</v>
      </c>
    </row>
    <row r="31951" spans="1:2" x14ac:dyDescent="0.25">
      <c r="A31951" s="2">
        <v>31946</v>
      </c>
      <c r="B31951" s="3" t="str">
        <f>"201410011291"</f>
        <v>201410011291</v>
      </c>
    </row>
    <row r="31952" spans="1:2" x14ac:dyDescent="0.25">
      <c r="A31952" s="2">
        <v>31947</v>
      </c>
      <c r="B31952" s="3" t="str">
        <f>"201410011331"</f>
        <v>201410011331</v>
      </c>
    </row>
    <row r="31953" spans="1:2" x14ac:dyDescent="0.25">
      <c r="A31953" s="2">
        <v>31948</v>
      </c>
      <c r="B31953" s="3" t="str">
        <f>"201410011333"</f>
        <v>201410011333</v>
      </c>
    </row>
    <row r="31954" spans="1:2" x14ac:dyDescent="0.25">
      <c r="A31954" s="2">
        <v>31949</v>
      </c>
      <c r="B31954" s="3" t="str">
        <f>"201410011371"</f>
        <v>201410011371</v>
      </c>
    </row>
    <row r="31955" spans="1:2" x14ac:dyDescent="0.25">
      <c r="A31955" s="2">
        <v>31950</v>
      </c>
      <c r="B31955" s="3" t="str">
        <f>"201410011379"</f>
        <v>201410011379</v>
      </c>
    </row>
    <row r="31956" spans="1:2" x14ac:dyDescent="0.25">
      <c r="A31956" s="2">
        <v>31951</v>
      </c>
      <c r="B31956" s="3" t="str">
        <f>"201410011397"</f>
        <v>201410011397</v>
      </c>
    </row>
    <row r="31957" spans="1:2" x14ac:dyDescent="0.25">
      <c r="A31957" s="2">
        <v>31952</v>
      </c>
      <c r="B31957" s="3" t="str">
        <f>"201410011447"</f>
        <v>201410011447</v>
      </c>
    </row>
    <row r="31958" spans="1:2" x14ac:dyDescent="0.25">
      <c r="A31958" s="2">
        <v>31953</v>
      </c>
      <c r="B31958" s="3" t="str">
        <f>"201410011449"</f>
        <v>201410011449</v>
      </c>
    </row>
    <row r="31959" spans="1:2" x14ac:dyDescent="0.25">
      <c r="A31959" s="2">
        <v>31954</v>
      </c>
      <c r="B31959" s="3" t="str">
        <f>"201410011463"</f>
        <v>201410011463</v>
      </c>
    </row>
    <row r="31960" spans="1:2" x14ac:dyDescent="0.25">
      <c r="A31960" s="2">
        <v>31955</v>
      </c>
      <c r="B31960" s="3" t="str">
        <f>"201410011589"</f>
        <v>201410011589</v>
      </c>
    </row>
    <row r="31961" spans="1:2" x14ac:dyDescent="0.25">
      <c r="A31961" s="2">
        <v>31956</v>
      </c>
      <c r="B31961" s="3" t="str">
        <f>"201410011591"</f>
        <v>201410011591</v>
      </c>
    </row>
    <row r="31962" spans="1:2" x14ac:dyDescent="0.25">
      <c r="A31962" s="2">
        <v>31957</v>
      </c>
      <c r="B31962" s="3" t="str">
        <f>"201410011629"</f>
        <v>201410011629</v>
      </c>
    </row>
    <row r="31963" spans="1:2" x14ac:dyDescent="0.25">
      <c r="A31963" s="2">
        <v>31958</v>
      </c>
      <c r="B31963" s="3" t="str">
        <f>"201410011644"</f>
        <v>201410011644</v>
      </c>
    </row>
    <row r="31964" spans="1:2" x14ac:dyDescent="0.25">
      <c r="A31964" s="2">
        <v>31959</v>
      </c>
      <c r="B31964" s="3" t="str">
        <f>"201410011671"</f>
        <v>201410011671</v>
      </c>
    </row>
    <row r="31965" spans="1:2" x14ac:dyDescent="0.25">
      <c r="A31965" s="2">
        <v>31960</v>
      </c>
      <c r="B31965" s="3" t="str">
        <f>"201410011673"</f>
        <v>201410011673</v>
      </c>
    </row>
    <row r="31966" spans="1:2" x14ac:dyDescent="0.25">
      <c r="A31966" s="2">
        <v>31961</v>
      </c>
      <c r="B31966" s="3" t="str">
        <f>"201410011743"</f>
        <v>201410011743</v>
      </c>
    </row>
    <row r="31967" spans="1:2" x14ac:dyDescent="0.25">
      <c r="A31967" s="2">
        <v>31962</v>
      </c>
      <c r="B31967" s="3" t="str">
        <f>"201410011915"</f>
        <v>201410011915</v>
      </c>
    </row>
    <row r="31968" spans="1:2" x14ac:dyDescent="0.25">
      <c r="A31968" s="2">
        <v>31963</v>
      </c>
      <c r="B31968" s="3" t="str">
        <f>"201410011924"</f>
        <v>201410011924</v>
      </c>
    </row>
    <row r="31969" spans="1:2" x14ac:dyDescent="0.25">
      <c r="A31969" s="2">
        <v>31964</v>
      </c>
      <c r="B31969" s="3" t="str">
        <f>"201410012002"</f>
        <v>201410012002</v>
      </c>
    </row>
    <row r="31970" spans="1:2" x14ac:dyDescent="0.25">
      <c r="A31970" s="2">
        <v>31965</v>
      </c>
      <c r="B31970" s="3" t="str">
        <f>"201410012011"</f>
        <v>201410012011</v>
      </c>
    </row>
    <row r="31971" spans="1:2" x14ac:dyDescent="0.25">
      <c r="A31971" s="2">
        <v>31966</v>
      </c>
      <c r="B31971" s="3" t="str">
        <f>"201410012019"</f>
        <v>201410012019</v>
      </c>
    </row>
    <row r="31972" spans="1:2" x14ac:dyDescent="0.25">
      <c r="A31972" s="2">
        <v>31967</v>
      </c>
      <c r="B31972" s="3" t="str">
        <f>"201410012040"</f>
        <v>201410012040</v>
      </c>
    </row>
    <row r="31973" spans="1:2" x14ac:dyDescent="0.25">
      <c r="A31973" s="2">
        <v>31968</v>
      </c>
      <c r="B31973" s="3" t="str">
        <f>"201410012048"</f>
        <v>201410012048</v>
      </c>
    </row>
    <row r="31974" spans="1:2" x14ac:dyDescent="0.25">
      <c r="A31974" s="2">
        <v>31969</v>
      </c>
      <c r="B31974" s="3" t="str">
        <f>"201410012058"</f>
        <v>201410012058</v>
      </c>
    </row>
    <row r="31975" spans="1:2" x14ac:dyDescent="0.25">
      <c r="A31975" s="2">
        <v>31970</v>
      </c>
      <c r="B31975" s="3" t="str">
        <f>"201410012066"</f>
        <v>201410012066</v>
      </c>
    </row>
    <row r="31976" spans="1:2" x14ac:dyDescent="0.25">
      <c r="A31976" s="2">
        <v>31971</v>
      </c>
      <c r="B31976" s="3" t="str">
        <f>"201410012090"</f>
        <v>201410012090</v>
      </c>
    </row>
    <row r="31977" spans="1:2" x14ac:dyDescent="0.25">
      <c r="A31977" s="2">
        <v>31972</v>
      </c>
      <c r="B31977" s="3" t="str">
        <f>"201410012093"</f>
        <v>201410012093</v>
      </c>
    </row>
    <row r="31978" spans="1:2" x14ac:dyDescent="0.25">
      <c r="A31978" s="2">
        <v>31973</v>
      </c>
      <c r="B31978" s="3" t="str">
        <f>"201410012116"</f>
        <v>201410012116</v>
      </c>
    </row>
    <row r="31979" spans="1:2" x14ac:dyDescent="0.25">
      <c r="A31979" s="2">
        <v>31974</v>
      </c>
      <c r="B31979" s="3" t="str">
        <f>"201410012134"</f>
        <v>201410012134</v>
      </c>
    </row>
    <row r="31980" spans="1:2" x14ac:dyDescent="0.25">
      <c r="A31980" s="2">
        <v>31975</v>
      </c>
      <c r="B31980" s="3" t="str">
        <f>"201410012181"</f>
        <v>201410012181</v>
      </c>
    </row>
    <row r="31981" spans="1:2" x14ac:dyDescent="0.25">
      <c r="A31981" s="2">
        <v>31976</v>
      </c>
      <c r="B31981" s="3" t="str">
        <f>"201410012202"</f>
        <v>201410012202</v>
      </c>
    </row>
    <row r="31982" spans="1:2" x14ac:dyDescent="0.25">
      <c r="A31982" s="2">
        <v>31977</v>
      </c>
      <c r="B31982" s="3" t="str">
        <f>"201410012296"</f>
        <v>201410012296</v>
      </c>
    </row>
    <row r="31983" spans="1:2" x14ac:dyDescent="0.25">
      <c r="A31983" s="2">
        <v>31978</v>
      </c>
      <c r="B31983" s="3" t="str">
        <f>"201410012397"</f>
        <v>201410012397</v>
      </c>
    </row>
    <row r="31984" spans="1:2" x14ac:dyDescent="0.25">
      <c r="A31984" s="2">
        <v>31979</v>
      </c>
      <c r="B31984" s="3" t="str">
        <f>"201410012470"</f>
        <v>201410012470</v>
      </c>
    </row>
    <row r="31985" spans="1:2" x14ac:dyDescent="0.25">
      <c r="A31985" s="2">
        <v>31980</v>
      </c>
      <c r="B31985" s="3" t="str">
        <f>"201410012515"</f>
        <v>201410012515</v>
      </c>
    </row>
    <row r="31986" spans="1:2" x14ac:dyDescent="0.25">
      <c r="A31986" s="2">
        <v>31981</v>
      </c>
      <c r="B31986" s="3" t="str">
        <f>"201410012518"</f>
        <v>201410012518</v>
      </c>
    </row>
    <row r="31987" spans="1:2" x14ac:dyDescent="0.25">
      <c r="A31987" s="2">
        <v>31982</v>
      </c>
      <c r="B31987" s="3" t="str">
        <f>"201410012543"</f>
        <v>201410012543</v>
      </c>
    </row>
    <row r="31988" spans="1:2" x14ac:dyDescent="0.25">
      <c r="A31988" s="2">
        <v>31983</v>
      </c>
      <c r="B31988" s="3" t="str">
        <f>"201410012547"</f>
        <v>201410012547</v>
      </c>
    </row>
    <row r="31989" spans="1:2" x14ac:dyDescent="0.25">
      <c r="A31989" s="2">
        <v>31984</v>
      </c>
      <c r="B31989" s="3" t="str">
        <f>"201410012573"</f>
        <v>201410012573</v>
      </c>
    </row>
    <row r="31990" spans="1:2" x14ac:dyDescent="0.25">
      <c r="A31990" s="2">
        <v>31985</v>
      </c>
      <c r="B31990" s="3" t="str">
        <f>"201410012656"</f>
        <v>201410012656</v>
      </c>
    </row>
    <row r="31991" spans="1:2" x14ac:dyDescent="0.25">
      <c r="A31991" s="2">
        <v>31986</v>
      </c>
      <c r="B31991" s="3" t="str">
        <f>"201410012658"</f>
        <v>201410012658</v>
      </c>
    </row>
    <row r="31992" spans="1:2" x14ac:dyDescent="0.25">
      <c r="A31992" s="2">
        <v>31987</v>
      </c>
      <c r="B31992" s="3" t="str">
        <f>"201410012754"</f>
        <v>201410012754</v>
      </c>
    </row>
    <row r="31993" spans="1:2" x14ac:dyDescent="0.25">
      <c r="A31993" s="2">
        <v>31988</v>
      </c>
      <c r="B31993" s="3" t="str">
        <f>"201410012779"</f>
        <v>201410012779</v>
      </c>
    </row>
    <row r="31994" spans="1:2" x14ac:dyDescent="0.25">
      <c r="A31994" s="2">
        <v>31989</v>
      </c>
      <c r="B31994" s="3" t="str">
        <f>"201410012816"</f>
        <v>201410012816</v>
      </c>
    </row>
    <row r="31995" spans="1:2" x14ac:dyDescent="0.25">
      <c r="A31995" s="2">
        <v>31990</v>
      </c>
      <c r="B31995" s="3" t="str">
        <f>"201411000025"</f>
        <v>201411000025</v>
      </c>
    </row>
    <row r="31996" spans="1:2" x14ac:dyDescent="0.25">
      <c r="A31996" s="2">
        <v>31991</v>
      </c>
      <c r="B31996" s="3" t="str">
        <f>"201411000026"</f>
        <v>201411000026</v>
      </c>
    </row>
    <row r="31997" spans="1:2" x14ac:dyDescent="0.25">
      <c r="A31997" s="2">
        <v>31992</v>
      </c>
      <c r="B31997" s="3" t="str">
        <f>"201411000038"</f>
        <v>201411000038</v>
      </c>
    </row>
    <row r="31998" spans="1:2" x14ac:dyDescent="0.25">
      <c r="A31998" s="2">
        <v>31993</v>
      </c>
      <c r="B31998" s="3" t="str">
        <f>"201411000055"</f>
        <v>201411000055</v>
      </c>
    </row>
    <row r="31999" spans="1:2" x14ac:dyDescent="0.25">
      <c r="A31999" s="2">
        <v>31994</v>
      </c>
      <c r="B31999" s="3" t="str">
        <f>"201411000086"</f>
        <v>201411000086</v>
      </c>
    </row>
    <row r="32000" spans="1:2" x14ac:dyDescent="0.25">
      <c r="A32000" s="2">
        <v>31995</v>
      </c>
      <c r="B32000" s="3" t="str">
        <f>"201411000115"</f>
        <v>201411000115</v>
      </c>
    </row>
    <row r="32001" spans="1:2" x14ac:dyDescent="0.25">
      <c r="A32001" s="2">
        <v>31996</v>
      </c>
      <c r="B32001" s="3" t="str">
        <f>"201411000123"</f>
        <v>201411000123</v>
      </c>
    </row>
    <row r="32002" spans="1:2" x14ac:dyDescent="0.25">
      <c r="A32002" s="2">
        <v>31997</v>
      </c>
      <c r="B32002" s="3" t="str">
        <f>"201411000137"</f>
        <v>201411000137</v>
      </c>
    </row>
    <row r="32003" spans="1:2" x14ac:dyDescent="0.25">
      <c r="A32003" s="2">
        <v>31998</v>
      </c>
      <c r="B32003" s="3" t="str">
        <f>"201411000179"</f>
        <v>201411000179</v>
      </c>
    </row>
    <row r="32004" spans="1:2" x14ac:dyDescent="0.25">
      <c r="A32004" s="2">
        <v>31999</v>
      </c>
      <c r="B32004" s="3" t="str">
        <f>"201411000213"</f>
        <v>201411000213</v>
      </c>
    </row>
    <row r="32005" spans="1:2" x14ac:dyDescent="0.25">
      <c r="A32005" s="2">
        <v>32000</v>
      </c>
      <c r="B32005" s="3" t="str">
        <f>"201411000265"</f>
        <v>201411000265</v>
      </c>
    </row>
    <row r="32006" spans="1:2" x14ac:dyDescent="0.25">
      <c r="A32006" s="2">
        <v>32001</v>
      </c>
      <c r="B32006" s="3" t="str">
        <f>"201411000407"</f>
        <v>201411000407</v>
      </c>
    </row>
    <row r="32007" spans="1:2" x14ac:dyDescent="0.25">
      <c r="A32007" s="2">
        <v>32002</v>
      </c>
      <c r="B32007" s="3" t="str">
        <f>"201411000429"</f>
        <v>201411000429</v>
      </c>
    </row>
    <row r="32008" spans="1:2" x14ac:dyDescent="0.25">
      <c r="A32008" s="2">
        <v>32003</v>
      </c>
      <c r="B32008" s="3" t="str">
        <f>"201411000462"</f>
        <v>201411000462</v>
      </c>
    </row>
    <row r="32009" spans="1:2" x14ac:dyDescent="0.25">
      <c r="A32009" s="2">
        <v>32004</v>
      </c>
      <c r="B32009" s="3" t="str">
        <f>"201411000507"</f>
        <v>201411000507</v>
      </c>
    </row>
    <row r="32010" spans="1:2" x14ac:dyDescent="0.25">
      <c r="A32010" s="2">
        <v>32005</v>
      </c>
      <c r="B32010" s="3" t="str">
        <f>"201411000508"</f>
        <v>201411000508</v>
      </c>
    </row>
    <row r="32011" spans="1:2" x14ac:dyDescent="0.25">
      <c r="A32011" s="2">
        <v>32006</v>
      </c>
      <c r="B32011" s="3" t="str">
        <f>"201411000521"</f>
        <v>201411000521</v>
      </c>
    </row>
    <row r="32012" spans="1:2" x14ac:dyDescent="0.25">
      <c r="A32012" s="2">
        <v>32007</v>
      </c>
      <c r="B32012" s="3" t="str">
        <f>"201411000560"</f>
        <v>201411000560</v>
      </c>
    </row>
    <row r="32013" spans="1:2" x14ac:dyDescent="0.25">
      <c r="A32013" s="2">
        <v>32008</v>
      </c>
      <c r="B32013" s="3" t="str">
        <f>"201411000619"</f>
        <v>201411000619</v>
      </c>
    </row>
    <row r="32014" spans="1:2" x14ac:dyDescent="0.25">
      <c r="A32014" s="2">
        <v>32009</v>
      </c>
      <c r="B32014" s="3" t="str">
        <f>"201411000801"</f>
        <v>201411000801</v>
      </c>
    </row>
    <row r="32015" spans="1:2" x14ac:dyDescent="0.25">
      <c r="A32015" s="2">
        <v>32010</v>
      </c>
      <c r="B32015" s="3" t="str">
        <f>"201411001019"</f>
        <v>201411001019</v>
      </c>
    </row>
    <row r="32016" spans="1:2" x14ac:dyDescent="0.25">
      <c r="A32016" s="2">
        <v>32011</v>
      </c>
      <c r="B32016" s="3" t="str">
        <f>"201411001074"</f>
        <v>201411001074</v>
      </c>
    </row>
    <row r="32017" spans="1:2" x14ac:dyDescent="0.25">
      <c r="A32017" s="2">
        <v>32012</v>
      </c>
      <c r="B32017" s="3" t="str">
        <f>"201411001087"</f>
        <v>201411001087</v>
      </c>
    </row>
    <row r="32018" spans="1:2" x14ac:dyDescent="0.25">
      <c r="A32018" s="2">
        <v>32013</v>
      </c>
      <c r="B32018" s="3" t="str">
        <f>"201411001103"</f>
        <v>201411001103</v>
      </c>
    </row>
    <row r="32019" spans="1:2" x14ac:dyDescent="0.25">
      <c r="A32019" s="2">
        <v>32014</v>
      </c>
      <c r="B32019" s="3" t="str">
        <f>"201411001130"</f>
        <v>201411001130</v>
      </c>
    </row>
    <row r="32020" spans="1:2" x14ac:dyDescent="0.25">
      <c r="A32020" s="2">
        <v>32015</v>
      </c>
      <c r="B32020" s="3" t="str">
        <f>"201411001174"</f>
        <v>201411001174</v>
      </c>
    </row>
    <row r="32021" spans="1:2" x14ac:dyDescent="0.25">
      <c r="A32021" s="2">
        <v>32016</v>
      </c>
      <c r="B32021" s="3" t="str">
        <f>"201411001183"</f>
        <v>201411001183</v>
      </c>
    </row>
    <row r="32022" spans="1:2" x14ac:dyDescent="0.25">
      <c r="A32022" s="2">
        <v>32017</v>
      </c>
      <c r="B32022" s="3" t="str">
        <f>"201411001190"</f>
        <v>201411001190</v>
      </c>
    </row>
    <row r="32023" spans="1:2" x14ac:dyDescent="0.25">
      <c r="A32023" s="2">
        <v>32018</v>
      </c>
      <c r="B32023" s="3" t="str">
        <f>"201411001199"</f>
        <v>201411001199</v>
      </c>
    </row>
    <row r="32024" spans="1:2" x14ac:dyDescent="0.25">
      <c r="A32024" s="2">
        <v>32019</v>
      </c>
      <c r="B32024" s="3" t="str">
        <f>"201411001217"</f>
        <v>201411001217</v>
      </c>
    </row>
    <row r="32025" spans="1:2" x14ac:dyDescent="0.25">
      <c r="A32025" s="2">
        <v>32020</v>
      </c>
      <c r="B32025" s="3" t="str">
        <f>"201411001244"</f>
        <v>201411001244</v>
      </c>
    </row>
    <row r="32026" spans="1:2" x14ac:dyDescent="0.25">
      <c r="A32026" s="2">
        <v>32021</v>
      </c>
      <c r="B32026" s="3" t="str">
        <f>"201411001250"</f>
        <v>201411001250</v>
      </c>
    </row>
    <row r="32027" spans="1:2" x14ac:dyDescent="0.25">
      <c r="A32027" s="2">
        <v>32022</v>
      </c>
      <c r="B32027" s="3" t="str">
        <f>"201411001279"</f>
        <v>201411001279</v>
      </c>
    </row>
    <row r="32028" spans="1:2" x14ac:dyDescent="0.25">
      <c r="A32028" s="2">
        <v>32023</v>
      </c>
      <c r="B32028" s="3" t="str">
        <f>"201411001320"</f>
        <v>201411001320</v>
      </c>
    </row>
    <row r="32029" spans="1:2" x14ac:dyDescent="0.25">
      <c r="A32029" s="2">
        <v>32024</v>
      </c>
      <c r="B32029" s="3" t="str">
        <f>"201411001340"</f>
        <v>201411001340</v>
      </c>
    </row>
    <row r="32030" spans="1:2" x14ac:dyDescent="0.25">
      <c r="A32030" s="2">
        <v>32025</v>
      </c>
      <c r="B32030" s="3" t="str">
        <f>"201411001344"</f>
        <v>201411001344</v>
      </c>
    </row>
    <row r="32031" spans="1:2" x14ac:dyDescent="0.25">
      <c r="A32031" s="2">
        <v>32026</v>
      </c>
      <c r="B32031" s="3" t="str">
        <f>"201411001370"</f>
        <v>201411001370</v>
      </c>
    </row>
    <row r="32032" spans="1:2" x14ac:dyDescent="0.25">
      <c r="A32032" s="2">
        <v>32027</v>
      </c>
      <c r="B32032" s="3" t="str">
        <f>"201411001372"</f>
        <v>201411001372</v>
      </c>
    </row>
    <row r="32033" spans="1:2" x14ac:dyDescent="0.25">
      <c r="A32033" s="2">
        <v>32028</v>
      </c>
      <c r="B32033" s="3" t="str">
        <f>"201411001377"</f>
        <v>201411001377</v>
      </c>
    </row>
    <row r="32034" spans="1:2" x14ac:dyDescent="0.25">
      <c r="A32034" s="2">
        <v>32029</v>
      </c>
      <c r="B32034" s="3" t="str">
        <f>"201411001379"</f>
        <v>201411001379</v>
      </c>
    </row>
    <row r="32035" spans="1:2" x14ac:dyDescent="0.25">
      <c r="A32035" s="2">
        <v>32030</v>
      </c>
      <c r="B32035" s="3" t="str">
        <f>"201411001381"</f>
        <v>201411001381</v>
      </c>
    </row>
    <row r="32036" spans="1:2" x14ac:dyDescent="0.25">
      <c r="A32036" s="2">
        <v>32031</v>
      </c>
      <c r="B32036" s="3" t="str">
        <f>"201411001397"</f>
        <v>201411001397</v>
      </c>
    </row>
    <row r="32037" spans="1:2" x14ac:dyDescent="0.25">
      <c r="A32037" s="2">
        <v>32032</v>
      </c>
      <c r="B32037" s="3" t="str">
        <f>"201411001438"</f>
        <v>201411001438</v>
      </c>
    </row>
    <row r="32038" spans="1:2" x14ac:dyDescent="0.25">
      <c r="A32038" s="2">
        <v>32033</v>
      </c>
      <c r="B32038" s="3" t="str">
        <f>"201411001472"</f>
        <v>201411001472</v>
      </c>
    </row>
    <row r="32039" spans="1:2" x14ac:dyDescent="0.25">
      <c r="A32039" s="2">
        <v>32034</v>
      </c>
      <c r="B32039" s="3" t="str">
        <f>"201411001499"</f>
        <v>201411001499</v>
      </c>
    </row>
    <row r="32040" spans="1:2" x14ac:dyDescent="0.25">
      <c r="A32040" s="2">
        <v>32035</v>
      </c>
      <c r="B32040" s="3" t="str">
        <f>"201411001510"</f>
        <v>201411001510</v>
      </c>
    </row>
    <row r="32041" spans="1:2" x14ac:dyDescent="0.25">
      <c r="A32041" s="2">
        <v>32036</v>
      </c>
      <c r="B32041" s="3" t="str">
        <f>"201411001529"</f>
        <v>201411001529</v>
      </c>
    </row>
    <row r="32042" spans="1:2" x14ac:dyDescent="0.25">
      <c r="A32042" s="2">
        <v>32037</v>
      </c>
      <c r="B32042" s="3" t="str">
        <f>"201411001536"</f>
        <v>201411001536</v>
      </c>
    </row>
    <row r="32043" spans="1:2" x14ac:dyDescent="0.25">
      <c r="A32043" s="2">
        <v>32038</v>
      </c>
      <c r="B32043" s="3" t="str">
        <f>"201411001582"</f>
        <v>201411001582</v>
      </c>
    </row>
    <row r="32044" spans="1:2" x14ac:dyDescent="0.25">
      <c r="A32044" s="2">
        <v>32039</v>
      </c>
      <c r="B32044" s="3" t="str">
        <f>"201411001603"</f>
        <v>201411001603</v>
      </c>
    </row>
    <row r="32045" spans="1:2" x14ac:dyDescent="0.25">
      <c r="A32045" s="2">
        <v>32040</v>
      </c>
      <c r="B32045" s="3" t="str">
        <f>"201411001612"</f>
        <v>201411001612</v>
      </c>
    </row>
    <row r="32046" spans="1:2" x14ac:dyDescent="0.25">
      <c r="A32046" s="2">
        <v>32041</v>
      </c>
      <c r="B32046" s="3" t="str">
        <f>"201411001616"</f>
        <v>201411001616</v>
      </c>
    </row>
    <row r="32047" spans="1:2" x14ac:dyDescent="0.25">
      <c r="A32047" s="2">
        <v>32042</v>
      </c>
      <c r="B32047" s="3" t="str">
        <f>"201411001656"</f>
        <v>201411001656</v>
      </c>
    </row>
    <row r="32048" spans="1:2" x14ac:dyDescent="0.25">
      <c r="A32048" s="2">
        <v>32043</v>
      </c>
      <c r="B32048" s="3" t="str">
        <f>"201411001681"</f>
        <v>201411001681</v>
      </c>
    </row>
    <row r="32049" spans="1:2" x14ac:dyDescent="0.25">
      <c r="A32049" s="2">
        <v>32044</v>
      </c>
      <c r="B32049" s="3" t="str">
        <f>"201411001682"</f>
        <v>201411001682</v>
      </c>
    </row>
    <row r="32050" spans="1:2" x14ac:dyDescent="0.25">
      <c r="A32050" s="2">
        <v>32045</v>
      </c>
      <c r="B32050" s="3" t="str">
        <f>"201411001683"</f>
        <v>201411001683</v>
      </c>
    </row>
    <row r="32051" spans="1:2" x14ac:dyDescent="0.25">
      <c r="A32051" s="2">
        <v>32046</v>
      </c>
      <c r="B32051" s="3" t="str">
        <f>"201411001694"</f>
        <v>201411001694</v>
      </c>
    </row>
    <row r="32052" spans="1:2" x14ac:dyDescent="0.25">
      <c r="A32052" s="2">
        <v>32047</v>
      </c>
      <c r="B32052" s="3" t="str">
        <f>"201411001699"</f>
        <v>201411001699</v>
      </c>
    </row>
    <row r="32053" spans="1:2" x14ac:dyDescent="0.25">
      <c r="A32053" s="2">
        <v>32048</v>
      </c>
      <c r="B32053" s="3" t="str">
        <f>"201411001750"</f>
        <v>201411001750</v>
      </c>
    </row>
    <row r="32054" spans="1:2" x14ac:dyDescent="0.25">
      <c r="A32054" s="2">
        <v>32049</v>
      </c>
      <c r="B32054" s="3" t="str">
        <f>"201411001751"</f>
        <v>201411001751</v>
      </c>
    </row>
    <row r="32055" spans="1:2" x14ac:dyDescent="0.25">
      <c r="A32055" s="2">
        <v>32050</v>
      </c>
      <c r="B32055" s="3" t="str">
        <f>"201411001783"</f>
        <v>201411001783</v>
      </c>
    </row>
    <row r="32056" spans="1:2" x14ac:dyDescent="0.25">
      <c r="A32056" s="2">
        <v>32051</v>
      </c>
      <c r="B32056" s="3" t="str">
        <f>"201411001802"</f>
        <v>201411001802</v>
      </c>
    </row>
    <row r="32057" spans="1:2" x14ac:dyDescent="0.25">
      <c r="A32057" s="2">
        <v>32052</v>
      </c>
      <c r="B32057" s="3" t="str">
        <f>"201411001805"</f>
        <v>201411001805</v>
      </c>
    </row>
    <row r="32058" spans="1:2" x14ac:dyDescent="0.25">
      <c r="A32058" s="2">
        <v>32053</v>
      </c>
      <c r="B32058" s="3" t="str">
        <f>"201411001816"</f>
        <v>201411001816</v>
      </c>
    </row>
    <row r="32059" spans="1:2" x14ac:dyDescent="0.25">
      <c r="A32059" s="2">
        <v>32054</v>
      </c>
      <c r="B32059" s="3" t="str">
        <f>"201411001821"</f>
        <v>201411001821</v>
      </c>
    </row>
    <row r="32060" spans="1:2" x14ac:dyDescent="0.25">
      <c r="A32060" s="2">
        <v>32055</v>
      </c>
      <c r="B32060" s="3" t="str">
        <f>"201411001838"</f>
        <v>201411001838</v>
      </c>
    </row>
    <row r="32061" spans="1:2" x14ac:dyDescent="0.25">
      <c r="A32061" s="2">
        <v>32056</v>
      </c>
      <c r="B32061" s="3" t="str">
        <f>"201411001885"</f>
        <v>201411001885</v>
      </c>
    </row>
    <row r="32062" spans="1:2" x14ac:dyDescent="0.25">
      <c r="A32062" s="2">
        <v>32057</v>
      </c>
      <c r="B32062" s="3" t="str">
        <f>"201411001913"</f>
        <v>201411001913</v>
      </c>
    </row>
    <row r="32063" spans="1:2" x14ac:dyDescent="0.25">
      <c r="A32063" s="2">
        <v>32058</v>
      </c>
      <c r="B32063" s="3" t="str">
        <f>"201411001930"</f>
        <v>201411001930</v>
      </c>
    </row>
    <row r="32064" spans="1:2" x14ac:dyDescent="0.25">
      <c r="A32064" s="2">
        <v>32059</v>
      </c>
      <c r="B32064" s="3" t="str">
        <f>"201411001941"</f>
        <v>201411001941</v>
      </c>
    </row>
    <row r="32065" spans="1:2" x14ac:dyDescent="0.25">
      <c r="A32065" s="2">
        <v>32060</v>
      </c>
      <c r="B32065" s="3" t="str">
        <f>"201411001946"</f>
        <v>201411001946</v>
      </c>
    </row>
    <row r="32066" spans="1:2" x14ac:dyDescent="0.25">
      <c r="A32066" s="2">
        <v>32061</v>
      </c>
      <c r="B32066" s="3" t="str">
        <f>"201411001949"</f>
        <v>201411001949</v>
      </c>
    </row>
    <row r="32067" spans="1:2" x14ac:dyDescent="0.25">
      <c r="A32067" s="2">
        <v>32062</v>
      </c>
      <c r="B32067" s="3" t="str">
        <f>"201411001968"</f>
        <v>201411001968</v>
      </c>
    </row>
    <row r="32068" spans="1:2" x14ac:dyDescent="0.25">
      <c r="A32068" s="2">
        <v>32063</v>
      </c>
      <c r="B32068" s="3" t="str">
        <f>"201411001994"</f>
        <v>201411001994</v>
      </c>
    </row>
    <row r="32069" spans="1:2" x14ac:dyDescent="0.25">
      <c r="A32069" s="2">
        <v>32064</v>
      </c>
      <c r="B32069" s="3" t="str">
        <f>"201411002002"</f>
        <v>201411002002</v>
      </c>
    </row>
    <row r="32070" spans="1:2" x14ac:dyDescent="0.25">
      <c r="A32070" s="2">
        <v>32065</v>
      </c>
      <c r="B32070" s="3" t="str">
        <f>"201411002016"</f>
        <v>201411002016</v>
      </c>
    </row>
    <row r="32071" spans="1:2" x14ac:dyDescent="0.25">
      <c r="A32071" s="2">
        <v>32066</v>
      </c>
      <c r="B32071" s="3" t="str">
        <f>"201411002036"</f>
        <v>201411002036</v>
      </c>
    </row>
    <row r="32072" spans="1:2" x14ac:dyDescent="0.25">
      <c r="A32072" s="2">
        <v>32067</v>
      </c>
      <c r="B32072" s="3" t="str">
        <f>"201411002051"</f>
        <v>201411002051</v>
      </c>
    </row>
    <row r="32073" spans="1:2" x14ac:dyDescent="0.25">
      <c r="A32073" s="2">
        <v>32068</v>
      </c>
      <c r="B32073" s="3" t="str">
        <f>"201411002058"</f>
        <v>201411002058</v>
      </c>
    </row>
    <row r="32074" spans="1:2" x14ac:dyDescent="0.25">
      <c r="A32074" s="2">
        <v>32069</v>
      </c>
      <c r="B32074" s="3" t="str">
        <f>"201411002073"</f>
        <v>201411002073</v>
      </c>
    </row>
    <row r="32075" spans="1:2" x14ac:dyDescent="0.25">
      <c r="A32075" s="2">
        <v>32070</v>
      </c>
      <c r="B32075" s="3" t="str">
        <f>"201411002083"</f>
        <v>201411002083</v>
      </c>
    </row>
    <row r="32076" spans="1:2" x14ac:dyDescent="0.25">
      <c r="A32076" s="2">
        <v>32071</v>
      </c>
      <c r="B32076" s="3" t="str">
        <f>"201411002104"</f>
        <v>201411002104</v>
      </c>
    </row>
    <row r="32077" spans="1:2" x14ac:dyDescent="0.25">
      <c r="A32077" s="2">
        <v>32072</v>
      </c>
      <c r="B32077" s="3" t="str">
        <f>"201411002188"</f>
        <v>201411002188</v>
      </c>
    </row>
    <row r="32078" spans="1:2" x14ac:dyDescent="0.25">
      <c r="A32078" s="2">
        <v>32073</v>
      </c>
      <c r="B32078" s="3" t="str">
        <f>"201411002195"</f>
        <v>201411002195</v>
      </c>
    </row>
    <row r="32079" spans="1:2" x14ac:dyDescent="0.25">
      <c r="A32079" s="2">
        <v>32074</v>
      </c>
      <c r="B32079" s="3" t="str">
        <f>"201411002196"</f>
        <v>201411002196</v>
      </c>
    </row>
    <row r="32080" spans="1:2" x14ac:dyDescent="0.25">
      <c r="A32080" s="2">
        <v>32075</v>
      </c>
      <c r="B32080" s="3" t="str">
        <f>"201411002202"</f>
        <v>201411002202</v>
      </c>
    </row>
    <row r="32081" spans="1:2" x14ac:dyDescent="0.25">
      <c r="A32081" s="2">
        <v>32076</v>
      </c>
      <c r="B32081" s="3" t="str">
        <f>"201411002210"</f>
        <v>201411002210</v>
      </c>
    </row>
    <row r="32082" spans="1:2" x14ac:dyDescent="0.25">
      <c r="A32082" s="2">
        <v>32077</v>
      </c>
      <c r="B32082" s="3" t="str">
        <f>"201411002217"</f>
        <v>201411002217</v>
      </c>
    </row>
    <row r="32083" spans="1:2" x14ac:dyDescent="0.25">
      <c r="A32083" s="2">
        <v>32078</v>
      </c>
      <c r="B32083" s="3" t="str">
        <f>"201411002223"</f>
        <v>201411002223</v>
      </c>
    </row>
    <row r="32084" spans="1:2" x14ac:dyDescent="0.25">
      <c r="A32084" s="2">
        <v>32079</v>
      </c>
      <c r="B32084" s="3" t="str">
        <f>"201411002229"</f>
        <v>201411002229</v>
      </c>
    </row>
    <row r="32085" spans="1:2" x14ac:dyDescent="0.25">
      <c r="A32085" s="2">
        <v>32080</v>
      </c>
      <c r="B32085" s="3" t="str">
        <f>"201411002230"</f>
        <v>201411002230</v>
      </c>
    </row>
    <row r="32086" spans="1:2" x14ac:dyDescent="0.25">
      <c r="A32086" s="2">
        <v>32081</v>
      </c>
      <c r="B32086" s="3" t="str">
        <f>"201411002266"</f>
        <v>201411002266</v>
      </c>
    </row>
    <row r="32087" spans="1:2" x14ac:dyDescent="0.25">
      <c r="A32087" s="2">
        <v>32082</v>
      </c>
      <c r="B32087" s="3" t="str">
        <f>"201411002267"</f>
        <v>201411002267</v>
      </c>
    </row>
    <row r="32088" spans="1:2" x14ac:dyDescent="0.25">
      <c r="A32088" s="2">
        <v>32083</v>
      </c>
      <c r="B32088" s="3" t="str">
        <f>"201411002302"</f>
        <v>201411002302</v>
      </c>
    </row>
    <row r="32089" spans="1:2" x14ac:dyDescent="0.25">
      <c r="A32089" s="2">
        <v>32084</v>
      </c>
      <c r="B32089" s="3" t="str">
        <f>"201411002357"</f>
        <v>201411002357</v>
      </c>
    </row>
    <row r="32090" spans="1:2" x14ac:dyDescent="0.25">
      <c r="A32090" s="2">
        <v>32085</v>
      </c>
      <c r="B32090" s="3" t="str">
        <f>"201411002361"</f>
        <v>201411002361</v>
      </c>
    </row>
    <row r="32091" spans="1:2" x14ac:dyDescent="0.25">
      <c r="A32091" s="2">
        <v>32086</v>
      </c>
      <c r="B32091" s="3" t="str">
        <f>"201411002366"</f>
        <v>201411002366</v>
      </c>
    </row>
    <row r="32092" spans="1:2" x14ac:dyDescent="0.25">
      <c r="A32092" s="2">
        <v>32087</v>
      </c>
      <c r="B32092" s="3" t="str">
        <f>"201411002382"</f>
        <v>201411002382</v>
      </c>
    </row>
    <row r="32093" spans="1:2" x14ac:dyDescent="0.25">
      <c r="A32093" s="2">
        <v>32088</v>
      </c>
      <c r="B32093" s="3" t="str">
        <f>"201411002411"</f>
        <v>201411002411</v>
      </c>
    </row>
    <row r="32094" spans="1:2" x14ac:dyDescent="0.25">
      <c r="A32094" s="2">
        <v>32089</v>
      </c>
      <c r="B32094" s="3" t="str">
        <f>"201411002419"</f>
        <v>201411002419</v>
      </c>
    </row>
    <row r="32095" spans="1:2" x14ac:dyDescent="0.25">
      <c r="A32095" s="2">
        <v>32090</v>
      </c>
      <c r="B32095" s="3" t="str">
        <f>"201411002422"</f>
        <v>201411002422</v>
      </c>
    </row>
    <row r="32096" spans="1:2" x14ac:dyDescent="0.25">
      <c r="A32096" s="2">
        <v>32091</v>
      </c>
      <c r="B32096" s="3" t="str">
        <f>"201411002434"</f>
        <v>201411002434</v>
      </c>
    </row>
    <row r="32097" spans="1:2" x14ac:dyDescent="0.25">
      <c r="A32097" s="2">
        <v>32092</v>
      </c>
      <c r="B32097" s="3" t="str">
        <f>"201411002445"</f>
        <v>201411002445</v>
      </c>
    </row>
    <row r="32098" spans="1:2" x14ac:dyDescent="0.25">
      <c r="A32098" s="2">
        <v>32093</v>
      </c>
      <c r="B32098" s="3" t="str">
        <f>"201411002476"</f>
        <v>201411002476</v>
      </c>
    </row>
    <row r="32099" spans="1:2" x14ac:dyDescent="0.25">
      <c r="A32099" s="2">
        <v>32094</v>
      </c>
      <c r="B32099" s="3" t="str">
        <f>"201411002482"</f>
        <v>201411002482</v>
      </c>
    </row>
    <row r="32100" spans="1:2" x14ac:dyDescent="0.25">
      <c r="A32100" s="2">
        <v>32095</v>
      </c>
      <c r="B32100" s="3" t="str">
        <f>"201411002483"</f>
        <v>201411002483</v>
      </c>
    </row>
    <row r="32101" spans="1:2" x14ac:dyDescent="0.25">
      <c r="A32101" s="2">
        <v>32096</v>
      </c>
      <c r="B32101" s="3" t="str">
        <f>"201411002487"</f>
        <v>201411002487</v>
      </c>
    </row>
    <row r="32102" spans="1:2" x14ac:dyDescent="0.25">
      <c r="A32102" s="2">
        <v>32097</v>
      </c>
      <c r="B32102" s="3" t="str">
        <f>"201411002536"</f>
        <v>201411002536</v>
      </c>
    </row>
    <row r="32103" spans="1:2" x14ac:dyDescent="0.25">
      <c r="A32103" s="2">
        <v>32098</v>
      </c>
      <c r="B32103" s="3" t="str">
        <f>"201411002559"</f>
        <v>201411002559</v>
      </c>
    </row>
    <row r="32104" spans="1:2" x14ac:dyDescent="0.25">
      <c r="A32104" s="2">
        <v>32099</v>
      </c>
      <c r="B32104" s="3" t="str">
        <f>"201411002575"</f>
        <v>201411002575</v>
      </c>
    </row>
    <row r="32105" spans="1:2" x14ac:dyDescent="0.25">
      <c r="A32105" s="2">
        <v>32100</v>
      </c>
      <c r="B32105" s="3" t="str">
        <f>"201411002580"</f>
        <v>201411002580</v>
      </c>
    </row>
    <row r="32106" spans="1:2" x14ac:dyDescent="0.25">
      <c r="A32106" s="2">
        <v>32101</v>
      </c>
      <c r="B32106" s="3" t="str">
        <f>"201411002621"</f>
        <v>201411002621</v>
      </c>
    </row>
    <row r="32107" spans="1:2" x14ac:dyDescent="0.25">
      <c r="A32107" s="2">
        <v>32102</v>
      </c>
      <c r="B32107" s="3" t="str">
        <f>"201411002623"</f>
        <v>201411002623</v>
      </c>
    </row>
    <row r="32108" spans="1:2" x14ac:dyDescent="0.25">
      <c r="A32108" s="2">
        <v>32103</v>
      </c>
      <c r="B32108" s="3" t="str">
        <f>"201411002639"</f>
        <v>201411002639</v>
      </c>
    </row>
    <row r="32109" spans="1:2" x14ac:dyDescent="0.25">
      <c r="A32109" s="2">
        <v>32104</v>
      </c>
      <c r="B32109" s="3" t="str">
        <f>"201411002736"</f>
        <v>201411002736</v>
      </c>
    </row>
    <row r="32110" spans="1:2" x14ac:dyDescent="0.25">
      <c r="A32110" s="2">
        <v>32105</v>
      </c>
      <c r="B32110" s="3" t="str">
        <f>"201411002737"</f>
        <v>201411002737</v>
      </c>
    </row>
    <row r="32111" spans="1:2" x14ac:dyDescent="0.25">
      <c r="A32111" s="2">
        <v>32106</v>
      </c>
      <c r="B32111" s="3" t="str">
        <f>"201411002742"</f>
        <v>201411002742</v>
      </c>
    </row>
    <row r="32112" spans="1:2" x14ac:dyDescent="0.25">
      <c r="A32112" s="2">
        <v>32107</v>
      </c>
      <c r="B32112" s="3" t="str">
        <f>"201411002776"</f>
        <v>201411002776</v>
      </c>
    </row>
    <row r="32113" spans="1:2" x14ac:dyDescent="0.25">
      <c r="A32113" s="2">
        <v>32108</v>
      </c>
      <c r="B32113" s="3" t="str">
        <f>"201411002810"</f>
        <v>201411002810</v>
      </c>
    </row>
    <row r="32114" spans="1:2" x14ac:dyDescent="0.25">
      <c r="A32114" s="2">
        <v>32109</v>
      </c>
      <c r="B32114" s="3" t="str">
        <f>"201411002849"</f>
        <v>201411002849</v>
      </c>
    </row>
    <row r="32115" spans="1:2" x14ac:dyDescent="0.25">
      <c r="A32115" s="2">
        <v>32110</v>
      </c>
      <c r="B32115" s="3" t="str">
        <f>"201411002860"</f>
        <v>201411002860</v>
      </c>
    </row>
    <row r="32116" spans="1:2" x14ac:dyDescent="0.25">
      <c r="A32116" s="2">
        <v>32111</v>
      </c>
      <c r="B32116" s="3" t="str">
        <f>"201411002877"</f>
        <v>201411002877</v>
      </c>
    </row>
    <row r="32117" spans="1:2" x14ac:dyDescent="0.25">
      <c r="A32117" s="2">
        <v>32112</v>
      </c>
      <c r="B32117" s="3" t="str">
        <f>"201411003018"</f>
        <v>201411003018</v>
      </c>
    </row>
    <row r="32118" spans="1:2" x14ac:dyDescent="0.25">
      <c r="A32118" s="2">
        <v>32113</v>
      </c>
      <c r="B32118" s="3" t="str">
        <f>"201411003054"</f>
        <v>201411003054</v>
      </c>
    </row>
    <row r="32119" spans="1:2" x14ac:dyDescent="0.25">
      <c r="A32119" s="2">
        <v>32114</v>
      </c>
      <c r="B32119" s="3" t="str">
        <f>"201411003064"</f>
        <v>201411003064</v>
      </c>
    </row>
    <row r="32120" spans="1:2" x14ac:dyDescent="0.25">
      <c r="A32120" s="2">
        <v>32115</v>
      </c>
      <c r="B32120" s="3" t="str">
        <f>"201411003066"</f>
        <v>201411003066</v>
      </c>
    </row>
    <row r="32121" spans="1:2" x14ac:dyDescent="0.25">
      <c r="A32121" s="2">
        <v>32116</v>
      </c>
      <c r="B32121" s="3" t="str">
        <f>"201411003083"</f>
        <v>201411003083</v>
      </c>
    </row>
    <row r="32122" spans="1:2" x14ac:dyDescent="0.25">
      <c r="A32122" s="2">
        <v>32117</v>
      </c>
      <c r="B32122" s="3" t="str">
        <f>"201411003102"</f>
        <v>201411003102</v>
      </c>
    </row>
    <row r="32123" spans="1:2" x14ac:dyDescent="0.25">
      <c r="A32123" s="2">
        <v>32118</v>
      </c>
      <c r="B32123" s="3" t="str">
        <f>"201411003107"</f>
        <v>201411003107</v>
      </c>
    </row>
    <row r="32124" spans="1:2" x14ac:dyDescent="0.25">
      <c r="A32124" s="2">
        <v>32119</v>
      </c>
      <c r="B32124" s="3" t="str">
        <f>"201411003108"</f>
        <v>201411003108</v>
      </c>
    </row>
    <row r="32125" spans="1:2" x14ac:dyDescent="0.25">
      <c r="A32125" s="2">
        <v>32120</v>
      </c>
      <c r="B32125" s="3" t="str">
        <f>"201411003114"</f>
        <v>201411003114</v>
      </c>
    </row>
    <row r="32126" spans="1:2" x14ac:dyDescent="0.25">
      <c r="A32126" s="2">
        <v>32121</v>
      </c>
      <c r="B32126" s="3" t="str">
        <f>"201411003119"</f>
        <v>201411003119</v>
      </c>
    </row>
    <row r="32127" spans="1:2" x14ac:dyDescent="0.25">
      <c r="A32127" s="2">
        <v>32122</v>
      </c>
      <c r="B32127" s="3" t="str">
        <f>"201411003149"</f>
        <v>201411003149</v>
      </c>
    </row>
    <row r="32128" spans="1:2" x14ac:dyDescent="0.25">
      <c r="A32128" s="2">
        <v>32123</v>
      </c>
      <c r="B32128" s="3" t="str">
        <f>"201411003185"</f>
        <v>201411003185</v>
      </c>
    </row>
    <row r="32129" spans="1:2" x14ac:dyDescent="0.25">
      <c r="A32129" s="2">
        <v>32124</v>
      </c>
      <c r="B32129" s="3" t="str">
        <f>"201411003202"</f>
        <v>201411003202</v>
      </c>
    </row>
    <row r="32130" spans="1:2" x14ac:dyDescent="0.25">
      <c r="A32130" s="2">
        <v>32125</v>
      </c>
      <c r="B32130" s="3" t="str">
        <f>"201411003244"</f>
        <v>201411003244</v>
      </c>
    </row>
    <row r="32131" spans="1:2" x14ac:dyDescent="0.25">
      <c r="A32131" s="2">
        <v>32126</v>
      </c>
      <c r="B32131" s="3" t="str">
        <f>"201411003335"</f>
        <v>201411003335</v>
      </c>
    </row>
    <row r="32132" spans="1:2" x14ac:dyDescent="0.25">
      <c r="A32132" s="2">
        <v>32127</v>
      </c>
      <c r="B32132" s="3" t="str">
        <f>"201411003352"</f>
        <v>201411003352</v>
      </c>
    </row>
    <row r="32133" spans="1:2" x14ac:dyDescent="0.25">
      <c r="A32133" s="2">
        <v>32128</v>
      </c>
      <c r="B32133" s="3" t="str">
        <f>"201411003355"</f>
        <v>201411003355</v>
      </c>
    </row>
    <row r="32134" spans="1:2" x14ac:dyDescent="0.25">
      <c r="A32134" s="2">
        <v>32129</v>
      </c>
      <c r="B32134" s="3" t="str">
        <f>"201411003364"</f>
        <v>201411003364</v>
      </c>
    </row>
    <row r="32135" spans="1:2" x14ac:dyDescent="0.25">
      <c r="A32135" s="2">
        <v>32130</v>
      </c>
      <c r="B32135" s="3" t="str">
        <f>"201411003374"</f>
        <v>201411003374</v>
      </c>
    </row>
    <row r="32136" spans="1:2" x14ac:dyDescent="0.25">
      <c r="A32136" s="2">
        <v>32131</v>
      </c>
      <c r="B32136" s="3" t="str">
        <f>"201411003382"</f>
        <v>201411003382</v>
      </c>
    </row>
    <row r="32137" spans="1:2" x14ac:dyDescent="0.25">
      <c r="A32137" s="2">
        <v>32132</v>
      </c>
      <c r="B32137" s="3" t="str">
        <f>"201411003403"</f>
        <v>201411003403</v>
      </c>
    </row>
    <row r="32138" spans="1:2" x14ac:dyDescent="0.25">
      <c r="A32138" s="2">
        <v>32133</v>
      </c>
      <c r="B32138" s="3" t="str">
        <f>"201411003429"</f>
        <v>201411003429</v>
      </c>
    </row>
    <row r="32139" spans="1:2" x14ac:dyDescent="0.25">
      <c r="A32139" s="2">
        <v>32134</v>
      </c>
      <c r="B32139" s="3" t="str">
        <f>"201411003439"</f>
        <v>201411003439</v>
      </c>
    </row>
    <row r="32140" spans="1:2" x14ac:dyDescent="0.25">
      <c r="A32140" s="2">
        <v>32135</v>
      </c>
      <c r="B32140" s="3" t="str">
        <f>"201411003447"</f>
        <v>201411003447</v>
      </c>
    </row>
    <row r="32141" spans="1:2" x14ac:dyDescent="0.25">
      <c r="A32141" s="2">
        <v>32136</v>
      </c>
      <c r="B32141" s="3" t="str">
        <f>"201411003458"</f>
        <v>201411003458</v>
      </c>
    </row>
    <row r="32142" spans="1:2" x14ac:dyDescent="0.25">
      <c r="A32142" s="2">
        <v>32137</v>
      </c>
      <c r="B32142" s="3" t="str">
        <f>"201411003477"</f>
        <v>201411003477</v>
      </c>
    </row>
    <row r="32143" spans="1:2" x14ac:dyDescent="0.25">
      <c r="A32143" s="2">
        <v>32138</v>
      </c>
      <c r="B32143" s="3" t="str">
        <f>"201411003488"</f>
        <v>201411003488</v>
      </c>
    </row>
    <row r="32144" spans="1:2" x14ac:dyDescent="0.25">
      <c r="A32144" s="2">
        <v>32139</v>
      </c>
      <c r="B32144" s="3" t="str">
        <f>"201411003513"</f>
        <v>201411003513</v>
      </c>
    </row>
    <row r="32145" spans="1:2" x14ac:dyDescent="0.25">
      <c r="A32145" s="2">
        <v>32140</v>
      </c>
      <c r="B32145" s="3" t="str">
        <f>"201411003515"</f>
        <v>201411003515</v>
      </c>
    </row>
    <row r="32146" spans="1:2" x14ac:dyDescent="0.25">
      <c r="A32146" s="2">
        <v>32141</v>
      </c>
      <c r="B32146" s="3" t="str">
        <f>"201411003552"</f>
        <v>201411003552</v>
      </c>
    </row>
    <row r="32147" spans="1:2" x14ac:dyDescent="0.25">
      <c r="A32147" s="2">
        <v>32142</v>
      </c>
      <c r="B32147" s="3" t="str">
        <f>"201411003597"</f>
        <v>201411003597</v>
      </c>
    </row>
    <row r="32148" spans="1:2" x14ac:dyDescent="0.25">
      <c r="A32148" s="2">
        <v>32143</v>
      </c>
      <c r="B32148" s="3" t="str">
        <f>"201412000004"</f>
        <v>201412000004</v>
      </c>
    </row>
    <row r="32149" spans="1:2" x14ac:dyDescent="0.25">
      <c r="A32149" s="2">
        <v>32144</v>
      </c>
      <c r="B32149" s="3" t="str">
        <f>"201412000006"</f>
        <v>201412000006</v>
      </c>
    </row>
    <row r="32150" spans="1:2" x14ac:dyDescent="0.25">
      <c r="A32150" s="2">
        <v>32145</v>
      </c>
      <c r="B32150" s="3" t="str">
        <f>"201412000050"</f>
        <v>201412000050</v>
      </c>
    </row>
    <row r="32151" spans="1:2" x14ac:dyDescent="0.25">
      <c r="A32151" s="2">
        <v>32146</v>
      </c>
      <c r="B32151" s="3" t="str">
        <f>"201412000087"</f>
        <v>201412000087</v>
      </c>
    </row>
    <row r="32152" spans="1:2" x14ac:dyDescent="0.25">
      <c r="A32152" s="2">
        <v>32147</v>
      </c>
      <c r="B32152" s="3" t="str">
        <f>"201412000139"</f>
        <v>201412000139</v>
      </c>
    </row>
    <row r="32153" spans="1:2" x14ac:dyDescent="0.25">
      <c r="A32153" s="2">
        <v>32148</v>
      </c>
      <c r="B32153" s="3" t="str">
        <f>"201412000245"</f>
        <v>201412000245</v>
      </c>
    </row>
    <row r="32154" spans="1:2" x14ac:dyDescent="0.25">
      <c r="A32154" s="2">
        <v>32149</v>
      </c>
      <c r="B32154" s="3" t="str">
        <f>"201412000249"</f>
        <v>201412000249</v>
      </c>
    </row>
    <row r="32155" spans="1:2" x14ac:dyDescent="0.25">
      <c r="A32155" s="2">
        <v>32150</v>
      </c>
      <c r="B32155" s="3" t="str">
        <f>"201412000261"</f>
        <v>201412000261</v>
      </c>
    </row>
    <row r="32156" spans="1:2" x14ac:dyDescent="0.25">
      <c r="A32156" s="2">
        <v>32151</v>
      </c>
      <c r="B32156" s="3" t="str">
        <f>"201412000267"</f>
        <v>201412000267</v>
      </c>
    </row>
    <row r="32157" spans="1:2" x14ac:dyDescent="0.25">
      <c r="A32157" s="2">
        <v>32152</v>
      </c>
      <c r="B32157" s="3" t="str">
        <f>"201412000291"</f>
        <v>201412000291</v>
      </c>
    </row>
    <row r="32158" spans="1:2" x14ac:dyDescent="0.25">
      <c r="A32158" s="2">
        <v>32153</v>
      </c>
      <c r="B32158" s="3" t="str">
        <f>"201412000314"</f>
        <v>201412000314</v>
      </c>
    </row>
    <row r="32159" spans="1:2" x14ac:dyDescent="0.25">
      <c r="A32159" s="2">
        <v>32154</v>
      </c>
      <c r="B32159" s="3" t="str">
        <f>"201412000329"</f>
        <v>201412000329</v>
      </c>
    </row>
    <row r="32160" spans="1:2" x14ac:dyDescent="0.25">
      <c r="A32160" s="2">
        <v>32155</v>
      </c>
      <c r="B32160" s="3" t="str">
        <f>"201412000340"</f>
        <v>201412000340</v>
      </c>
    </row>
    <row r="32161" spans="1:2" x14ac:dyDescent="0.25">
      <c r="A32161" s="2">
        <v>32156</v>
      </c>
      <c r="B32161" s="3" t="str">
        <f>"201412000348"</f>
        <v>201412000348</v>
      </c>
    </row>
    <row r="32162" spans="1:2" x14ac:dyDescent="0.25">
      <c r="A32162" s="2">
        <v>32157</v>
      </c>
      <c r="B32162" s="3" t="str">
        <f>"201412000350"</f>
        <v>201412000350</v>
      </c>
    </row>
    <row r="32163" spans="1:2" x14ac:dyDescent="0.25">
      <c r="A32163" s="2">
        <v>32158</v>
      </c>
      <c r="B32163" s="3" t="str">
        <f>"201412000352"</f>
        <v>201412000352</v>
      </c>
    </row>
    <row r="32164" spans="1:2" x14ac:dyDescent="0.25">
      <c r="A32164" s="2">
        <v>32159</v>
      </c>
      <c r="B32164" s="3" t="str">
        <f>"201412000354"</f>
        <v>201412000354</v>
      </c>
    </row>
    <row r="32165" spans="1:2" x14ac:dyDescent="0.25">
      <c r="A32165" s="2">
        <v>32160</v>
      </c>
      <c r="B32165" s="3" t="str">
        <f>"201412000355"</f>
        <v>201412000355</v>
      </c>
    </row>
    <row r="32166" spans="1:2" x14ac:dyDescent="0.25">
      <c r="A32166" s="2">
        <v>32161</v>
      </c>
      <c r="B32166" s="3" t="str">
        <f>"201412000371"</f>
        <v>201412000371</v>
      </c>
    </row>
    <row r="32167" spans="1:2" x14ac:dyDescent="0.25">
      <c r="A32167" s="2">
        <v>32162</v>
      </c>
      <c r="B32167" s="3" t="str">
        <f>"201412000391"</f>
        <v>201412000391</v>
      </c>
    </row>
    <row r="32168" spans="1:2" x14ac:dyDescent="0.25">
      <c r="A32168" s="2">
        <v>32163</v>
      </c>
      <c r="B32168" s="3" t="str">
        <f>"201412000433"</f>
        <v>201412000433</v>
      </c>
    </row>
    <row r="32169" spans="1:2" x14ac:dyDescent="0.25">
      <c r="A32169" s="2">
        <v>32164</v>
      </c>
      <c r="B32169" s="3" t="str">
        <f>"201412000448"</f>
        <v>201412000448</v>
      </c>
    </row>
    <row r="32170" spans="1:2" x14ac:dyDescent="0.25">
      <c r="A32170" s="2">
        <v>32165</v>
      </c>
      <c r="B32170" s="3" t="str">
        <f>"201412000472"</f>
        <v>201412000472</v>
      </c>
    </row>
    <row r="32171" spans="1:2" x14ac:dyDescent="0.25">
      <c r="A32171" s="2">
        <v>32166</v>
      </c>
      <c r="B32171" s="3" t="str">
        <f>"201412000558"</f>
        <v>201412000558</v>
      </c>
    </row>
    <row r="32172" spans="1:2" x14ac:dyDescent="0.25">
      <c r="A32172" s="2">
        <v>32167</v>
      </c>
      <c r="B32172" s="3" t="str">
        <f>"201412000567"</f>
        <v>201412000567</v>
      </c>
    </row>
    <row r="32173" spans="1:2" x14ac:dyDescent="0.25">
      <c r="A32173" s="2">
        <v>32168</v>
      </c>
      <c r="B32173" s="3" t="str">
        <f>"201412000595"</f>
        <v>201412000595</v>
      </c>
    </row>
    <row r="32174" spans="1:2" x14ac:dyDescent="0.25">
      <c r="A32174" s="2">
        <v>32169</v>
      </c>
      <c r="B32174" s="3" t="str">
        <f>"201412000604"</f>
        <v>201412000604</v>
      </c>
    </row>
    <row r="32175" spans="1:2" x14ac:dyDescent="0.25">
      <c r="A32175" s="2">
        <v>32170</v>
      </c>
      <c r="B32175" s="3" t="str">
        <f>"201412000629"</f>
        <v>201412000629</v>
      </c>
    </row>
    <row r="32176" spans="1:2" x14ac:dyDescent="0.25">
      <c r="A32176" s="2">
        <v>32171</v>
      </c>
      <c r="B32176" s="3" t="str">
        <f>"201412000649"</f>
        <v>201412000649</v>
      </c>
    </row>
    <row r="32177" spans="1:2" x14ac:dyDescent="0.25">
      <c r="A32177" s="2">
        <v>32172</v>
      </c>
      <c r="B32177" s="3" t="str">
        <f>"201412000656"</f>
        <v>201412000656</v>
      </c>
    </row>
    <row r="32178" spans="1:2" x14ac:dyDescent="0.25">
      <c r="A32178" s="2">
        <v>32173</v>
      </c>
      <c r="B32178" s="3" t="str">
        <f>"201412000662"</f>
        <v>201412000662</v>
      </c>
    </row>
    <row r="32179" spans="1:2" x14ac:dyDescent="0.25">
      <c r="A32179" s="2">
        <v>32174</v>
      </c>
      <c r="B32179" s="3" t="str">
        <f>"201412000664"</f>
        <v>201412000664</v>
      </c>
    </row>
    <row r="32180" spans="1:2" x14ac:dyDescent="0.25">
      <c r="A32180" s="2">
        <v>32175</v>
      </c>
      <c r="B32180" s="3" t="str">
        <f>"201412000667"</f>
        <v>201412000667</v>
      </c>
    </row>
    <row r="32181" spans="1:2" x14ac:dyDescent="0.25">
      <c r="A32181" s="2">
        <v>32176</v>
      </c>
      <c r="B32181" s="3" t="str">
        <f>"201412000709"</f>
        <v>201412000709</v>
      </c>
    </row>
    <row r="32182" spans="1:2" x14ac:dyDescent="0.25">
      <c r="A32182" s="2">
        <v>32177</v>
      </c>
      <c r="B32182" s="3" t="str">
        <f>"201412000734"</f>
        <v>201412000734</v>
      </c>
    </row>
    <row r="32183" spans="1:2" x14ac:dyDescent="0.25">
      <c r="A32183" s="2">
        <v>32178</v>
      </c>
      <c r="B32183" s="3" t="str">
        <f>"201412000976"</f>
        <v>201412000976</v>
      </c>
    </row>
    <row r="32184" spans="1:2" x14ac:dyDescent="0.25">
      <c r="A32184" s="2">
        <v>32179</v>
      </c>
      <c r="B32184" s="3" t="str">
        <f>"201412000980"</f>
        <v>201412000980</v>
      </c>
    </row>
    <row r="32185" spans="1:2" x14ac:dyDescent="0.25">
      <c r="A32185" s="2">
        <v>32180</v>
      </c>
      <c r="B32185" s="3" t="str">
        <f>"201412000982"</f>
        <v>201412000982</v>
      </c>
    </row>
    <row r="32186" spans="1:2" x14ac:dyDescent="0.25">
      <c r="A32186" s="2">
        <v>32181</v>
      </c>
      <c r="B32186" s="3" t="str">
        <f>"201412000995"</f>
        <v>201412000995</v>
      </c>
    </row>
    <row r="32187" spans="1:2" x14ac:dyDescent="0.25">
      <c r="A32187" s="2">
        <v>32182</v>
      </c>
      <c r="B32187" s="3" t="str">
        <f>"201412000998"</f>
        <v>201412000998</v>
      </c>
    </row>
    <row r="32188" spans="1:2" x14ac:dyDescent="0.25">
      <c r="A32188" s="2">
        <v>32183</v>
      </c>
      <c r="B32188" s="3" t="str">
        <f>"201412001046"</f>
        <v>201412001046</v>
      </c>
    </row>
    <row r="32189" spans="1:2" x14ac:dyDescent="0.25">
      <c r="A32189" s="2">
        <v>32184</v>
      </c>
      <c r="B32189" s="3" t="str">
        <f>"201412001124"</f>
        <v>201412001124</v>
      </c>
    </row>
    <row r="32190" spans="1:2" x14ac:dyDescent="0.25">
      <c r="A32190" s="2">
        <v>32185</v>
      </c>
      <c r="B32190" s="3" t="str">
        <f>"201412001156"</f>
        <v>201412001156</v>
      </c>
    </row>
    <row r="32191" spans="1:2" x14ac:dyDescent="0.25">
      <c r="A32191" s="2">
        <v>32186</v>
      </c>
      <c r="B32191" s="3" t="str">
        <f>"201412001167"</f>
        <v>201412001167</v>
      </c>
    </row>
    <row r="32192" spans="1:2" x14ac:dyDescent="0.25">
      <c r="A32192" s="2">
        <v>32187</v>
      </c>
      <c r="B32192" s="3" t="str">
        <f>"201412001177"</f>
        <v>201412001177</v>
      </c>
    </row>
    <row r="32193" spans="1:2" x14ac:dyDescent="0.25">
      <c r="A32193" s="2">
        <v>32188</v>
      </c>
      <c r="B32193" s="3" t="str">
        <f>"201412001183"</f>
        <v>201412001183</v>
      </c>
    </row>
    <row r="32194" spans="1:2" x14ac:dyDescent="0.25">
      <c r="A32194" s="2">
        <v>32189</v>
      </c>
      <c r="B32194" s="3" t="str">
        <f>"201412001313"</f>
        <v>201412001313</v>
      </c>
    </row>
    <row r="32195" spans="1:2" x14ac:dyDescent="0.25">
      <c r="A32195" s="2">
        <v>32190</v>
      </c>
      <c r="B32195" s="3" t="str">
        <f>"201412001376"</f>
        <v>201412001376</v>
      </c>
    </row>
    <row r="32196" spans="1:2" x14ac:dyDescent="0.25">
      <c r="A32196" s="2">
        <v>32191</v>
      </c>
      <c r="B32196" s="3" t="str">
        <f>"201412001380"</f>
        <v>201412001380</v>
      </c>
    </row>
    <row r="32197" spans="1:2" x14ac:dyDescent="0.25">
      <c r="A32197" s="2">
        <v>32192</v>
      </c>
      <c r="B32197" s="3" t="str">
        <f>"201412001420"</f>
        <v>201412001420</v>
      </c>
    </row>
    <row r="32198" spans="1:2" x14ac:dyDescent="0.25">
      <c r="A32198" s="2">
        <v>32193</v>
      </c>
      <c r="B32198" s="3" t="str">
        <f>"201412001432"</f>
        <v>201412001432</v>
      </c>
    </row>
    <row r="32199" spans="1:2" x14ac:dyDescent="0.25">
      <c r="A32199" s="2">
        <v>32194</v>
      </c>
      <c r="B32199" s="3" t="str">
        <f>"201412001434"</f>
        <v>201412001434</v>
      </c>
    </row>
    <row r="32200" spans="1:2" x14ac:dyDescent="0.25">
      <c r="A32200" s="2">
        <v>32195</v>
      </c>
      <c r="B32200" s="3" t="str">
        <f>"201412001435"</f>
        <v>201412001435</v>
      </c>
    </row>
    <row r="32201" spans="1:2" x14ac:dyDescent="0.25">
      <c r="A32201" s="2">
        <v>32196</v>
      </c>
      <c r="B32201" s="3" t="str">
        <f>"201412001445"</f>
        <v>201412001445</v>
      </c>
    </row>
    <row r="32202" spans="1:2" x14ac:dyDescent="0.25">
      <c r="A32202" s="2">
        <v>32197</v>
      </c>
      <c r="B32202" s="3" t="str">
        <f>"201412001454"</f>
        <v>201412001454</v>
      </c>
    </row>
    <row r="32203" spans="1:2" x14ac:dyDescent="0.25">
      <c r="A32203" s="2">
        <v>32198</v>
      </c>
      <c r="B32203" s="3" t="str">
        <f>"201412001477"</f>
        <v>201412001477</v>
      </c>
    </row>
    <row r="32204" spans="1:2" x14ac:dyDescent="0.25">
      <c r="A32204" s="2">
        <v>32199</v>
      </c>
      <c r="B32204" s="3" t="str">
        <f>"201412001496"</f>
        <v>201412001496</v>
      </c>
    </row>
    <row r="32205" spans="1:2" x14ac:dyDescent="0.25">
      <c r="A32205" s="2">
        <v>32200</v>
      </c>
      <c r="B32205" s="3" t="str">
        <f>"201412001597"</f>
        <v>201412001597</v>
      </c>
    </row>
    <row r="32206" spans="1:2" x14ac:dyDescent="0.25">
      <c r="A32206" s="2">
        <v>32201</v>
      </c>
      <c r="B32206" s="3" t="str">
        <f>"201412001615"</f>
        <v>201412001615</v>
      </c>
    </row>
    <row r="32207" spans="1:2" x14ac:dyDescent="0.25">
      <c r="A32207" s="2">
        <v>32202</v>
      </c>
      <c r="B32207" s="3" t="str">
        <f>"201412001639"</f>
        <v>201412001639</v>
      </c>
    </row>
    <row r="32208" spans="1:2" x14ac:dyDescent="0.25">
      <c r="A32208" s="2">
        <v>32203</v>
      </c>
      <c r="B32208" s="3" t="str">
        <f>"201412001672"</f>
        <v>201412001672</v>
      </c>
    </row>
    <row r="32209" spans="1:2" x14ac:dyDescent="0.25">
      <c r="A32209" s="2">
        <v>32204</v>
      </c>
      <c r="B32209" s="3" t="str">
        <f>"201412001674"</f>
        <v>201412001674</v>
      </c>
    </row>
    <row r="32210" spans="1:2" x14ac:dyDescent="0.25">
      <c r="A32210" s="2">
        <v>32205</v>
      </c>
      <c r="B32210" s="3" t="str">
        <f>"201412001675"</f>
        <v>201412001675</v>
      </c>
    </row>
    <row r="32211" spans="1:2" x14ac:dyDescent="0.25">
      <c r="A32211" s="2">
        <v>32206</v>
      </c>
      <c r="B32211" s="3" t="str">
        <f>"201412001676"</f>
        <v>201412001676</v>
      </c>
    </row>
    <row r="32212" spans="1:2" x14ac:dyDescent="0.25">
      <c r="A32212" s="2">
        <v>32207</v>
      </c>
      <c r="B32212" s="3" t="str">
        <f>"201412001711"</f>
        <v>201412001711</v>
      </c>
    </row>
    <row r="32213" spans="1:2" x14ac:dyDescent="0.25">
      <c r="A32213" s="2">
        <v>32208</v>
      </c>
      <c r="B32213" s="3" t="str">
        <f>"201412001718"</f>
        <v>201412001718</v>
      </c>
    </row>
    <row r="32214" spans="1:2" x14ac:dyDescent="0.25">
      <c r="A32214" s="2">
        <v>32209</v>
      </c>
      <c r="B32214" s="3" t="str">
        <f>"201412001749"</f>
        <v>201412001749</v>
      </c>
    </row>
    <row r="32215" spans="1:2" x14ac:dyDescent="0.25">
      <c r="A32215" s="2">
        <v>32210</v>
      </c>
      <c r="B32215" s="3" t="str">
        <f>"201412001792"</f>
        <v>201412001792</v>
      </c>
    </row>
    <row r="32216" spans="1:2" x14ac:dyDescent="0.25">
      <c r="A32216" s="2">
        <v>32211</v>
      </c>
      <c r="B32216" s="3" t="str">
        <f>"201412001793"</f>
        <v>201412001793</v>
      </c>
    </row>
    <row r="32217" spans="1:2" x14ac:dyDescent="0.25">
      <c r="A32217" s="2">
        <v>32212</v>
      </c>
      <c r="B32217" s="3" t="str">
        <f>"201412001829"</f>
        <v>201412001829</v>
      </c>
    </row>
    <row r="32218" spans="1:2" x14ac:dyDescent="0.25">
      <c r="A32218" s="2">
        <v>32213</v>
      </c>
      <c r="B32218" s="3" t="str">
        <f>"201412001849"</f>
        <v>201412001849</v>
      </c>
    </row>
    <row r="32219" spans="1:2" x14ac:dyDescent="0.25">
      <c r="A32219" s="2">
        <v>32214</v>
      </c>
      <c r="B32219" s="3" t="str">
        <f>"201412001938"</f>
        <v>201412001938</v>
      </c>
    </row>
    <row r="32220" spans="1:2" x14ac:dyDescent="0.25">
      <c r="A32220" s="2">
        <v>32215</v>
      </c>
      <c r="B32220" s="3" t="str">
        <f>"201412001981"</f>
        <v>201412001981</v>
      </c>
    </row>
    <row r="32221" spans="1:2" x14ac:dyDescent="0.25">
      <c r="A32221" s="2">
        <v>32216</v>
      </c>
      <c r="B32221" s="3" t="str">
        <f>"201412001989"</f>
        <v>201412001989</v>
      </c>
    </row>
    <row r="32222" spans="1:2" x14ac:dyDescent="0.25">
      <c r="A32222" s="2">
        <v>32217</v>
      </c>
      <c r="B32222" s="3" t="str">
        <f>"201412002026"</f>
        <v>201412002026</v>
      </c>
    </row>
    <row r="32223" spans="1:2" x14ac:dyDescent="0.25">
      <c r="A32223" s="2">
        <v>32218</v>
      </c>
      <c r="B32223" s="3" t="str">
        <f>"201412002045"</f>
        <v>201412002045</v>
      </c>
    </row>
    <row r="32224" spans="1:2" x14ac:dyDescent="0.25">
      <c r="A32224" s="2">
        <v>32219</v>
      </c>
      <c r="B32224" s="3" t="str">
        <f>"201412002048"</f>
        <v>201412002048</v>
      </c>
    </row>
    <row r="32225" spans="1:2" x14ac:dyDescent="0.25">
      <c r="A32225" s="2">
        <v>32220</v>
      </c>
      <c r="B32225" s="3" t="str">
        <f>"201412002052"</f>
        <v>201412002052</v>
      </c>
    </row>
    <row r="32226" spans="1:2" x14ac:dyDescent="0.25">
      <c r="A32226" s="2">
        <v>32221</v>
      </c>
      <c r="B32226" s="3" t="str">
        <f>"201412002065"</f>
        <v>201412002065</v>
      </c>
    </row>
    <row r="32227" spans="1:2" x14ac:dyDescent="0.25">
      <c r="A32227" s="2">
        <v>32222</v>
      </c>
      <c r="B32227" s="3" t="str">
        <f>"201412002082"</f>
        <v>201412002082</v>
      </c>
    </row>
    <row r="32228" spans="1:2" x14ac:dyDescent="0.25">
      <c r="A32228" s="2">
        <v>32223</v>
      </c>
      <c r="B32228" s="3" t="str">
        <f>"201412002102"</f>
        <v>201412002102</v>
      </c>
    </row>
    <row r="32229" spans="1:2" x14ac:dyDescent="0.25">
      <c r="A32229" s="2">
        <v>32224</v>
      </c>
      <c r="B32229" s="3" t="str">
        <f>"201412002107"</f>
        <v>201412002107</v>
      </c>
    </row>
    <row r="32230" spans="1:2" x14ac:dyDescent="0.25">
      <c r="A32230" s="2">
        <v>32225</v>
      </c>
      <c r="B32230" s="3" t="str">
        <f>"201412002140"</f>
        <v>201412002140</v>
      </c>
    </row>
    <row r="32231" spans="1:2" x14ac:dyDescent="0.25">
      <c r="A32231" s="2">
        <v>32226</v>
      </c>
      <c r="B32231" s="3" t="str">
        <f>"201412002164"</f>
        <v>201412002164</v>
      </c>
    </row>
    <row r="32232" spans="1:2" x14ac:dyDescent="0.25">
      <c r="A32232" s="2">
        <v>32227</v>
      </c>
      <c r="B32232" s="3" t="str">
        <f>"201412002168"</f>
        <v>201412002168</v>
      </c>
    </row>
    <row r="32233" spans="1:2" x14ac:dyDescent="0.25">
      <c r="A32233" s="2">
        <v>32228</v>
      </c>
      <c r="B32233" s="3" t="str">
        <f>"201412002260"</f>
        <v>201412002260</v>
      </c>
    </row>
    <row r="32234" spans="1:2" x14ac:dyDescent="0.25">
      <c r="A32234" s="2">
        <v>32229</v>
      </c>
      <c r="B32234" s="3" t="str">
        <f>"201412002287"</f>
        <v>201412002287</v>
      </c>
    </row>
    <row r="32235" spans="1:2" x14ac:dyDescent="0.25">
      <c r="A32235" s="2">
        <v>32230</v>
      </c>
      <c r="B32235" s="3" t="str">
        <f>"201412002300"</f>
        <v>201412002300</v>
      </c>
    </row>
    <row r="32236" spans="1:2" x14ac:dyDescent="0.25">
      <c r="A32236" s="2">
        <v>32231</v>
      </c>
      <c r="B32236" s="3" t="str">
        <f>"201412002334"</f>
        <v>201412002334</v>
      </c>
    </row>
    <row r="32237" spans="1:2" x14ac:dyDescent="0.25">
      <c r="A32237" s="2">
        <v>32232</v>
      </c>
      <c r="B32237" s="3" t="str">
        <f>"201412002426"</f>
        <v>201412002426</v>
      </c>
    </row>
    <row r="32238" spans="1:2" x14ac:dyDescent="0.25">
      <c r="A32238" s="2">
        <v>32233</v>
      </c>
      <c r="B32238" s="3" t="str">
        <f>"201412002437"</f>
        <v>201412002437</v>
      </c>
    </row>
    <row r="32239" spans="1:2" x14ac:dyDescent="0.25">
      <c r="A32239" s="2">
        <v>32234</v>
      </c>
      <c r="B32239" s="3" t="str">
        <f>"201412002440"</f>
        <v>201412002440</v>
      </c>
    </row>
    <row r="32240" spans="1:2" x14ac:dyDescent="0.25">
      <c r="A32240" s="2">
        <v>32235</v>
      </c>
      <c r="B32240" s="3" t="str">
        <f>"201412002447"</f>
        <v>201412002447</v>
      </c>
    </row>
    <row r="32241" spans="1:2" x14ac:dyDescent="0.25">
      <c r="A32241" s="2">
        <v>32236</v>
      </c>
      <c r="B32241" s="3" t="str">
        <f>"201412002458"</f>
        <v>201412002458</v>
      </c>
    </row>
    <row r="32242" spans="1:2" x14ac:dyDescent="0.25">
      <c r="A32242" s="2">
        <v>32237</v>
      </c>
      <c r="B32242" s="3" t="str">
        <f>"201412002466"</f>
        <v>201412002466</v>
      </c>
    </row>
    <row r="32243" spans="1:2" x14ac:dyDescent="0.25">
      <c r="A32243" s="2">
        <v>32238</v>
      </c>
      <c r="B32243" s="3" t="str">
        <f>"201412002471"</f>
        <v>201412002471</v>
      </c>
    </row>
    <row r="32244" spans="1:2" x14ac:dyDescent="0.25">
      <c r="A32244" s="2">
        <v>32239</v>
      </c>
      <c r="B32244" s="3" t="str">
        <f>"201412002474"</f>
        <v>201412002474</v>
      </c>
    </row>
    <row r="32245" spans="1:2" x14ac:dyDescent="0.25">
      <c r="A32245" s="2">
        <v>32240</v>
      </c>
      <c r="B32245" s="3" t="str">
        <f>"201412002476"</f>
        <v>201412002476</v>
      </c>
    </row>
    <row r="32246" spans="1:2" x14ac:dyDescent="0.25">
      <c r="A32246" s="2">
        <v>32241</v>
      </c>
      <c r="B32246" s="3" t="str">
        <f>"201412002511"</f>
        <v>201412002511</v>
      </c>
    </row>
    <row r="32247" spans="1:2" x14ac:dyDescent="0.25">
      <c r="A32247" s="2">
        <v>32242</v>
      </c>
      <c r="B32247" s="3" t="str">
        <f>"201412002561"</f>
        <v>201412002561</v>
      </c>
    </row>
    <row r="32248" spans="1:2" x14ac:dyDescent="0.25">
      <c r="A32248" s="2">
        <v>32243</v>
      </c>
      <c r="B32248" s="3" t="str">
        <f>"201412002564"</f>
        <v>201412002564</v>
      </c>
    </row>
    <row r="32249" spans="1:2" x14ac:dyDescent="0.25">
      <c r="A32249" s="2">
        <v>32244</v>
      </c>
      <c r="B32249" s="3" t="str">
        <f>"201412002627"</f>
        <v>201412002627</v>
      </c>
    </row>
    <row r="32250" spans="1:2" x14ac:dyDescent="0.25">
      <c r="A32250" s="2">
        <v>32245</v>
      </c>
      <c r="B32250" s="3" t="str">
        <f>"201412002638"</f>
        <v>201412002638</v>
      </c>
    </row>
    <row r="32251" spans="1:2" x14ac:dyDescent="0.25">
      <c r="A32251" s="2">
        <v>32246</v>
      </c>
      <c r="B32251" s="3" t="str">
        <f>"201412002657"</f>
        <v>201412002657</v>
      </c>
    </row>
    <row r="32252" spans="1:2" x14ac:dyDescent="0.25">
      <c r="A32252" s="2">
        <v>32247</v>
      </c>
      <c r="B32252" s="3" t="str">
        <f>"201412002691"</f>
        <v>201412002691</v>
      </c>
    </row>
    <row r="32253" spans="1:2" x14ac:dyDescent="0.25">
      <c r="A32253" s="2">
        <v>32248</v>
      </c>
      <c r="B32253" s="3" t="str">
        <f>"201412002703"</f>
        <v>201412002703</v>
      </c>
    </row>
    <row r="32254" spans="1:2" x14ac:dyDescent="0.25">
      <c r="A32254" s="2">
        <v>32249</v>
      </c>
      <c r="B32254" s="3" t="str">
        <f>"201412002713"</f>
        <v>201412002713</v>
      </c>
    </row>
    <row r="32255" spans="1:2" x14ac:dyDescent="0.25">
      <c r="A32255" s="2">
        <v>32250</v>
      </c>
      <c r="B32255" s="3" t="str">
        <f>"201412002725"</f>
        <v>201412002725</v>
      </c>
    </row>
    <row r="32256" spans="1:2" x14ac:dyDescent="0.25">
      <c r="A32256" s="2">
        <v>32251</v>
      </c>
      <c r="B32256" s="3" t="str">
        <f>"201412002736"</f>
        <v>201412002736</v>
      </c>
    </row>
    <row r="32257" spans="1:2" x14ac:dyDescent="0.25">
      <c r="A32257" s="2">
        <v>32252</v>
      </c>
      <c r="B32257" s="3" t="str">
        <f>"201412002762"</f>
        <v>201412002762</v>
      </c>
    </row>
    <row r="32258" spans="1:2" x14ac:dyDescent="0.25">
      <c r="A32258" s="2">
        <v>32253</v>
      </c>
      <c r="B32258" s="3" t="str">
        <f>"201412002766"</f>
        <v>201412002766</v>
      </c>
    </row>
    <row r="32259" spans="1:2" x14ac:dyDescent="0.25">
      <c r="A32259" s="2">
        <v>32254</v>
      </c>
      <c r="B32259" s="3" t="str">
        <f>"201412002825"</f>
        <v>201412002825</v>
      </c>
    </row>
    <row r="32260" spans="1:2" x14ac:dyDescent="0.25">
      <c r="A32260" s="2">
        <v>32255</v>
      </c>
      <c r="B32260" s="3" t="str">
        <f>"201412002835"</f>
        <v>201412002835</v>
      </c>
    </row>
    <row r="32261" spans="1:2" x14ac:dyDescent="0.25">
      <c r="A32261" s="2">
        <v>32256</v>
      </c>
      <c r="B32261" s="3" t="str">
        <f>"201412002838"</f>
        <v>201412002838</v>
      </c>
    </row>
    <row r="32262" spans="1:2" x14ac:dyDescent="0.25">
      <c r="A32262" s="2">
        <v>32257</v>
      </c>
      <c r="B32262" s="3" t="str">
        <f>"201412002847"</f>
        <v>201412002847</v>
      </c>
    </row>
    <row r="32263" spans="1:2" x14ac:dyDescent="0.25">
      <c r="A32263" s="2">
        <v>32258</v>
      </c>
      <c r="B32263" s="3" t="str">
        <f>"201412002882"</f>
        <v>201412002882</v>
      </c>
    </row>
    <row r="32264" spans="1:2" x14ac:dyDescent="0.25">
      <c r="A32264" s="2">
        <v>32259</v>
      </c>
      <c r="B32264" s="3" t="str">
        <f>"201412002928"</f>
        <v>201412002928</v>
      </c>
    </row>
    <row r="32265" spans="1:2" x14ac:dyDescent="0.25">
      <c r="A32265" s="2">
        <v>32260</v>
      </c>
      <c r="B32265" s="3" t="str">
        <f>"201412002938"</f>
        <v>201412002938</v>
      </c>
    </row>
    <row r="32266" spans="1:2" x14ac:dyDescent="0.25">
      <c r="A32266" s="2">
        <v>32261</v>
      </c>
      <c r="B32266" s="3" t="str">
        <f>"201412002953"</f>
        <v>201412002953</v>
      </c>
    </row>
    <row r="32267" spans="1:2" x14ac:dyDescent="0.25">
      <c r="A32267" s="2">
        <v>32262</v>
      </c>
      <c r="B32267" s="3" t="str">
        <f>"201412002960"</f>
        <v>201412002960</v>
      </c>
    </row>
    <row r="32268" spans="1:2" x14ac:dyDescent="0.25">
      <c r="A32268" s="2">
        <v>32263</v>
      </c>
      <c r="B32268" s="3" t="str">
        <f>"201412002999"</f>
        <v>201412002999</v>
      </c>
    </row>
    <row r="32269" spans="1:2" x14ac:dyDescent="0.25">
      <c r="A32269" s="2">
        <v>32264</v>
      </c>
      <c r="B32269" s="3" t="str">
        <f>"201412003028"</f>
        <v>201412003028</v>
      </c>
    </row>
    <row r="32270" spans="1:2" x14ac:dyDescent="0.25">
      <c r="A32270" s="2">
        <v>32265</v>
      </c>
      <c r="B32270" s="3" t="str">
        <f>"201412003044"</f>
        <v>201412003044</v>
      </c>
    </row>
    <row r="32271" spans="1:2" x14ac:dyDescent="0.25">
      <c r="A32271" s="2">
        <v>32266</v>
      </c>
      <c r="B32271" s="3" t="str">
        <f>"201412003050"</f>
        <v>201412003050</v>
      </c>
    </row>
    <row r="32272" spans="1:2" x14ac:dyDescent="0.25">
      <c r="A32272" s="2">
        <v>32267</v>
      </c>
      <c r="B32272" s="3" t="str">
        <f>"201412003088"</f>
        <v>201412003088</v>
      </c>
    </row>
    <row r="32273" spans="1:2" x14ac:dyDescent="0.25">
      <c r="A32273" s="2">
        <v>32268</v>
      </c>
      <c r="B32273" s="3" t="str">
        <f>"201412003094"</f>
        <v>201412003094</v>
      </c>
    </row>
    <row r="32274" spans="1:2" x14ac:dyDescent="0.25">
      <c r="A32274" s="2">
        <v>32269</v>
      </c>
      <c r="B32274" s="3" t="str">
        <f>"201412003125"</f>
        <v>201412003125</v>
      </c>
    </row>
    <row r="32275" spans="1:2" x14ac:dyDescent="0.25">
      <c r="A32275" s="2">
        <v>32270</v>
      </c>
      <c r="B32275" s="3" t="str">
        <f>"201412003139"</f>
        <v>201412003139</v>
      </c>
    </row>
    <row r="32276" spans="1:2" x14ac:dyDescent="0.25">
      <c r="A32276" s="2">
        <v>32271</v>
      </c>
      <c r="B32276" s="3" t="str">
        <f>"201412003169"</f>
        <v>201412003169</v>
      </c>
    </row>
    <row r="32277" spans="1:2" x14ac:dyDescent="0.25">
      <c r="A32277" s="2">
        <v>32272</v>
      </c>
      <c r="B32277" s="3" t="str">
        <f>"201412003175"</f>
        <v>201412003175</v>
      </c>
    </row>
    <row r="32278" spans="1:2" x14ac:dyDescent="0.25">
      <c r="A32278" s="2">
        <v>32273</v>
      </c>
      <c r="B32278" s="3" t="str">
        <f>"201412003212"</f>
        <v>201412003212</v>
      </c>
    </row>
    <row r="32279" spans="1:2" x14ac:dyDescent="0.25">
      <c r="A32279" s="2">
        <v>32274</v>
      </c>
      <c r="B32279" s="3" t="str">
        <f>"201412003221"</f>
        <v>201412003221</v>
      </c>
    </row>
    <row r="32280" spans="1:2" x14ac:dyDescent="0.25">
      <c r="A32280" s="2">
        <v>32275</v>
      </c>
      <c r="B32280" s="3" t="str">
        <f>"201412003224"</f>
        <v>201412003224</v>
      </c>
    </row>
    <row r="32281" spans="1:2" x14ac:dyDescent="0.25">
      <c r="A32281" s="2">
        <v>32276</v>
      </c>
      <c r="B32281" s="3" t="str">
        <f>"201412003244"</f>
        <v>201412003244</v>
      </c>
    </row>
    <row r="32282" spans="1:2" x14ac:dyDescent="0.25">
      <c r="A32282" s="2">
        <v>32277</v>
      </c>
      <c r="B32282" s="3" t="str">
        <f>"201412003263"</f>
        <v>201412003263</v>
      </c>
    </row>
    <row r="32283" spans="1:2" x14ac:dyDescent="0.25">
      <c r="A32283" s="2">
        <v>32278</v>
      </c>
      <c r="B32283" s="3" t="str">
        <f>"201412003302"</f>
        <v>201412003302</v>
      </c>
    </row>
    <row r="32284" spans="1:2" x14ac:dyDescent="0.25">
      <c r="A32284" s="2">
        <v>32279</v>
      </c>
      <c r="B32284" s="3" t="str">
        <f>"201412003303"</f>
        <v>201412003303</v>
      </c>
    </row>
    <row r="32285" spans="1:2" x14ac:dyDescent="0.25">
      <c r="A32285" s="2">
        <v>32280</v>
      </c>
      <c r="B32285" s="3" t="str">
        <f>"201412003320"</f>
        <v>201412003320</v>
      </c>
    </row>
    <row r="32286" spans="1:2" x14ac:dyDescent="0.25">
      <c r="A32286" s="2">
        <v>32281</v>
      </c>
      <c r="B32286" s="3" t="str">
        <f>"201412003335"</f>
        <v>201412003335</v>
      </c>
    </row>
    <row r="32287" spans="1:2" x14ac:dyDescent="0.25">
      <c r="A32287" s="2">
        <v>32282</v>
      </c>
      <c r="B32287" s="3" t="str">
        <f>"201412003340"</f>
        <v>201412003340</v>
      </c>
    </row>
    <row r="32288" spans="1:2" x14ac:dyDescent="0.25">
      <c r="A32288" s="2">
        <v>32283</v>
      </c>
      <c r="B32288" s="3" t="str">
        <f>"201412003350"</f>
        <v>201412003350</v>
      </c>
    </row>
    <row r="32289" spans="1:2" x14ac:dyDescent="0.25">
      <c r="A32289" s="2">
        <v>32284</v>
      </c>
      <c r="B32289" s="3" t="str">
        <f>"201412003437"</f>
        <v>201412003437</v>
      </c>
    </row>
    <row r="32290" spans="1:2" x14ac:dyDescent="0.25">
      <c r="A32290" s="2">
        <v>32285</v>
      </c>
      <c r="B32290" s="3" t="str">
        <f>"201412003443"</f>
        <v>201412003443</v>
      </c>
    </row>
    <row r="32291" spans="1:2" x14ac:dyDescent="0.25">
      <c r="A32291" s="2">
        <v>32286</v>
      </c>
      <c r="B32291" s="3" t="str">
        <f>"201412003482"</f>
        <v>201412003482</v>
      </c>
    </row>
    <row r="32292" spans="1:2" x14ac:dyDescent="0.25">
      <c r="A32292" s="2">
        <v>32287</v>
      </c>
      <c r="B32292" s="3" t="str">
        <f>"201412003501"</f>
        <v>201412003501</v>
      </c>
    </row>
    <row r="32293" spans="1:2" x14ac:dyDescent="0.25">
      <c r="A32293" s="2">
        <v>32288</v>
      </c>
      <c r="B32293" s="3" t="str">
        <f>"201412003511"</f>
        <v>201412003511</v>
      </c>
    </row>
    <row r="32294" spans="1:2" x14ac:dyDescent="0.25">
      <c r="A32294" s="2">
        <v>32289</v>
      </c>
      <c r="B32294" s="3" t="str">
        <f>"201412003544"</f>
        <v>201412003544</v>
      </c>
    </row>
    <row r="32295" spans="1:2" x14ac:dyDescent="0.25">
      <c r="A32295" s="2">
        <v>32290</v>
      </c>
      <c r="B32295" s="3" t="str">
        <f>"201412003581"</f>
        <v>201412003581</v>
      </c>
    </row>
    <row r="32296" spans="1:2" x14ac:dyDescent="0.25">
      <c r="A32296" s="2">
        <v>32291</v>
      </c>
      <c r="B32296" s="3" t="str">
        <f>"201412003583"</f>
        <v>201412003583</v>
      </c>
    </row>
    <row r="32297" spans="1:2" x14ac:dyDescent="0.25">
      <c r="A32297" s="2">
        <v>32292</v>
      </c>
      <c r="B32297" s="3" t="str">
        <f>"201412003620"</f>
        <v>201412003620</v>
      </c>
    </row>
    <row r="32298" spans="1:2" x14ac:dyDescent="0.25">
      <c r="A32298" s="2">
        <v>32293</v>
      </c>
      <c r="B32298" s="3" t="str">
        <f>"201412003622"</f>
        <v>201412003622</v>
      </c>
    </row>
    <row r="32299" spans="1:2" x14ac:dyDescent="0.25">
      <c r="A32299" s="2">
        <v>32294</v>
      </c>
      <c r="B32299" s="3" t="str">
        <f>"201412003633"</f>
        <v>201412003633</v>
      </c>
    </row>
    <row r="32300" spans="1:2" x14ac:dyDescent="0.25">
      <c r="A32300" s="2">
        <v>32295</v>
      </c>
      <c r="B32300" s="3" t="str">
        <f>"201412003685"</f>
        <v>201412003685</v>
      </c>
    </row>
    <row r="32301" spans="1:2" x14ac:dyDescent="0.25">
      <c r="A32301" s="2">
        <v>32296</v>
      </c>
      <c r="B32301" s="3" t="str">
        <f>"201412003714"</f>
        <v>201412003714</v>
      </c>
    </row>
    <row r="32302" spans="1:2" x14ac:dyDescent="0.25">
      <c r="A32302" s="2">
        <v>32297</v>
      </c>
      <c r="B32302" s="3" t="str">
        <f>"201412003731"</f>
        <v>201412003731</v>
      </c>
    </row>
    <row r="32303" spans="1:2" x14ac:dyDescent="0.25">
      <c r="A32303" s="2">
        <v>32298</v>
      </c>
      <c r="B32303" s="3" t="str">
        <f>"201412003757"</f>
        <v>201412003757</v>
      </c>
    </row>
    <row r="32304" spans="1:2" x14ac:dyDescent="0.25">
      <c r="A32304" s="2">
        <v>32299</v>
      </c>
      <c r="B32304" s="3" t="str">
        <f>"201412003770"</f>
        <v>201412003770</v>
      </c>
    </row>
    <row r="32305" spans="1:2" x14ac:dyDescent="0.25">
      <c r="A32305" s="2">
        <v>32300</v>
      </c>
      <c r="B32305" s="3" t="str">
        <f>"201412003806"</f>
        <v>201412003806</v>
      </c>
    </row>
    <row r="32306" spans="1:2" x14ac:dyDescent="0.25">
      <c r="A32306" s="2">
        <v>32301</v>
      </c>
      <c r="B32306" s="3" t="str">
        <f>"201412003825"</f>
        <v>201412003825</v>
      </c>
    </row>
    <row r="32307" spans="1:2" x14ac:dyDescent="0.25">
      <c r="A32307" s="2">
        <v>32302</v>
      </c>
      <c r="B32307" s="3" t="str">
        <f>"201412003865"</f>
        <v>201412003865</v>
      </c>
    </row>
    <row r="32308" spans="1:2" x14ac:dyDescent="0.25">
      <c r="A32308" s="2">
        <v>32303</v>
      </c>
      <c r="B32308" s="3" t="str">
        <f>"201412003887"</f>
        <v>201412003887</v>
      </c>
    </row>
    <row r="32309" spans="1:2" x14ac:dyDescent="0.25">
      <c r="A32309" s="2">
        <v>32304</v>
      </c>
      <c r="B32309" s="3" t="str">
        <f>"201412003890"</f>
        <v>201412003890</v>
      </c>
    </row>
    <row r="32310" spans="1:2" x14ac:dyDescent="0.25">
      <c r="A32310" s="2">
        <v>32305</v>
      </c>
      <c r="B32310" s="3" t="str">
        <f>"201412003891"</f>
        <v>201412003891</v>
      </c>
    </row>
    <row r="32311" spans="1:2" x14ac:dyDescent="0.25">
      <c r="A32311" s="2">
        <v>32306</v>
      </c>
      <c r="B32311" s="3" t="str">
        <f>"201412003893"</f>
        <v>201412003893</v>
      </c>
    </row>
    <row r="32312" spans="1:2" x14ac:dyDescent="0.25">
      <c r="A32312" s="2">
        <v>32307</v>
      </c>
      <c r="B32312" s="3" t="str">
        <f>"201412003895"</f>
        <v>201412003895</v>
      </c>
    </row>
    <row r="32313" spans="1:2" x14ac:dyDescent="0.25">
      <c r="A32313" s="2">
        <v>32308</v>
      </c>
      <c r="B32313" s="3" t="str">
        <f>"201412003914"</f>
        <v>201412003914</v>
      </c>
    </row>
    <row r="32314" spans="1:2" x14ac:dyDescent="0.25">
      <c r="A32314" s="2">
        <v>32309</v>
      </c>
      <c r="B32314" s="3" t="str">
        <f>"201412003943"</f>
        <v>201412003943</v>
      </c>
    </row>
    <row r="32315" spans="1:2" x14ac:dyDescent="0.25">
      <c r="A32315" s="2">
        <v>32310</v>
      </c>
      <c r="B32315" s="3" t="str">
        <f>"201412003962"</f>
        <v>201412003962</v>
      </c>
    </row>
    <row r="32316" spans="1:2" x14ac:dyDescent="0.25">
      <c r="A32316" s="2">
        <v>32311</v>
      </c>
      <c r="B32316" s="3" t="str">
        <f>"201412004027"</f>
        <v>201412004027</v>
      </c>
    </row>
    <row r="32317" spans="1:2" x14ac:dyDescent="0.25">
      <c r="A32317" s="2">
        <v>32312</v>
      </c>
      <c r="B32317" s="3" t="str">
        <f>"201412004082"</f>
        <v>201412004082</v>
      </c>
    </row>
    <row r="32318" spans="1:2" x14ac:dyDescent="0.25">
      <c r="A32318" s="2">
        <v>32313</v>
      </c>
      <c r="B32318" s="3" t="str">
        <f>"201412004093"</f>
        <v>201412004093</v>
      </c>
    </row>
    <row r="32319" spans="1:2" x14ac:dyDescent="0.25">
      <c r="A32319" s="2">
        <v>32314</v>
      </c>
      <c r="B32319" s="3" t="str">
        <f>"201412004120"</f>
        <v>201412004120</v>
      </c>
    </row>
    <row r="32320" spans="1:2" x14ac:dyDescent="0.25">
      <c r="A32320" s="2">
        <v>32315</v>
      </c>
      <c r="B32320" s="3" t="str">
        <f>"201412004121"</f>
        <v>201412004121</v>
      </c>
    </row>
    <row r="32321" spans="1:2" x14ac:dyDescent="0.25">
      <c r="A32321" s="2">
        <v>32316</v>
      </c>
      <c r="B32321" s="3" t="str">
        <f>"201412004129"</f>
        <v>201412004129</v>
      </c>
    </row>
    <row r="32322" spans="1:2" x14ac:dyDescent="0.25">
      <c r="A32322" s="2">
        <v>32317</v>
      </c>
      <c r="B32322" s="3" t="str">
        <f>"201412004131"</f>
        <v>201412004131</v>
      </c>
    </row>
    <row r="32323" spans="1:2" x14ac:dyDescent="0.25">
      <c r="A32323" s="2">
        <v>32318</v>
      </c>
      <c r="B32323" s="3" t="str">
        <f>"201412004152"</f>
        <v>201412004152</v>
      </c>
    </row>
    <row r="32324" spans="1:2" x14ac:dyDescent="0.25">
      <c r="A32324" s="2">
        <v>32319</v>
      </c>
      <c r="B32324" s="3" t="str">
        <f>"201412004183"</f>
        <v>201412004183</v>
      </c>
    </row>
    <row r="32325" spans="1:2" x14ac:dyDescent="0.25">
      <c r="A32325" s="2">
        <v>32320</v>
      </c>
      <c r="B32325" s="3" t="str">
        <f>"201412004184"</f>
        <v>201412004184</v>
      </c>
    </row>
    <row r="32326" spans="1:2" x14ac:dyDescent="0.25">
      <c r="A32326" s="2">
        <v>32321</v>
      </c>
      <c r="B32326" s="3" t="str">
        <f>"201412004198"</f>
        <v>201412004198</v>
      </c>
    </row>
    <row r="32327" spans="1:2" x14ac:dyDescent="0.25">
      <c r="A32327" s="2">
        <v>32322</v>
      </c>
      <c r="B32327" s="3" t="str">
        <f>"201412004231"</f>
        <v>201412004231</v>
      </c>
    </row>
    <row r="32328" spans="1:2" x14ac:dyDescent="0.25">
      <c r="A32328" s="2">
        <v>32323</v>
      </c>
      <c r="B32328" s="3" t="str">
        <f>"201412004285"</f>
        <v>201412004285</v>
      </c>
    </row>
    <row r="32329" spans="1:2" x14ac:dyDescent="0.25">
      <c r="A32329" s="2">
        <v>32324</v>
      </c>
      <c r="B32329" s="3" t="str">
        <f>"201412004318"</f>
        <v>201412004318</v>
      </c>
    </row>
    <row r="32330" spans="1:2" x14ac:dyDescent="0.25">
      <c r="A32330" s="2">
        <v>32325</v>
      </c>
      <c r="B32330" s="3" t="str">
        <f>"201412004344"</f>
        <v>201412004344</v>
      </c>
    </row>
    <row r="32331" spans="1:2" x14ac:dyDescent="0.25">
      <c r="A32331" s="2">
        <v>32326</v>
      </c>
      <c r="B32331" s="3" t="str">
        <f>"201412004381"</f>
        <v>201412004381</v>
      </c>
    </row>
    <row r="32332" spans="1:2" x14ac:dyDescent="0.25">
      <c r="A32332" s="2">
        <v>32327</v>
      </c>
      <c r="B32332" s="3" t="str">
        <f>"201412004383"</f>
        <v>201412004383</v>
      </c>
    </row>
    <row r="32333" spans="1:2" x14ac:dyDescent="0.25">
      <c r="A32333" s="2">
        <v>32328</v>
      </c>
      <c r="B32333" s="3" t="str">
        <f>"201412004402"</f>
        <v>201412004402</v>
      </c>
    </row>
    <row r="32334" spans="1:2" x14ac:dyDescent="0.25">
      <c r="A32334" s="2">
        <v>32329</v>
      </c>
      <c r="B32334" s="3" t="str">
        <f>"201412004459"</f>
        <v>201412004459</v>
      </c>
    </row>
    <row r="32335" spans="1:2" x14ac:dyDescent="0.25">
      <c r="A32335" s="2">
        <v>32330</v>
      </c>
      <c r="B32335" s="3" t="str">
        <f>"201412004517"</f>
        <v>201412004517</v>
      </c>
    </row>
    <row r="32336" spans="1:2" x14ac:dyDescent="0.25">
      <c r="A32336" s="2">
        <v>32331</v>
      </c>
      <c r="B32336" s="3" t="str">
        <f>"201412004519"</f>
        <v>201412004519</v>
      </c>
    </row>
    <row r="32337" spans="1:2" x14ac:dyDescent="0.25">
      <c r="A32337" s="2">
        <v>32332</v>
      </c>
      <c r="B32337" s="3" t="str">
        <f>"201412004529"</f>
        <v>201412004529</v>
      </c>
    </row>
    <row r="32338" spans="1:2" x14ac:dyDescent="0.25">
      <c r="A32338" s="2">
        <v>32333</v>
      </c>
      <c r="B32338" s="3" t="str">
        <f>"201412004595"</f>
        <v>201412004595</v>
      </c>
    </row>
    <row r="32339" spans="1:2" x14ac:dyDescent="0.25">
      <c r="A32339" s="2">
        <v>32334</v>
      </c>
      <c r="B32339" s="3" t="str">
        <f>"201412004629"</f>
        <v>201412004629</v>
      </c>
    </row>
    <row r="32340" spans="1:2" x14ac:dyDescent="0.25">
      <c r="A32340" s="2">
        <v>32335</v>
      </c>
      <c r="B32340" s="3" t="str">
        <f>"201412004634"</f>
        <v>201412004634</v>
      </c>
    </row>
    <row r="32341" spans="1:2" x14ac:dyDescent="0.25">
      <c r="A32341" s="2">
        <v>32336</v>
      </c>
      <c r="B32341" s="3" t="str">
        <f>"201412004638"</f>
        <v>201412004638</v>
      </c>
    </row>
    <row r="32342" spans="1:2" x14ac:dyDescent="0.25">
      <c r="A32342" s="2">
        <v>32337</v>
      </c>
      <c r="B32342" s="3" t="str">
        <f>"201412004669"</f>
        <v>201412004669</v>
      </c>
    </row>
    <row r="32343" spans="1:2" x14ac:dyDescent="0.25">
      <c r="A32343" s="2">
        <v>32338</v>
      </c>
      <c r="B32343" s="3" t="str">
        <f>"201412004674"</f>
        <v>201412004674</v>
      </c>
    </row>
    <row r="32344" spans="1:2" x14ac:dyDescent="0.25">
      <c r="A32344" s="2">
        <v>32339</v>
      </c>
      <c r="B32344" s="3" t="str">
        <f>"201412004731"</f>
        <v>201412004731</v>
      </c>
    </row>
    <row r="32345" spans="1:2" x14ac:dyDescent="0.25">
      <c r="A32345" s="2">
        <v>32340</v>
      </c>
      <c r="B32345" s="3" t="str">
        <f>"201412004759"</f>
        <v>201412004759</v>
      </c>
    </row>
    <row r="32346" spans="1:2" x14ac:dyDescent="0.25">
      <c r="A32346" s="2">
        <v>32341</v>
      </c>
      <c r="B32346" s="3" t="str">
        <f>"201412004772"</f>
        <v>201412004772</v>
      </c>
    </row>
    <row r="32347" spans="1:2" x14ac:dyDescent="0.25">
      <c r="A32347" s="2">
        <v>32342</v>
      </c>
      <c r="B32347" s="3" t="str">
        <f>"201412004856"</f>
        <v>201412004856</v>
      </c>
    </row>
    <row r="32348" spans="1:2" x14ac:dyDescent="0.25">
      <c r="A32348" s="2">
        <v>32343</v>
      </c>
      <c r="B32348" s="3" t="str">
        <f>"201412004876"</f>
        <v>201412004876</v>
      </c>
    </row>
    <row r="32349" spans="1:2" x14ac:dyDescent="0.25">
      <c r="A32349" s="2">
        <v>32344</v>
      </c>
      <c r="B32349" s="3" t="str">
        <f>"201412004907"</f>
        <v>201412004907</v>
      </c>
    </row>
    <row r="32350" spans="1:2" x14ac:dyDescent="0.25">
      <c r="A32350" s="2">
        <v>32345</v>
      </c>
      <c r="B32350" s="3" t="str">
        <f>"201412004908"</f>
        <v>201412004908</v>
      </c>
    </row>
    <row r="32351" spans="1:2" x14ac:dyDescent="0.25">
      <c r="A32351" s="2">
        <v>32346</v>
      </c>
      <c r="B32351" s="3" t="str">
        <f>"201412004910"</f>
        <v>201412004910</v>
      </c>
    </row>
    <row r="32352" spans="1:2" x14ac:dyDescent="0.25">
      <c r="A32352" s="2">
        <v>32347</v>
      </c>
      <c r="B32352" s="3" t="str">
        <f>"201412004928"</f>
        <v>201412004928</v>
      </c>
    </row>
    <row r="32353" spans="1:2" x14ac:dyDescent="0.25">
      <c r="A32353" s="2">
        <v>32348</v>
      </c>
      <c r="B32353" s="3" t="str">
        <f>"201412004932"</f>
        <v>201412004932</v>
      </c>
    </row>
    <row r="32354" spans="1:2" x14ac:dyDescent="0.25">
      <c r="A32354" s="2">
        <v>32349</v>
      </c>
      <c r="B32354" s="3" t="str">
        <f>"201412004996"</f>
        <v>201412004996</v>
      </c>
    </row>
    <row r="32355" spans="1:2" x14ac:dyDescent="0.25">
      <c r="A32355" s="2">
        <v>32350</v>
      </c>
      <c r="B32355" s="3" t="str">
        <f>"201412005013"</f>
        <v>201412005013</v>
      </c>
    </row>
    <row r="32356" spans="1:2" x14ac:dyDescent="0.25">
      <c r="A32356" s="2">
        <v>32351</v>
      </c>
      <c r="B32356" s="3" t="str">
        <f>"201412005023"</f>
        <v>201412005023</v>
      </c>
    </row>
    <row r="32357" spans="1:2" x14ac:dyDescent="0.25">
      <c r="A32357" s="2">
        <v>32352</v>
      </c>
      <c r="B32357" s="3" t="str">
        <f>"201412005087"</f>
        <v>201412005087</v>
      </c>
    </row>
    <row r="32358" spans="1:2" x14ac:dyDescent="0.25">
      <c r="A32358" s="2">
        <v>32353</v>
      </c>
      <c r="B32358" s="3" t="str">
        <f>"201412005137"</f>
        <v>201412005137</v>
      </c>
    </row>
    <row r="32359" spans="1:2" x14ac:dyDescent="0.25">
      <c r="A32359" s="2">
        <v>32354</v>
      </c>
      <c r="B32359" s="3" t="str">
        <f>"201412005142"</f>
        <v>201412005142</v>
      </c>
    </row>
    <row r="32360" spans="1:2" x14ac:dyDescent="0.25">
      <c r="A32360" s="2">
        <v>32355</v>
      </c>
      <c r="B32360" s="3" t="str">
        <f>"201412005154"</f>
        <v>201412005154</v>
      </c>
    </row>
    <row r="32361" spans="1:2" x14ac:dyDescent="0.25">
      <c r="A32361" s="2">
        <v>32356</v>
      </c>
      <c r="B32361" s="3" t="str">
        <f>"201412005160"</f>
        <v>201412005160</v>
      </c>
    </row>
    <row r="32362" spans="1:2" x14ac:dyDescent="0.25">
      <c r="A32362" s="2">
        <v>32357</v>
      </c>
      <c r="B32362" s="3" t="str">
        <f>"201412005191"</f>
        <v>201412005191</v>
      </c>
    </row>
    <row r="32363" spans="1:2" x14ac:dyDescent="0.25">
      <c r="A32363" s="2">
        <v>32358</v>
      </c>
      <c r="B32363" s="3" t="str">
        <f>"201412005210"</f>
        <v>201412005210</v>
      </c>
    </row>
    <row r="32364" spans="1:2" x14ac:dyDescent="0.25">
      <c r="A32364" s="2">
        <v>32359</v>
      </c>
      <c r="B32364" s="3" t="str">
        <f>"201412005251"</f>
        <v>201412005251</v>
      </c>
    </row>
    <row r="32365" spans="1:2" x14ac:dyDescent="0.25">
      <c r="A32365" s="2">
        <v>32360</v>
      </c>
      <c r="B32365" s="3" t="str">
        <f>"201412005257"</f>
        <v>201412005257</v>
      </c>
    </row>
    <row r="32366" spans="1:2" x14ac:dyDescent="0.25">
      <c r="A32366" s="2">
        <v>32361</v>
      </c>
      <c r="B32366" s="3" t="str">
        <f>"201412005268"</f>
        <v>201412005268</v>
      </c>
    </row>
    <row r="32367" spans="1:2" x14ac:dyDescent="0.25">
      <c r="A32367" s="2">
        <v>32362</v>
      </c>
      <c r="B32367" s="3" t="str">
        <f>"201412005306"</f>
        <v>201412005306</v>
      </c>
    </row>
    <row r="32368" spans="1:2" x14ac:dyDescent="0.25">
      <c r="A32368" s="2">
        <v>32363</v>
      </c>
      <c r="B32368" s="3" t="str">
        <f>"201412005327"</f>
        <v>201412005327</v>
      </c>
    </row>
    <row r="32369" spans="1:2" x14ac:dyDescent="0.25">
      <c r="A32369" s="2">
        <v>32364</v>
      </c>
      <c r="B32369" s="3" t="str">
        <f>"201412005331"</f>
        <v>201412005331</v>
      </c>
    </row>
    <row r="32370" spans="1:2" x14ac:dyDescent="0.25">
      <c r="A32370" s="2">
        <v>32365</v>
      </c>
      <c r="B32370" s="3" t="str">
        <f>"201412005339"</f>
        <v>201412005339</v>
      </c>
    </row>
    <row r="32371" spans="1:2" x14ac:dyDescent="0.25">
      <c r="A32371" s="2">
        <v>32366</v>
      </c>
      <c r="B32371" s="3" t="str">
        <f>"201412005371"</f>
        <v>201412005371</v>
      </c>
    </row>
    <row r="32372" spans="1:2" x14ac:dyDescent="0.25">
      <c r="A32372" s="2">
        <v>32367</v>
      </c>
      <c r="B32372" s="3" t="str">
        <f>"201412005396"</f>
        <v>201412005396</v>
      </c>
    </row>
    <row r="32373" spans="1:2" x14ac:dyDescent="0.25">
      <c r="A32373" s="2">
        <v>32368</v>
      </c>
      <c r="B32373" s="3" t="str">
        <f>"201412005465"</f>
        <v>201412005465</v>
      </c>
    </row>
    <row r="32374" spans="1:2" x14ac:dyDescent="0.25">
      <c r="A32374" s="2">
        <v>32369</v>
      </c>
      <c r="B32374" s="3" t="str">
        <f>"201412005500"</f>
        <v>201412005500</v>
      </c>
    </row>
    <row r="32375" spans="1:2" x14ac:dyDescent="0.25">
      <c r="A32375" s="2">
        <v>32370</v>
      </c>
      <c r="B32375" s="3" t="str">
        <f>"201412005539"</f>
        <v>201412005539</v>
      </c>
    </row>
    <row r="32376" spans="1:2" x14ac:dyDescent="0.25">
      <c r="A32376" s="2">
        <v>32371</v>
      </c>
      <c r="B32376" s="3" t="str">
        <f>"201412005594"</f>
        <v>201412005594</v>
      </c>
    </row>
    <row r="32377" spans="1:2" x14ac:dyDescent="0.25">
      <c r="A32377" s="2">
        <v>32372</v>
      </c>
      <c r="B32377" s="3" t="str">
        <f>"201412005596"</f>
        <v>201412005596</v>
      </c>
    </row>
    <row r="32378" spans="1:2" x14ac:dyDescent="0.25">
      <c r="A32378" s="2">
        <v>32373</v>
      </c>
      <c r="B32378" s="3" t="str">
        <f>"201412005601"</f>
        <v>201412005601</v>
      </c>
    </row>
    <row r="32379" spans="1:2" x14ac:dyDescent="0.25">
      <c r="A32379" s="2">
        <v>32374</v>
      </c>
      <c r="B32379" s="3" t="str">
        <f>"201412005619"</f>
        <v>201412005619</v>
      </c>
    </row>
    <row r="32380" spans="1:2" x14ac:dyDescent="0.25">
      <c r="A32380" s="2">
        <v>32375</v>
      </c>
      <c r="B32380" s="3" t="str">
        <f>"201412005625"</f>
        <v>201412005625</v>
      </c>
    </row>
    <row r="32381" spans="1:2" x14ac:dyDescent="0.25">
      <c r="A32381" s="2">
        <v>32376</v>
      </c>
      <c r="B32381" s="3" t="str">
        <f>"201412005632"</f>
        <v>201412005632</v>
      </c>
    </row>
    <row r="32382" spans="1:2" x14ac:dyDescent="0.25">
      <c r="A32382" s="2">
        <v>32377</v>
      </c>
      <c r="B32382" s="3" t="str">
        <f>"201412005644"</f>
        <v>201412005644</v>
      </c>
    </row>
    <row r="32383" spans="1:2" x14ac:dyDescent="0.25">
      <c r="A32383" s="2">
        <v>32378</v>
      </c>
      <c r="B32383" s="3" t="str">
        <f>"201412005695"</f>
        <v>201412005695</v>
      </c>
    </row>
    <row r="32384" spans="1:2" x14ac:dyDescent="0.25">
      <c r="A32384" s="2">
        <v>32379</v>
      </c>
      <c r="B32384" s="3" t="str">
        <f>"201412005712"</f>
        <v>201412005712</v>
      </c>
    </row>
    <row r="32385" spans="1:2" x14ac:dyDescent="0.25">
      <c r="A32385" s="2">
        <v>32380</v>
      </c>
      <c r="B32385" s="3" t="str">
        <f>"201412005716"</f>
        <v>201412005716</v>
      </c>
    </row>
    <row r="32386" spans="1:2" x14ac:dyDescent="0.25">
      <c r="A32386" s="2">
        <v>32381</v>
      </c>
      <c r="B32386" s="3" t="str">
        <f>"201412005718"</f>
        <v>201412005718</v>
      </c>
    </row>
    <row r="32387" spans="1:2" x14ac:dyDescent="0.25">
      <c r="A32387" s="2">
        <v>32382</v>
      </c>
      <c r="B32387" s="3" t="str">
        <f>"201412005729"</f>
        <v>201412005729</v>
      </c>
    </row>
    <row r="32388" spans="1:2" x14ac:dyDescent="0.25">
      <c r="A32388" s="2">
        <v>32383</v>
      </c>
      <c r="B32388" s="3" t="str">
        <f>"201412005767"</f>
        <v>201412005767</v>
      </c>
    </row>
    <row r="32389" spans="1:2" x14ac:dyDescent="0.25">
      <c r="A32389" s="2">
        <v>32384</v>
      </c>
      <c r="B32389" s="3" t="str">
        <f>"201412005816"</f>
        <v>201412005816</v>
      </c>
    </row>
    <row r="32390" spans="1:2" x14ac:dyDescent="0.25">
      <c r="A32390" s="2">
        <v>32385</v>
      </c>
      <c r="B32390" s="3" t="str">
        <f>"201412005819"</f>
        <v>201412005819</v>
      </c>
    </row>
    <row r="32391" spans="1:2" x14ac:dyDescent="0.25">
      <c r="A32391" s="2">
        <v>32386</v>
      </c>
      <c r="B32391" s="3" t="str">
        <f>"201412005827"</f>
        <v>201412005827</v>
      </c>
    </row>
    <row r="32392" spans="1:2" x14ac:dyDescent="0.25">
      <c r="A32392" s="2">
        <v>32387</v>
      </c>
      <c r="B32392" s="3" t="str">
        <f>"201412005845"</f>
        <v>201412005845</v>
      </c>
    </row>
    <row r="32393" spans="1:2" x14ac:dyDescent="0.25">
      <c r="A32393" s="2">
        <v>32388</v>
      </c>
      <c r="B32393" s="3" t="str">
        <f>"201412005851"</f>
        <v>201412005851</v>
      </c>
    </row>
    <row r="32394" spans="1:2" x14ac:dyDescent="0.25">
      <c r="A32394" s="2">
        <v>32389</v>
      </c>
      <c r="B32394" s="3" t="str">
        <f>"201412005853"</f>
        <v>201412005853</v>
      </c>
    </row>
    <row r="32395" spans="1:2" x14ac:dyDescent="0.25">
      <c r="A32395" s="2">
        <v>32390</v>
      </c>
      <c r="B32395" s="3" t="str">
        <f>"201412005865"</f>
        <v>201412005865</v>
      </c>
    </row>
    <row r="32396" spans="1:2" x14ac:dyDescent="0.25">
      <c r="A32396" s="2">
        <v>32391</v>
      </c>
      <c r="B32396" s="3" t="str">
        <f>"201412005867"</f>
        <v>201412005867</v>
      </c>
    </row>
    <row r="32397" spans="1:2" x14ac:dyDescent="0.25">
      <c r="A32397" s="2">
        <v>32392</v>
      </c>
      <c r="B32397" s="3" t="str">
        <f>"201412005869"</f>
        <v>201412005869</v>
      </c>
    </row>
    <row r="32398" spans="1:2" x14ac:dyDescent="0.25">
      <c r="A32398" s="2">
        <v>32393</v>
      </c>
      <c r="B32398" s="3" t="str">
        <f>"201412005892"</f>
        <v>201412005892</v>
      </c>
    </row>
    <row r="32399" spans="1:2" x14ac:dyDescent="0.25">
      <c r="A32399" s="2">
        <v>32394</v>
      </c>
      <c r="B32399" s="3" t="str">
        <f>"201412005943"</f>
        <v>201412005943</v>
      </c>
    </row>
    <row r="32400" spans="1:2" x14ac:dyDescent="0.25">
      <c r="A32400" s="2">
        <v>32395</v>
      </c>
      <c r="B32400" s="3" t="str">
        <f>"201412005999"</f>
        <v>201412005999</v>
      </c>
    </row>
    <row r="32401" spans="1:2" x14ac:dyDescent="0.25">
      <c r="A32401" s="2">
        <v>32396</v>
      </c>
      <c r="B32401" s="3" t="str">
        <f>"201412006012"</f>
        <v>201412006012</v>
      </c>
    </row>
    <row r="32402" spans="1:2" x14ac:dyDescent="0.25">
      <c r="A32402" s="2">
        <v>32397</v>
      </c>
      <c r="B32402" s="3" t="str">
        <f>"201412006013"</f>
        <v>201412006013</v>
      </c>
    </row>
    <row r="32403" spans="1:2" x14ac:dyDescent="0.25">
      <c r="A32403" s="2">
        <v>32398</v>
      </c>
      <c r="B32403" s="3" t="str">
        <f>"201412006024"</f>
        <v>201412006024</v>
      </c>
    </row>
    <row r="32404" spans="1:2" x14ac:dyDescent="0.25">
      <c r="A32404" s="2">
        <v>32399</v>
      </c>
      <c r="B32404" s="3" t="str">
        <f>"201412006034"</f>
        <v>201412006034</v>
      </c>
    </row>
    <row r="32405" spans="1:2" x14ac:dyDescent="0.25">
      <c r="A32405" s="2">
        <v>32400</v>
      </c>
      <c r="B32405" s="3" t="str">
        <f>"201412006122"</f>
        <v>201412006122</v>
      </c>
    </row>
    <row r="32406" spans="1:2" x14ac:dyDescent="0.25">
      <c r="A32406" s="2">
        <v>32401</v>
      </c>
      <c r="B32406" s="3" t="str">
        <f>"201412006142"</f>
        <v>201412006142</v>
      </c>
    </row>
    <row r="32407" spans="1:2" x14ac:dyDescent="0.25">
      <c r="A32407" s="2">
        <v>32402</v>
      </c>
      <c r="B32407" s="3" t="str">
        <f>"201412006144"</f>
        <v>201412006144</v>
      </c>
    </row>
    <row r="32408" spans="1:2" x14ac:dyDescent="0.25">
      <c r="A32408" s="2">
        <v>32403</v>
      </c>
      <c r="B32408" s="3" t="str">
        <f>"201412006146"</f>
        <v>201412006146</v>
      </c>
    </row>
    <row r="32409" spans="1:2" x14ac:dyDescent="0.25">
      <c r="A32409" s="2">
        <v>32404</v>
      </c>
      <c r="B32409" s="3" t="str">
        <f>"201412006175"</f>
        <v>201412006175</v>
      </c>
    </row>
    <row r="32410" spans="1:2" x14ac:dyDescent="0.25">
      <c r="A32410" s="2">
        <v>32405</v>
      </c>
      <c r="B32410" s="3" t="str">
        <f>"201412006314"</f>
        <v>201412006314</v>
      </c>
    </row>
    <row r="32411" spans="1:2" x14ac:dyDescent="0.25">
      <c r="A32411" s="2">
        <v>32406</v>
      </c>
      <c r="B32411" s="3" t="str">
        <f>"201412006327"</f>
        <v>201412006327</v>
      </c>
    </row>
    <row r="32412" spans="1:2" x14ac:dyDescent="0.25">
      <c r="A32412" s="2">
        <v>32407</v>
      </c>
      <c r="B32412" s="3" t="str">
        <f>"201412006346"</f>
        <v>201412006346</v>
      </c>
    </row>
    <row r="32413" spans="1:2" x14ac:dyDescent="0.25">
      <c r="A32413" s="2">
        <v>32408</v>
      </c>
      <c r="B32413" s="3" t="str">
        <f>"201412006363"</f>
        <v>201412006363</v>
      </c>
    </row>
    <row r="32414" spans="1:2" x14ac:dyDescent="0.25">
      <c r="A32414" s="2">
        <v>32409</v>
      </c>
      <c r="B32414" s="3" t="str">
        <f>"201412006370"</f>
        <v>201412006370</v>
      </c>
    </row>
    <row r="32415" spans="1:2" x14ac:dyDescent="0.25">
      <c r="A32415" s="2">
        <v>32410</v>
      </c>
      <c r="B32415" s="3" t="str">
        <f>"201412006385"</f>
        <v>201412006385</v>
      </c>
    </row>
    <row r="32416" spans="1:2" x14ac:dyDescent="0.25">
      <c r="A32416" s="2">
        <v>32411</v>
      </c>
      <c r="B32416" s="3" t="str">
        <f>"201412006393"</f>
        <v>201412006393</v>
      </c>
    </row>
    <row r="32417" spans="1:2" x14ac:dyDescent="0.25">
      <c r="A32417" s="2">
        <v>32412</v>
      </c>
      <c r="B32417" s="3" t="str">
        <f>"201412006412"</f>
        <v>201412006412</v>
      </c>
    </row>
    <row r="32418" spans="1:2" x14ac:dyDescent="0.25">
      <c r="A32418" s="2">
        <v>32413</v>
      </c>
      <c r="B32418" s="3" t="str">
        <f>"201412006436"</f>
        <v>201412006436</v>
      </c>
    </row>
    <row r="32419" spans="1:2" x14ac:dyDescent="0.25">
      <c r="A32419" s="2">
        <v>32414</v>
      </c>
      <c r="B32419" s="3" t="str">
        <f>"201412006437"</f>
        <v>201412006437</v>
      </c>
    </row>
    <row r="32420" spans="1:2" x14ac:dyDescent="0.25">
      <c r="A32420" s="2">
        <v>32415</v>
      </c>
      <c r="B32420" s="3" t="str">
        <f>"201412006445"</f>
        <v>201412006445</v>
      </c>
    </row>
    <row r="32421" spans="1:2" x14ac:dyDescent="0.25">
      <c r="A32421" s="2">
        <v>32416</v>
      </c>
      <c r="B32421" s="3" t="str">
        <f>"201412006446"</f>
        <v>201412006446</v>
      </c>
    </row>
    <row r="32422" spans="1:2" x14ac:dyDescent="0.25">
      <c r="A32422" s="2">
        <v>32417</v>
      </c>
      <c r="B32422" s="3" t="str">
        <f>"201412006451"</f>
        <v>201412006451</v>
      </c>
    </row>
    <row r="32423" spans="1:2" x14ac:dyDescent="0.25">
      <c r="A32423" s="2">
        <v>32418</v>
      </c>
      <c r="B32423" s="3" t="str">
        <f>"201412006462"</f>
        <v>201412006462</v>
      </c>
    </row>
    <row r="32424" spans="1:2" x14ac:dyDescent="0.25">
      <c r="A32424" s="2">
        <v>32419</v>
      </c>
      <c r="B32424" s="3" t="str">
        <f>"201412006463"</f>
        <v>201412006463</v>
      </c>
    </row>
    <row r="32425" spans="1:2" x14ac:dyDescent="0.25">
      <c r="A32425" s="2">
        <v>32420</v>
      </c>
      <c r="B32425" s="3" t="str">
        <f>"201412006468"</f>
        <v>201412006468</v>
      </c>
    </row>
    <row r="32426" spans="1:2" x14ac:dyDescent="0.25">
      <c r="A32426" s="2">
        <v>32421</v>
      </c>
      <c r="B32426" s="3" t="str">
        <f>"201412006501"</f>
        <v>201412006501</v>
      </c>
    </row>
    <row r="32427" spans="1:2" x14ac:dyDescent="0.25">
      <c r="A32427" s="2">
        <v>32422</v>
      </c>
      <c r="B32427" s="3" t="str">
        <f>"201412006503"</f>
        <v>201412006503</v>
      </c>
    </row>
    <row r="32428" spans="1:2" x14ac:dyDescent="0.25">
      <c r="A32428" s="2">
        <v>32423</v>
      </c>
      <c r="B32428" s="3" t="str">
        <f>"201412006518"</f>
        <v>201412006518</v>
      </c>
    </row>
    <row r="32429" spans="1:2" x14ac:dyDescent="0.25">
      <c r="A32429" s="2">
        <v>32424</v>
      </c>
      <c r="B32429" s="3" t="str">
        <f>"201412006536"</f>
        <v>201412006536</v>
      </c>
    </row>
    <row r="32430" spans="1:2" x14ac:dyDescent="0.25">
      <c r="A32430" s="2">
        <v>32425</v>
      </c>
      <c r="B32430" s="3" t="str">
        <f>"201412006562"</f>
        <v>201412006562</v>
      </c>
    </row>
    <row r="32431" spans="1:2" x14ac:dyDescent="0.25">
      <c r="A32431" s="2">
        <v>32426</v>
      </c>
      <c r="B32431" s="3" t="str">
        <f>"201412006566"</f>
        <v>201412006566</v>
      </c>
    </row>
    <row r="32432" spans="1:2" x14ac:dyDescent="0.25">
      <c r="A32432" s="2">
        <v>32427</v>
      </c>
      <c r="B32432" s="3" t="str">
        <f>"201412006626"</f>
        <v>201412006626</v>
      </c>
    </row>
    <row r="32433" spans="1:2" x14ac:dyDescent="0.25">
      <c r="A32433" s="2">
        <v>32428</v>
      </c>
      <c r="B32433" s="3" t="str">
        <f>"201412006628"</f>
        <v>201412006628</v>
      </c>
    </row>
    <row r="32434" spans="1:2" x14ac:dyDescent="0.25">
      <c r="A32434" s="2">
        <v>32429</v>
      </c>
      <c r="B32434" s="3" t="str">
        <f>"201412006646"</f>
        <v>201412006646</v>
      </c>
    </row>
    <row r="32435" spans="1:2" x14ac:dyDescent="0.25">
      <c r="A32435" s="2">
        <v>32430</v>
      </c>
      <c r="B32435" s="3" t="str">
        <f>"201412006661"</f>
        <v>201412006661</v>
      </c>
    </row>
    <row r="32436" spans="1:2" x14ac:dyDescent="0.25">
      <c r="A32436" s="2">
        <v>32431</v>
      </c>
      <c r="B32436" s="3" t="str">
        <f>"201412006671"</f>
        <v>201412006671</v>
      </c>
    </row>
    <row r="32437" spans="1:2" x14ac:dyDescent="0.25">
      <c r="A32437" s="2">
        <v>32432</v>
      </c>
      <c r="B32437" s="3" t="str">
        <f>"201412006678"</f>
        <v>201412006678</v>
      </c>
    </row>
    <row r="32438" spans="1:2" x14ac:dyDescent="0.25">
      <c r="A32438" s="2">
        <v>32433</v>
      </c>
      <c r="B32438" s="3" t="str">
        <f>"201412006685"</f>
        <v>201412006685</v>
      </c>
    </row>
    <row r="32439" spans="1:2" x14ac:dyDescent="0.25">
      <c r="A32439" s="2">
        <v>32434</v>
      </c>
      <c r="B32439" s="3" t="str">
        <f>"201412006710"</f>
        <v>201412006710</v>
      </c>
    </row>
    <row r="32440" spans="1:2" x14ac:dyDescent="0.25">
      <c r="A32440" s="2">
        <v>32435</v>
      </c>
      <c r="B32440" s="3" t="str">
        <f>"201412006736"</f>
        <v>201412006736</v>
      </c>
    </row>
    <row r="32441" spans="1:2" x14ac:dyDescent="0.25">
      <c r="A32441" s="2">
        <v>32436</v>
      </c>
      <c r="B32441" s="3" t="str">
        <f>"201412006775"</f>
        <v>201412006775</v>
      </c>
    </row>
    <row r="32442" spans="1:2" x14ac:dyDescent="0.25">
      <c r="A32442" s="2">
        <v>32437</v>
      </c>
      <c r="B32442" s="3" t="str">
        <f>"201412006786"</f>
        <v>201412006786</v>
      </c>
    </row>
    <row r="32443" spans="1:2" x14ac:dyDescent="0.25">
      <c r="A32443" s="2">
        <v>32438</v>
      </c>
      <c r="B32443" s="3" t="str">
        <f>"201412006809"</f>
        <v>201412006809</v>
      </c>
    </row>
    <row r="32444" spans="1:2" x14ac:dyDescent="0.25">
      <c r="A32444" s="2">
        <v>32439</v>
      </c>
      <c r="B32444" s="3" t="str">
        <f>"201412006837"</f>
        <v>201412006837</v>
      </c>
    </row>
    <row r="32445" spans="1:2" x14ac:dyDescent="0.25">
      <c r="A32445" s="2">
        <v>32440</v>
      </c>
      <c r="B32445" s="3" t="str">
        <f>"201412006866"</f>
        <v>201412006866</v>
      </c>
    </row>
    <row r="32446" spans="1:2" x14ac:dyDescent="0.25">
      <c r="A32446" s="2">
        <v>32441</v>
      </c>
      <c r="B32446" s="3" t="str">
        <f>"201412006908"</f>
        <v>201412006908</v>
      </c>
    </row>
    <row r="32447" spans="1:2" x14ac:dyDescent="0.25">
      <c r="A32447" s="2">
        <v>32442</v>
      </c>
      <c r="B32447" s="3" t="str">
        <f>"201412006936"</f>
        <v>201412006936</v>
      </c>
    </row>
    <row r="32448" spans="1:2" x14ac:dyDescent="0.25">
      <c r="A32448" s="2">
        <v>32443</v>
      </c>
      <c r="B32448" s="3" t="str">
        <f>"201412006937"</f>
        <v>201412006937</v>
      </c>
    </row>
    <row r="32449" spans="1:2" x14ac:dyDescent="0.25">
      <c r="A32449" s="2">
        <v>32444</v>
      </c>
      <c r="B32449" s="3" t="str">
        <f>"201412006978"</f>
        <v>201412006978</v>
      </c>
    </row>
    <row r="32450" spans="1:2" x14ac:dyDescent="0.25">
      <c r="A32450" s="2">
        <v>32445</v>
      </c>
      <c r="B32450" s="3" t="str">
        <f>"201412006996"</f>
        <v>201412006996</v>
      </c>
    </row>
    <row r="32451" spans="1:2" x14ac:dyDescent="0.25">
      <c r="A32451" s="2">
        <v>32446</v>
      </c>
      <c r="B32451" s="3" t="str">
        <f>"201412007011"</f>
        <v>201412007011</v>
      </c>
    </row>
    <row r="32452" spans="1:2" x14ac:dyDescent="0.25">
      <c r="A32452" s="2">
        <v>32447</v>
      </c>
      <c r="B32452" s="3" t="str">
        <f>"201412007029"</f>
        <v>201412007029</v>
      </c>
    </row>
    <row r="32453" spans="1:2" x14ac:dyDescent="0.25">
      <c r="A32453" s="2">
        <v>32448</v>
      </c>
      <c r="B32453" s="3" t="str">
        <f>"201412007135"</f>
        <v>201412007135</v>
      </c>
    </row>
    <row r="32454" spans="1:2" x14ac:dyDescent="0.25">
      <c r="A32454" s="2">
        <v>32449</v>
      </c>
      <c r="B32454" s="3" t="str">
        <f>"201412007142"</f>
        <v>201412007142</v>
      </c>
    </row>
    <row r="32455" spans="1:2" x14ac:dyDescent="0.25">
      <c r="A32455" s="2">
        <v>32450</v>
      </c>
      <c r="B32455" s="3" t="str">
        <f>"201412007144"</f>
        <v>201412007144</v>
      </c>
    </row>
    <row r="32456" spans="1:2" x14ac:dyDescent="0.25">
      <c r="A32456" s="2">
        <v>32451</v>
      </c>
      <c r="B32456" s="3" t="str">
        <f>"201412007152"</f>
        <v>201412007152</v>
      </c>
    </row>
    <row r="32457" spans="1:2" x14ac:dyDescent="0.25">
      <c r="A32457" s="2">
        <v>32452</v>
      </c>
      <c r="B32457" s="3" t="str">
        <f>"201412007190"</f>
        <v>201412007190</v>
      </c>
    </row>
    <row r="32458" spans="1:2" x14ac:dyDescent="0.25">
      <c r="A32458" s="2">
        <v>32453</v>
      </c>
      <c r="B32458" s="3" t="str">
        <f>"201412007191"</f>
        <v>201412007191</v>
      </c>
    </row>
    <row r="32459" spans="1:2" x14ac:dyDescent="0.25">
      <c r="A32459" s="2">
        <v>32454</v>
      </c>
      <c r="B32459" s="3" t="str">
        <f>"201412007205"</f>
        <v>201412007205</v>
      </c>
    </row>
    <row r="32460" spans="1:2" x14ac:dyDescent="0.25">
      <c r="A32460" s="2">
        <v>32455</v>
      </c>
      <c r="B32460" s="3" t="str">
        <f>"201412007219"</f>
        <v>201412007219</v>
      </c>
    </row>
    <row r="32461" spans="1:2" x14ac:dyDescent="0.25">
      <c r="A32461" s="2">
        <v>32456</v>
      </c>
      <c r="B32461" s="3" t="str">
        <f>"201412007235"</f>
        <v>201412007235</v>
      </c>
    </row>
    <row r="32462" spans="1:2" x14ac:dyDescent="0.25">
      <c r="A32462" s="2">
        <v>32457</v>
      </c>
      <c r="B32462" s="3" t="str">
        <f>"201412007239"</f>
        <v>201412007239</v>
      </c>
    </row>
    <row r="32463" spans="1:2" x14ac:dyDescent="0.25">
      <c r="A32463" s="2">
        <v>32458</v>
      </c>
      <c r="B32463" s="3" t="str">
        <f>"201412007246"</f>
        <v>201412007246</v>
      </c>
    </row>
    <row r="32464" spans="1:2" x14ac:dyDescent="0.25">
      <c r="A32464" s="2">
        <v>32459</v>
      </c>
      <c r="B32464" s="3" t="str">
        <f>"201412007305"</f>
        <v>201412007305</v>
      </c>
    </row>
    <row r="32465" spans="1:2" x14ac:dyDescent="0.25">
      <c r="A32465" s="2">
        <v>32460</v>
      </c>
      <c r="B32465" s="3" t="str">
        <f>"201412007323"</f>
        <v>201412007323</v>
      </c>
    </row>
    <row r="32466" spans="1:2" x14ac:dyDescent="0.25">
      <c r="A32466" s="2">
        <v>32461</v>
      </c>
      <c r="B32466" s="3" t="str">
        <f>"201412007371"</f>
        <v>201412007371</v>
      </c>
    </row>
    <row r="32467" spans="1:2" x14ac:dyDescent="0.25">
      <c r="A32467" s="2">
        <v>32462</v>
      </c>
      <c r="B32467" s="3" t="str">
        <f>"201412007372"</f>
        <v>201412007372</v>
      </c>
    </row>
    <row r="32468" spans="1:2" x14ac:dyDescent="0.25">
      <c r="A32468" s="2">
        <v>32463</v>
      </c>
      <c r="B32468" s="3" t="str">
        <f>"201412007391"</f>
        <v>201412007391</v>
      </c>
    </row>
    <row r="32469" spans="1:2" x14ac:dyDescent="0.25">
      <c r="A32469" s="2">
        <v>32464</v>
      </c>
      <c r="B32469" s="3" t="str">
        <f>"201412007447"</f>
        <v>201412007447</v>
      </c>
    </row>
    <row r="32470" spans="1:2" x14ac:dyDescent="0.25">
      <c r="A32470" s="2">
        <v>32465</v>
      </c>
      <c r="B32470" s="3" t="str">
        <f>"201412007452"</f>
        <v>201412007452</v>
      </c>
    </row>
    <row r="32471" spans="1:2" x14ac:dyDescent="0.25">
      <c r="A32471" s="2">
        <v>32466</v>
      </c>
      <c r="B32471" s="3" t="str">
        <f>"201412007471"</f>
        <v>201412007471</v>
      </c>
    </row>
    <row r="32472" spans="1:2" x14ac:dyDescent="0.25">
      <c r="A32472" s="2">
        <v>32467</v>
      </c>
      <c r="B32472" s="3" t="str">
        <f>"201501000024"</f>
        <v>201501000024</v>
      </c>
    </row>
    <row r="32473" spans="1:2" x14ac:dyDescent="0.25">
      <c r="A32473" s="2">
        <v>32468</v>
      </c>
      <c r="B32473" s="3" t="str">
        <f>"201501000047"</f>
        <v>201501000047</v>
      </c>
    </row>
    <row r="32474" spans="1:2" x14ac:dyDescent="0.25">
      <c r="A32474" s="2">
        <v>32469</v>
      </c>
      <c r="B32474" s="3" t="str">
        <f>"201501000081"</f>
        <v>201501000081</v>
      </c>
    </row>
    <row r="32475" spans="1:2" x14ac:dyDescent="0.25">
      <c r="A32475" s="2">
        <v>32470</v>
      </c>
      <c r="B32475" s="3" t="str">
        <f>"201501000103"</f>
        <v>201501000103</v>
      </c>
    </row>
    <row r="32476" spans="1:2" x14ac:dyDescent="0.25">
      <c r="A32476" s="2">
        <v>32471</v>
      </c>
      <c r="B32476" s="3" t="str">
        <f>"201501000116"</f>
        <v>201501000116</v>
      </c>
    </row>
    <row r="32477" spans="1:2" x14ac:dyDescent="0.25">
      <c r="A32477" s="2">
        <v>32472</v>
      </c>
      <c r="B32477" s="3" t="str">
        <f>"201501000118"</f>
        <v>201501000118</v>
      </c>
    </row>
    <row r="32478" spans="1:2" x14ac:dyDescent="0.25">
      <c r="A32478" s="2">
        <v>32473</v>
      </c>
      <c r="B32478" s="3" t="str">
        <f>"201501000155"</f>
        <v>201501000155</v>
      </c>
    </row>
    <row r="32479" spans="1:2" x14ac:dyDescent="0.25">
      <c r="A32479" s="2">
        <v>32474</v>
      </c>
      <c r="B32479" s="3" t="str">
        <f>"201501000156"</f>
        <v>201501000156</v>
      </c>
    </row>
    <row r="32480" spans="1:2" x14ac:dyDescent="0.25">
      <c r="A32480" s="2">
        <v>32475</v>
      </c>
      <c r="B32480" s="3" t="str">
        <f>"201501000175"</f>
        <v>201501000175</v>
      </c>
    </row>
    <row r="32481" spans="1:2" x14ac:dyDescent="0.25">
      <c r="A32481" s="2">
        <v>32476</v>
      </c>
      <c r="B32481" s="3" t="str">
        <f>"201501000195"</f>
        <v>201501000195</v>
      </c>
    </row>
    <row r="32482" spans="1:2" x14ac:dyDescent="0.25">
      <c r="A32482" s="2">
        <v>32477</v>
      </c>
      <c r="B32482" s="3" t="str">
        <f>"201501000197"</f>
        <v>201501000197</v>
      </c>
    </row>
    <row r="32483" spans="1:2" x14ac:dyDescent="0.25">
      <c r="A32483" s="2">
        <v>32478</v>
      </c>
      <c r="B32483" s="3" t="str">
        <f>"201501000256"</f>
        <v>201501000256</v>
      </c>
    </row>
    <row r="32484" spans="1:2" x14ac:dyDescent="0.25">
      <c r="A32484" s="2">
        <v>32479</v>
      </c>
      <c r="B32484" s="3" t="str">
        <f>"201501000318"</f>
        <v>201501000318</v>
      </c>
    </row>
    <row r="32485" spans="1:2" x14ac:dyDescent="0.25">
      <c r="A32485" s="2">
        <v>32480</v>
      </c>
      <c r="B32485" s="3" t="str">
        <f>"201501000343"</f>
        <v>201501000343</v>
      </c>
    </row>
    <row r="32486" spans="1:2" x14ac:dyDescent="0.25">
      <c r="A32486" s="2">
        <v>32481</v>
      </c>
      <c r="B32486" s="3" t="str">
        <f>"201501000355"</f>
        <v>201501000355</v>
      </c>
    </row>
    <row r="32487" spans="1:2" x14ac:dyDescent="0.25">
      <c r="A32487" s="2">
        <v>32482</v>
      </c>
      <c r="B32487" s="3" t="str">
        <f>"201501000406"</f>
        <v>201501000406</v>
      </c>
    </row>
    <row r="32488" spans="1:2" x14ac:dyDescent="0.25">
      <c r="A32488" s="2">
        <v>32483</v>
      </c>
      <c r="B32488" s="3" t="str">
        <f>"201501000422"</f>
        <v>201501000422</v>
      </c>
    </row>
    <row r="32489" spans="1:2" x14ac:dyDescent="0.25">
      <c r="A32489" s="2">
        <v>32484</v>
      </c>
      <c r="B32489" s="3" t="str">
        <f>"201501000440"</f>
        <v>201501000440</v>
      </c>
    </row>
    <row r="32490" spans="1:2" x14ac:dyDescent="0.25">
      <c r="A32490" s="2">
        <v>32485</v>
      </c>
      <c r="B32490" s="3" t="str">
        <f>"201501000484"</f>
        <v>201501000484</v>
      </c>
    </row>
    <row r="32491" spans="1:2" x14ac:dyDescent="0.25">
      <c r="A32491" s="2">
        <v>32486</v>
      </c>
      <c r="B32491" s="3" t="str">
        <f>"201501000489"</f>
        <v>201501000489</v>
      </c>
    </row>
    <row r="32492" spans="1:2" x14ac:dyDescent="0.25">
      <c r="A32492" s="2">
        <v>32487</v>
      </c>
      <c r="B32492" s="3" t="str">
        <f>"201501000495"</f>
        <v>201501000495</v>
      </c>
    </row>
    <row r="32493" spans="1:2" x14ac:dyDescent="0.25">
      <c r="A32493" s="2">
        <v>32488</v>
      </c>
      <c r="B32493" s="3" t="str">
        <f>"201501000529"</f>
        <v>201501000529</v>
      </c>
    </row>
    <row r="32494" spans="1:2" x14ac:dyDescent="0.25">
      <c r="A32494" s="2">
        <v>32489</v>
      </c>
      <c r="B32494" s="3" t="str">
        <f>"201501000577"</f>
        <v>201501000577</v>
      </c>
    </row>
    <row r="32495" spans="1:2" x14ac:dyDescent="0.25">
      <c r="A32495" s="2">
        <v>32490</v>
      </c>
      <c r="B32495" s="3" t="str">
        <f>"201502000120"</f>
        <v>201502000120</v>
      </c>
    </row>
    <row r="32496" spans="1:2" x14ac:dyDescent="0.25">
      <c r="A32496" s="2">
        <v>32491</v>
      </c>
      <c r="B32496" s="3" t="str">
        <f>"201502000141"</f>
        <v>201502000141</v>
      </c>
    </row>
    <row r="32497" spans="1:2" x14ac:dyDescent="0.25">
      <c r="A32497" s="2">
        <v>32492</v>
      </c>
      <c r="B32497" s="3" t="str">
        <f>"201502000319"</f>
        <v>201502000319</v>
      </c>
    </row>
    <row r="32498" spans="1:2" x14ac:dyDescent="0.25">
      <c r="A32498" s="2">
        <v>32493</v>
      </c>
      <c r="B32498" s="3" t="str">
        <f>"201502000353"</f>
        <v>201502000353</v>
      </c>
    </row>
    <row r="32499" spans="1:2" x14ac:dyDescent="0.25">
      <c r="A32499" s="2">
        <v>32494</v>
      </c>
      <c r="B32499" s="3" t="str">
        <f>"201502000419"</f>
        <v>201502000419</v>
      </c>
    </row>
    <row r="32500" spans="1:2" x14ac:dyDescent="0.25">
      <c r="A32500" s="2">
        <v>32495</v>
      </c>
      <c r="B32500" s="3" t="str">
        <f>"201502000431"</f>
        <v>201502000431</v>
      </c>
    </row>
    <row r="32501" spans="1:2" x14ac:dyDescent="0.25">
      <c r="A32501" s="2">
        <v>32496</v>
      </c>
      <c r="B32501" s="3" t="str">
        <f>"201502000443"</f>
        <v>201502000443</v>
      </c>
    </row>
    <row r="32502" spans="1:2" x14ac:dyDescent="0.25">
      <c r="A32502" s="2">
        <v>32497</v>
      </c>
      <c r="B32502" s="3" t="str">
        <f>"201502000451"</f>
        <v>201502000451</v>
      </c>
    </row>
    <row r="32503" spans="1:2" x14ac:dyDescent="0.25">
      <c r="A32503" s="2">
        <v>32498</v>
      </c>
      <c r="B32503" s="3" t="str">
        <f>"201502000537"</f>
        <v>201502000537</v>
      </c>
    </row>
    <row r="32504" spans="1:2" x14ac:dyDescent="0.25">
      <c r="A32504" s="2">
        <v>32499</v>
      </c>
      <c r="B32504" s="3" t="str">
        <f>"201502000567"</f>
        <v>201502000567</v>
      </c>
    </row>
    <row r="32505" spans="1:2" x14ac:dyDescent="0.25">
      <c r="A32505" s="2">
        <v>32500</v>
      </c>
      <c r="B32505" s="3" t="str">
        <f>"201502000602"</f>
        <v>201502000602</v>
      </c>
    </row>
    <row r="32506" spans="1:2" x14ac:dyDescent="0.25">
      <c r="A32506" s="2">
        <v>32501</v>
      </c>
      <c r="B32506" s="3" t="str">
        <f>"201502000614"</f>
        <v>201502000614</v>
      </c>
    </row>
    <row r="32507" spans="1:2" x14ac:dyDescent="0.25">
      <c r="A32507" s="2">
        <v>32502</v>
      </c>
      <c r="B32507" s="3" t="str">
        <f>"201502000622"</f>
        <v>201502000622</v>
      </c>
    </row>
    <row r="32508" spans="1:2" x14ac:dyDescent="0.25">
      <c r="A32508" s="2">
        <v>32503</v>
      </c>
      <c r="B32508" s="3" t="str">
        <f>"201502000650"</f>
        <v>201502000650</v>
      </c>
    </row>
    <row r="32509" spans="1:2" x14ac:dyDescent="0.25">
      <c r="A32509" s="2">
        <v>32504</v>
      </c>
      <c r="B32509" s="3" t="str">
        <f>"201502000661"</f>
        <v>201502000661</v>
      </c>
    </row>
    <row r="32510" spans="1:2" x14ac:dyDescent="0.25">
      <c r="A32510" s="2">
        <v>32505</v>
      </c>
      <c r="B32510" s="3" t="str">
        <f>"201502000669"</f>
        <v>201502000669</v>
      </c>
    </row>
    <row r="32511" spans="1:2" x14ac:dyDescent="0.25">
      <c r="A32511" s="2">
        <v>32506</v>
      </c>
      <c r="B32511" s="3" t="str">
        <f>"201502000719"</f>
        <v>201502000719</v>
      </c>
    </row>
    <row r="32512" spans="1:2" x14ac:dyDescent="0.25">
      <c r="A32512" s="2">
        <v>32507</v>
      </c>
      <c r="B32512" s="3" t="str">
        <f>"201502000732"</f>
        <v>201502000732</v>
      </c>
    </row>
    <row r="32513" spans="1:2" x14ac:dyDescent="0.25">
      <c r="A32513" s="2">
        <v>32508</v>
      </c>
      <c r="B32513" s="3" t="str">
        <f>"201502000755"</f>
        <v>201502000755</v>
      </c>
    </row>
    <row r="32514" spans="1:2" x14ac:dyDescent="0.25">
      <c r="A32514" s="2">
        <v>32509</v>
      </c>
      <c r="B32514" s="3" t="str">
        <f>"201502000757"</f>
        <v>201502000757</v>
      </c>
    </row>
    <row r="32515" spans="1:2" x14ac:dyDescent="0.25">
      <c r="A32515" s="2">
        <v>32510</v>
      </c>
      <c r="B32515" s="3" t="str">
        <f>"201502000760"</f>
        <v>201502000760</v>
      </c>
    </row>
    <row r="32516" spans="1:2" x14ac:dyDescent="0.25">
      <c r="A32516" s="2">
        <v>32511</v>
      </c>
      <c r="B32516" s="3" t="str">
        <f>"201502000767"</f>
        <v>201502000767</v>
      </c>
    </row>
    <row r="32517" spans="1:2" x14ac:dyDescent="0.25">
      <c r="A32517" s="2">
        <v>32512</v>
      </c>
      <c r="B32517" s="3" t="str">
        <f>"201502000774"</f>
        <v>201502000774</v>
      </c>
    </row>
    <row r="32518" spans="1:2" x14ac:dyDescent="0.25">
      <c r="A32518" s="2">
        <v>32513</v>
      </c>
      <c r="B32518" s="3" t="str">
        <f>"201502000812"</f>
        <v>201502000812</v>
      </c>
    </row>
    <row r="32519" spans="1:2" x14ac:dyDescent="0.25">
      <c r="A32519" s="2">
        <v>32514</v>
      </c>
      <c r="B32519" s="3" t="str">
        <f>"201502000896"</f>
        <v>201502000896</v>
      </c>
    </row>
    <row r="32520" spans="1:2" x14ac:dyDescent="0.25">
      <c r="A32520" s="2">
        <v>32515</v>
      </c>
      <c r="B32520" s="3" t="str">
        <f>"201502000906"</f>
        <v>201502000906</v>
      </c>
    </row>
    <row r="32521" spans="1:2" x14ac:dyDescent="0.25">
      <c r="A32521" s="2">
        <v>32516</v>
      </c>
      <c r="B32521" s="3" t="str">
        <f>"201502000923"</f>
        <v>201502000923</v>
      </c>
    </row>
    <row r="32522" spans="1:2" x14ac:dyDescent="0.25">
      <c r="A32522" s="2">
        <v>32517</v>
      </c>
      <c r="B32522" s="3" t="str">
        <f>"201502000930"</f>
        <v>201502000930</v>
      </c>
    </row>
    <row r="32523" spans="1:2" x14ac:dyDescent="0.25">
      <c r="A32523" s="2">
        <v>32518</v>
      </c>
      <c r="B32523" s="3" t="str">
        <f>"201502000999"</f>
        <v>201502000999</v>
      </c>
    </row>
    <row r="32524" spans="1:2" x14ac:dyDescent="0.25">
      <c r="A32524" s="2">
        <v>32519</v>
      </c>
      <c r="B32524" s="3" t="str">
        <f>"201502001002"</f>
        <v>201502001002</v>
      </c>
    </row>
    <row r="32525" spans="1:2" x14ac:dyDescent="0.25">
      <c r="A32525" s="2">
        <v>32520</v>
      </c>
      <c r="B32525" s="3" t="str">
        <f>"201502001003"</f>
        <v>201502001003</v>
      </c>
    </row>
    <row r="32526" spans="1:2" x14ac:dyDescent="0.25">
      <c r="A32526" s="2">
        <v>32521</v>
      </c>
      <c r="B32526" s="3" t="str">
        <f>"201502001011"</f>
        <v>201502001011</v>
      </c>
    </row>
    <row r="32527" spans="1:2" x14ac:dyDescent="0.25">
      <c r="A32527" s="2">
        <v>32522</v>
      </c>
      <c r="B32527" s="3" t="str">
        <f>"201502001019"</f>
        <v>201502001019</v>
      </c>
    </row>
    <row r="32528" spans="1:2" x14ac:dyDescent="0.25">
      <c r="A32528" s="2">
        <v>32523</v>
      </c>
      <c r="B32528" s="3" t="str">
        <f>"201502001055"</f>
        <v>201502001055</v>
      </c>
    </row>
    <row r="32529" spans="1:2" x14ac:dyDescent="0.25">
      <c r="A32529" s="2">
        <v>32524</v>
      </c>
      <c r="B32529" s="3" t="str">
        <f>"201502001056"</f>
        <v>201502001056</v>
      </c>
    </row>
    <row r="32530" spans="1:2" x14ac:dyDescent="0.25">
      <c r="A32530" s="2">
        <v>32525</v>
      </c>
      <c r="B32530" s="3" t="str">
        <f>"201502001097"</f>
        <v>201502001097</v>
      </c>
    </row>
    <row r="32531" spans="1:2" x14ac:dyDescent="0.25">
      <c r="A32531" s="2">
        <v>32526</v>
      </c>
      <c r="B32531" s="3" t="str">
        <f>"201502001106"</f>
        <v>201502001106</v>
      </c>
    </row>
    <row r="32532" spans="1:2" x14ac:dyDescent="0.25">
      <c r="A32532" s="2">
        <v>32527</v>
      </c>
      <c r="B32532" s="3" t="str">
        <f>"201502001119"</f>
        <v>201502001119</v>
      </c>
    </row>
    <row r="32533" spans="1:2" x14ac:dyDescent="0.25">
      <c r="A32533" s="2">
        <v>32528</v>
      </c>
      <c r="B32533" s="3" t="str">
        <f>"201502001129"</f>
        <v>201502001129</v>
      </c>
    </row>
    <row r="32534" spans="1:2" x14ac:dyDescent="0.25">
      <c r="A32534" s="2">
        <v>32529</v>
      </c>
      <c r="B32534" s="3" t="str">
        <f>"201502001158"</f>
        <v>201502001158</v>
      </c>
    </row>
    <row r="32535" spans="1:2" x14ac:dyDescent="0.25">
      <c r="A32535" s="2">
        <v>32530</v>
      </c>
      <c r="B32535" s="3" t="str">
        <f>"201502001174"</f>
        <v>201502001174</v>
      </c>
    </row>
    <row r="32536" spans="1:2" x14ac:dyDescent="0.25">
      <c r="A32536" s="2">
        <v>32531</v>
      </c>
      <c r="B32536" s="3" t="str">
        <f>"201502001180"</f>
        <v>201502001180</v>
      </c>
    </row>
    <row r="32537" spans="1:2" x14ac:dyDescent="0.25">
      <c r="A32537" s="2">
        <v>32532</v>
      </c>
      <c r="B32537" s="3" t="str">
        <f>"201502001210"</f>
        <v>201502001210</v>
      </c>
    </row>
    <row r="32538" spans="1:2" x14ac:dyDescent="0.25">
      <c r="A32538" s="2">
        <v>32533</v>
      </c>
      <c r="B32538" s="3" t="str">
        <f>"201502001218"</f>
        <v>201502001218</v>
      </c>
    </row>
    <row r="32539" spans="1:2" x14ac:dyDescent="0.25">
      <c r="A32539" s="2">
        <v>32534</v>
      </c>
      <c r="B32539" s="3" t="str">
        <f>"201502001246"</f>
        <v>201502001246</v>
      </c>
    </row>
    <row r="32540" spans="1:2" x14ac:dyDescent="0.25">
      <c r="A32540" s="2">
        <v>32535</v>
      </c>
      <c r="B32540" s="3" t="str">
        <f>"201502001250"</f>
        <v>201502001250</v>
      </c>
    </row>
    <row r="32541" spans="1:2" x14ac:dyDescent="0.25">
      <c r="A32541" s="2">
        <v>32536</v>
      </c>
      <c r="B32541" s="3" t="str">
        <f>"201502001256"</f>
        <v>201502001256</v>
      </c>
    </row>
    <row r="32542" spans="1:2" x14ac:dyDescent="0.25">
      <c r="A32542" s="2">
        <v>32537</v>
      </c>
      <c r="B32542" s="3" t="str">
        <f>"201502001259"</f>
        <v>201502001259</v>
      </c>
    </row>
    <row r="32543" spans="1:2" x14ac:dyDescent="0.25">
      <c r="A32543" s="2">
        <v>32538</v>
      </c>
      <c r="B32543" s="3" t="str">
        <f>"201502001319"</f>
        <v>201502001319</v>
      </c>
    </row>
    <row r="32544" spans="1:2" x14ac:dyDescent="0.25">
      <c r="A32544" s="2">
        <v>32539</v>
      </c>
      <c r="B32544" s="3" t="str">
        <f>"201502001344"</f>
        <v>201502001344</v>
      </c>
    </row>
    <row r="32545" spans="1:2" x14ac:dyDescent="0.25">
      <c r="A32545" s="2">
        <v>32540</v>
      </c>
      <c r="B32545" s="3" t="str">
        <f>"201502001356"</f>
        <v>201502001356</v>
      </c>
    </row>
    <row r="32546" spans="1:2" x14ac:dyDescent="0.25">
      <c r="A32546" s="2">
        <v>32541</v>
      </c>
      <c r="B32546" s="3" t="str">
        <f>"201502001359"</f>
        <v>201502001359</v>
      </c>
    </row>
    <row r="32547" spans="1:2" x14ac:dyDescent="0.25">
      <c r="A32547" s="2">
        <v>32542</v>
      </c>
      <c r="B32547" s="3" t="str">
        <f>"201502001385"</f>
        <v>201502001385</v>
      </c>
    </row>
    <row r="32548" spans="1:2" x14ac:dyDescent="0.25">
      <c r="A32548" s="2">
        <v>32543</v>
      </c>
      <c r="B32548" s="3" t="str">
        <f>"201502001386"</f>
        <v>201502001386</v>
      </c>
    </row>
    <row r="32549" spans="1:2" x14ac:dyDescent="0.25">
      <c r="A32549" s="2">
        <v>32544</v>
      </c>
      <c r="B32549" s="3" t="str">
        <f>"201502001402"</f>
        <v>201502001402</v>
      </c>
    </row>
    <row r="32550" spans="1:2" x14ac:dyDescent="0.25">
      <c r="A32550" s="2">
        <v>32545</v>
      </c>
      <c r="B32550" s="3" t="str">
        <f>"201502001423"</f>
        <v>201502001423</v>
      </c>
    </row>
    <row r="32551" spans="1:2" x14ac:dyDescent="0.25">
      <c r="A32551" s="2">
        <v>32546</v>
      </c>
      <c r="B32551" s="3" t="str">
        <f>"201502001453"</f>
        <v>201502001453</v>
      </c>
    </row>
    <row r="32552" spans="1:2" x14ac:dyDescent="0.25">
      <c r="A32552" s="2">
        <v>32547</v>
      </c>
      <c r="B32552" s="3" t="str">
        <f>"201502001552"</f>
        <v>201502001552</v>
      </c>
    </row>
    <row r="32553" spans="1:2" x14ac:dyDescent="0.25">
      <c r="A32553" s="2">
        <v>32548</v>
      </c>
      <c r="B32553" s="3" t="str">
        <f>"201502001570"</f>
        <v>201502001570</v>
      </c>
    </row>
    <row r="32554" spans="1:2" x14ac:dyDescent="0.25">
      <c r="A32554" s="2">
        <v>32549</v>
      </c>
      <c r="B32554" s="3" t="str">
        <f>"201502001586"</f>
        <v>201502001586</v>
      </c>
    </row>
    <row r="32555" spans="1:2" x14ac:dyDescent="0.25">
      <c r="A32555" s="2">
        <v>32550</v>
      </c>
      <c r="B32555" s="3" t="str">
        <f>"201502001589"</f>
        <v>201502001589</v>
      </c>
    </row>
    <row r="32556" spans="1:2" x14ac:dyDescent="0.25">
      <c r="A32556" s="2">
        <v>32551</v>
      </c>
      <c r="B32556" s="3" t="str">
        <f>"201502001607"</f>
        <v>201502001607</v>
      </c>
    </row>
    <row r="32557" spans="1:2" x14ac:dyDescent="0.25">
      <c r="A32557" s="2">
        <v>32552</v>
      </c>
      <c r="B32557" s="3" t="str">
        <f>"201502001644"</f>
        <v>201502001644</v>
      </c>
    </row>
    <row r="32558" spans="1:2" x14ac:dyDescent="0.25">
      <c r="A32558" s="2">
        <v>32553</v>
      </c>
      <c r="B32558" s="3" t="str">
        <f>"201502001656"</f>
        <v>201502001656</v>
      </c>
    </row>
    <row r="32559" spans="1:2" x14ac:dyDescent="0.25">
      <c r="A32559" s="2">
        <v>32554</v>
      </c>
      <c r="B32559" s="3" t="str">
        <f>"201502001684"</f>
        <v>201502001684</v>
      </c>
    </row>
    <row r="32560" spans="1:2" x14ac:dyDescent="0.25">
      <c r="A32560" s="2">
        <v>32555</v>
      </c>
      <c r="B32560" s="3" t="str">
        <f>"201502001691"</f>
        <v>201502001691</v>
      </c>
    </row>
    <row r="32561" spans="1:2" x14ac:dyDescent="0.25">
      <c r="A32561" s="2">
        <v>32556</v>
      </c>
      <c r="B32561" s="3" t="str">
        <f>"201502001703"</f>
        <v>201502001703</v>
      </c>
    </row>
    <row r="32562" spans="1:2" x14ac:dyDescent="0.25">
      <c r="A32562" s="2">
        <v>32557</v>
      </c>
      <c r="B32562" s="3" t="str">
        <f>"201502001714"</f>
        <v>201502001714</v>
      </c>
    </row>
    <row r="32563" spans="1:2" x14ac:dyDescent="0.25">
      <c r="A32563" s="2">
        <v>32558</v>
      </c>
      <c r="B32563" s="3" t="str">
        <f>"201502001717"</f>
        <v>201502001717</v>
      </c>
    </row>
    <row r="32564" spans="1:2" x14ac:dyDescent="0.25">
      <c r="A32564" s="2">
        <v>32559</v>
      </c>
      <c r="B32564" s="3" t="str">
        <f>"201502001767"</f>
        <v>201502001767</v>
      </c>
    </row>
    <row r="32565" spans="1:2" x14ac:dyDescent="0.25">
      <c r="A32565" s="2">
        <v>32560</v>
      </c>
      <c r="B32565" s="3" t="str">
        <f>"201502001807"</f>
        <v>201502001807</v>
      </c>
    </row>
    <row r="32566" spans="1:2" x14ac:dyDescent="0.25">
      <c r="A32566" s="2">
        <v>32561</v>
      </c>
      <c r="B32566" s="3" t="str">
        <f>"201502001873"</f>
        <v>201502001873</v>
      </c>
    </row>
    <row r="32567" spans="1:2" x14ac:dyDescent="0.25">
      <c r="A32567" s="2">
        <v>32562</v>
      </c>
      <c r="B32567" s="3" t="str">
        <f>"201502001884"</f>
        <v>201502001884</v>
      </c>
    </row>
    <row r="32568" spans="1:2" x14ac:dyDescent="0.25">
      <c r="A32568" s="2">
        <v>32563</v>
      </c>
      <c r="B32568" s="3" t="str">
        <f>"201502001905"</f>
        <v>201502001905</v>
      </c>
    </row>
    <row r="32569" spans="1:2" x14ac:dyDescent="0.25">
      <c r="A32569" s="2">
        <v>32564</v>
      </c>
      <c r="B32569" s="3" t="str">
        <f>"201502001938"</f>
        <v>201502001938</v>
      </c>
    </row>
    <row r="32570" spans="1:2" x14ac:dyDescent="0.25">
      <c r="A32570" s="2">
        <v>32565</v>
      </c>
      <c r="B32570" s="3" t="str">
        <f>"201502001991"</f>
        <v>201502001991</v>
      </c>
    </row>
    <row r="32571" spans="1:2" x14ac:dyDescent="0.25">
      <c r="A32571" s="2">
        <v>32566</v>
      </c>
      <c r="B32571" s="3" t="str">
        <f>"201502002022"</f>
        <v>201502002022</v>
      </c>
    </row>
    <row r="32572" spans="1:2" x14ac:dyDescent="0.25">
      <c r="A32572" s="2">
        <v>32567</v>
      </c>
      <c r="B32572" s="3" t="str">
        <f>"201502002031"</f>
        <v>201502002031</v>
      </c>
    </row>
    <row r="32573" spans="1:2" x14ac:dyDescent="0.25">
      <c r="A32573" s="2">
        <v>32568</v>
      </c>
      <c r="B32573" s="3" t="str">
        <f>"201502002045"</f>
        <v>201502002045</v>
      </c>
    </row>
    <row r="32574" spans="1:2" x14ac:dyDescent="0.25">
      <c r="A32574" s="2">
        <v>32569</v>
      </c>
      <c r="B32574" s="3" t="str">
        <f>"201502002048"</f>
        <v>201502002048</v>
      </c>
    </row>
    <row r="32575" spans="1:2" x14ac:dyDescent="0.25">
      <c r="A32575" s="2">
        <v>32570</v>
      </c>
      <c r="B32575" s="3" t="str">
        <f>"201502002086"</f>
        <v>201502002086</v>
      </c>
    </row>
    <row r="32576" spans="1:2" x14ac:dyDescent="0.25">
      <c r="A32576" s="2">
        <v>32571</v>
      </c>
      <c r="B32576" s="3" t="str">
        <f>"201502002108"</f>
        <v>201502002108</v>
      </c>
    </row>
    <row r="32577" spans="1:2" x14ac:dyDescent="0.25">
      <c r="A32577" s="2">
        <v>32572</v>
      </c>
      <c r="B32577" s="3" t="str">
        <f>"201502002136"</f>
        <v>201502002136</v>
      </c>
    </row>
    <row r="32578" spans="1:2" x14ac:dyDescent="0.25">
      <c r="A32578" s="2">
        <v>32573</v>
      </c>
      <c r="B32578" s="3" t="str">
        <f>"201502002145"</f>
        <v>201502002145</v>
      </c>
    </row>
    <row r="32579" spans="1:2" x14ac:dyDescent="0.25">
      <c r="A32579" s="2">
        <v>32574</v>
      </c>
      <c r="B32579" s="3" t="str">
        <f>"201502002195"</f>
        <v>201502002195</v>
      </c>
    </row>
    <row r="32580" spans="1:2" x14ac:dyDescent="0.25">
      <c r="A32580" s="2">
        <v>32575</v>
      </c>
      <c r="B32580" s="3" t="str">
        <f>"201502002210"</f>
        <v>201502002210</v>
      </c>
    </row>
    <row r="32581" spans="1:2" x14ac:dyDescent="0.25">
      <c r="A32581" s="2">
        <v>32576</v>
      </c>
      <c r="B32581" s="3" t="str">
        <f>"201502002266"</f>
        <v>201502002266</v>
      </c>
    </row>
    <row r="32582" spans="1:2" x14ac:dyDescent="0.25">
      <c r="A32582" s="2">
        <v>32577</v>
      </c>
      <c r="B32582" s="3" t="str">
        <f>"201502002310"</f>
        <v>201502002310</v>
      </c>
    </row>
    <row r="32583" spans="1:2" x14ac:dyDescent="0.25">
      <c r="A32583" s="2">
        <v>32578</v>
      </c>
      <c r="B32583" s="3" t="str">
        <f>"201502002337"</f>
        <v>201502002337</v>
      </c>
    </row>
    <row r="32584" spans="1:2" x14ac:dyDescent="0.25">
      <c r="A32584" s="2">
        <v>32579</v>
      </c>
      <c r="B32584" s="3" t="str">
        <f>"201502002408"</f>
        <v>201502002408</v>
      </c>
    </row>
    <row r="32585" spans="1:2" x14ac:dyDescent="0.25">
      <c r="A32585" s="2">
        <v>32580</v>
      </c>
      <c r="B32585" s="3" t="str">
        <f>"201502002438"</f>
        <v>201502002438</v>
      </c>
    </row>
    <row r="32586" spans="1:2" x14ac:dyDescent="0.25">
      <c r="A32586" s="2">
        <v>32581</v>
      </c>
      <c r="B32586" s="3" t="str">
        <f>"201502002485"</f>
        <v>201502002485</v>
      </c>
    </row>
    <row r="32587" spans="1:2" x14ac:dyDescent="0.25">
      <c r="A32587" s="2">
        <v>32582</v>
      </c>
      <c r="B32587" s="3" t="str">
        <f>"201502002486"</f>
        <v>201502002486</v>
      </c>
    </row>
    <row r="32588" spans="1:2" x14ac:dyDescent="0.25">
      <c r="A32588" s="2">
        <v>32583</v>
      </c>
      <c r="B32588" s="3" t="str">
        <f>"201502002503"</f>
        <v>201502002503</v>
      </c>
    </row>
    <row r="32589" spans="1:2" x14ac:dyDescent="0.25">
      <c r="A32589" s="2">
        <v>32584</v>
      </c>
      <c r="B32589" s="3" t="str">
        <f>"201502002519"</f>
        <v>201502002519</v>
      </c>
    </row>
    <row r="32590" spans="1:2" x14ac:dyDescent="0.25">
      <c r="A32590" s="2">
        <v>32585</v>
      </c>
      <c r="B32590" s="3" t="str">
        <f>"201502002550"</f>
        <v>201502002550</v>
      </c>
    </row>
    <row r="32591" spans="1:2" x14ac:dyDescent="0.25">
      <c r="A32591" s="2">
        <v>32586</v>
      </c>
      <c r="B32591" s="3" t="str">
        <f>"201502002561"</f>
        <v>201502002561</v>
      </c>
    </row>
    <row r="32592" spans="1:2" x14ac:dyDescent="0.25">
      <c r="A32592" s="2">
        <v>32587</v>
      </c>
      <c r="B32592" s="3" t="str">
        <f>"201502002586"</f>
        <v>201502002586</v>
      </c>
    </row>
    <row r="32593" spans="1:2" x14ac:dyDescent="0.25">
      <c r="A32593" s="2">
        <v>32588</v>
      </c>
      <c r="B32593" s="3" t="str">
        <f>"201502002623"</f>
        <v>201502002623</v>
      </c>
    </row>
    <row r="32594" spans="1:2" x14ac:dyDescent="0.25">
      <c r="A32594" s="2">
        <v>32589</v>
      </c>
      <c r="B32594" s="3" t="str">
        <f>"201502002744"</f>
        <v>201502002744</v>
      </c>
    </row>
    <row r="32595" spans="1:2" x14ac:dyDescent="0.25">
      <c r="A32595" s="2">
        <v>32590</v>
      </c>
      <c r="B32595" s="3" t="str">
        <f>"201502002851"</f>
        <v>201502002851</v>
      </c>
    </row>
    <row r="32596" spans="1:2" x14ac:dyDescent="0.25">
      <c r="A32596" s="2">
        <v>32591</v>
      </c>
      <c r="B32596" s="3" t="str">
        <f>"201502002918"</f>
        <v>201502002918</v>
      </c>
    </row>
    <row r="32597" spans="1:2" x14ac:dyDescent="0.25">
      <c r="A32597" s="2">
        <v>32592</v>
      </c>
      <c r="B32597" s="3" t="str">
        <f>"201502003009"</f>
        <v>201502003009</v>
      </c>
    </row>
    <row r="32598" spans="1:2" x14ac:dyDescent="0.25">
      <c r="A32598" s="2">
        <v>32593</v>
      </c>
      <c r="B32598" s="3" t="str">
        <f>"201502003016"</f>
        <v>201502003016</v>
      </c>
    </row>
    <row r="32599" spans="1:2" x14ac:dyDescent="0.25">
      <c r="A32599" s="2">
        <v>32594</v>
      </c>
      <c r="B32599" s="3" t="str">
        <f>"201502003036"</f>
        <v>201502003036</v>
      </c>
    </row>
    <row r="32600" spans="1:2" x14ac:dyDescent="0.25">
      <c r="A32600" s="2">
        <v>32595</v>
      </c>
      <c r="B32600" s="3" t="str">
        <f>"201502003046"</f>
        <v>201502003046</v>
      </c>
    </row>
    <row r="32601" spans="1:2" x14ac:dyDescent="0.25">
      <c r="A32601" s="2">
        <v>32596</v>
      </c>
      <c r="B32601" s="3" t="str">
        <f>"201502003067"</f>
        <v>201502003067</v>
      </c>
    </row>
    <row r="32602" spans="1:2" x14ac:dyDescent="0.25">
      <c r="A32602" s="2">
        <v>32597</v>
      </c>
      <c r="B32602" s="3" t="str">
        <f>"201502003103"</f>
        <v>201502003103</v>
      </c>
    </row>
    <row r="32603" spans="1:2" x14ac:dyDescent="0.25">
      <c r="A32603" s="2">
        <v>32598</v>
      </c>
      <c r="B32603" s="3" t="str">
        <f>"201502003112"</f>
        <v>201502003112</v>
      </c>
    </row>
    <row r="32604" spans="1:2" x14ac:dyDescent="0.25">
      <c r="A32604" s="2">
        <v>32599</v>
      </c>
      <c r="B32604" s="3" t="str">
        <f>"201502003147"</f>
        <v>201502003147</v>
      </c>
    </row>
    <row r="32605" spans="1:2" x14ac:dyDescent="0.25">
      <c r="A32605" s="2">
        <v>32600</v>
      </c>
      <c r="B32605" s="3" t="str">
        <f>"201502003157"</f>
        <v>201502003157</v>
      </c>
    </row>
    <row r="32606" spans="1:2" x14ac:dyDescent="0.25">
      <c r="A32606" s="2">
        <v>32601</v>
      </c>
      <c r="B32606" s="3" t="str">
        <f>"201502003180"</f>
        <v>201502003180</v>
      </c>
    </row>
    <row r="32607" spans="1:2" x14ac:dyDescent="0.25">
      <c r="A32607" s="2">
        <v>32602</v>
      </c>
      <c r="B32607" s="3" t="str">
        <f>"201502003197"</f>
        <v>201502003197</v>
      </c>
    </row>
    <row r="32608" spans="1:2" x14ac:dyDescent="0.25">
      <c r="A32608" s="2">
        <v>32603</v>
      </c>
      <c r="B32608" s="3" t="str">
        <f>"201502003222"</f>
        <v>201502003222</v>
      </c>
    </row>
    <row r="32609" spans="1:2" x14ac:dyDescent="0.25">
      <c r="A32609" s="2">
        <v>32604</v>
      </c>
      <c r="B32609" s="3" t="str">
        <f>"201502003223"</f>
        <v>201502003223</v>
      </c>
    </row>
    <row r="32610" spans="1:2" x14ac:dyDescent="0.25">
      <c r="A32610" s="2">
        <v>32605</v>
      </c>
      <c r="B32610" s="3" t="str">
        <f>"201502003224"</f>
        <v>201502003224</v>
      </c>
    </row>
    <row r="32611" spans="1:2" x14ac:dyDescent="0.25">
      <c r="A32611" s="2">
        <v>32606</v>
      </c>
      <c r="B32611" s="3" t="str">
        <f>"201502003243"</f>
        <v>201502003243</v>
      </c>
    </row>
    <row r="32612" spans="1:2" x14ac:dyDescent="0.25">
      <c r="A32612" s="2">
        <v>32607</v>
      </c>
      <c r="B32612" s="3" t="str">
        <f>"201502003247"</f>
        <v>201502003247</v>
      </c>
    </row>
    <row r="32613" spans="1:2" x14ac:dyDescent="0.25">
      <c r="A32613" s="2">
        <v>32608</v>
      </c>
      <c r="B32613" s="3" t="str">
        <f>"201502003303"</f>
        <v>201502003303</v>
      </c>
    </row>
    <row r="32614" spans="1:2" x14ac:dyDescent="0.25">
      <c r="A32614" s="2">
        <v>32609</v>
      </c>
      <c r="B32614" s="3" t="str">
        <f>"201502003323"</f>
        <v>201502003323</v>
      </c>
    </row>
    <row r="32615" spans="1:2" x14ac:dyDescent="0.25">
      <c r="A32615" s="2">
        <v>32610</v>
      </c>
      <c r="B32615" s="3" t="str">
        <f>"201502003344"</f>
        <v>201502003344</v>
      </c>
    </row>
    <row r="32616" spans="1:2" x14ac:dyDescent="0.25">
      <c r="A32616" s="2">
        <v>32611</v>
      </c>
      <c r="B32616" s="3" t="str">
        <f>"201502003346"</f>
        <v>201502003346</v>
      </c>
    </row>
    <row r="32617" spans="1:2" x14ac:dyDescent="0.25">
      <c r="A32617" s="2">
        <v>32612</v>
      </c>
      <c r="B32617" s="3" t="str">
        <f>"201502003363"</f>
        <v>201502003363</v>
      </c>
    </row>
    <row r="32618" spans="1:2" x14ac:dyDescent="0.25">
      <c r="A32618" s="2">
        <v>32613</v>
      </c>
      <c r="B32618" s="3" t="str">
        <f>"201502003416"</f>
        <v>201502003416</v>
      </c>
    </row>
    <row r="32619" spans="1:2" x14ac:dyDescent="0.25">
      <c r="A32619" s="2">
        <v>32614</v>
      </c>
      <c r="B32619" s="3" t="str">
        <f>"201502003423"</f>
        <v>201502003423</v>
      </c>
    </row>
    <row r="32620" spans="1:2" x14ac:dyDescent="0.25">
      <c r="A32620" s="2">
        <v>32615</v>
      </c>
      <c r="B32620" s="3" t="str">
        <f>"201502003477"</f>
        <v>201502003477</v>
      </c>
    </row>
    <row r="32621" spans="1:2" x14ac:dyDescent="0.25">
      <c r="A32621" s="2">
        <v>32616</v>
      </c>
      <c r="B32621" s="3" t="str">
        <f>"201502003710"</f>
        <v>201502003710</v>
      </c>
    </row>
    <row r="32622" spans="1:2" x14ac:dyDescent="0.25">
      <c r="A32622" s="2">
        <v>32617</v>
      </c>
      <c r="B32622" s="3" t="str">
        <f>"201502003714"</f>
        <v>201502003714</v>
      </c>
    </row>
    <row r="32623" spans="1:2" x14ac:dyDescent="0.25">
      <c r="A32623" s="2">
        <v>32618</v>
      </c>
      <c r="B32623" s="3" t="str">
        <f>"201502003720"</f>
        <v>201502003720</v>
      </c>
    </row>
    <row r="32624" spans="1:2" x14ac:dyDescent="0.25">
      <c r="A32624" s="2">
        <v>32619</v>
      </c>
      <c r="B32624" s="3" t="str">
        <f>"201502003723"</f>
        <v>201502003723</v>
      </c>
    </row>
    <row r="32625" spans="1:2" x14ac:dyDescent="0.25">
      <c r="A32625" s="2">
        <v>32620</v>
      </c>
      <c r="B32625" s="3" t="str">
        <f>"201502003725"</f>
        <v>201502003725</v>
      </c>
    </row>
    <row r="32626" spans="1:2" x14ac:dyDescent="0.25">
      <c r="A32626" s="2">
        <v>32621</v>
      </c>
      <c r="B32626" s="3" t="str">
        <f>"201502003773"</f>
        <v>201502003773</v>
      </c>
    </row>
    <row r="32627" spans="1:2" x14ac:dyDescent="0.25">
      <c r="A32627" s="2">
        <v>32622</v>
      </c>
      <c r="B32627" s="3" t="str">
        <f>"201502003821"</f>
        <v>201502003821</v>
      </c>
    </row>
    <row r="32628" spans="1:2" x14ac:dyDescent="0.25">
      <c r="A32628" s="2">
        <v>32623</v>
      </c>
      <c r="B32628" s="3" t="str">
        <f>"201502003858"</f>
        <v>201502003858</v>
      </c>
    </row>
    <row r="32629" spans="1:2" x14ac:dyDescent="0.25">
      <c r="A32629" s="2">
        <v>32624</v>
      </c>
      <c r="B32629" s="3" t="str">
        <f>"201502003859"</f>
        <v>201502003859</v>
      </c>
    </row>
    <row r="32630" spans="1:2" x14ac:dyDescent="0.25">
      <c r="A32630" s="2">
        <v>32625</v>
      </c>
      <c r="B32630" s="3" t="str">
        <f>"201502003865"</f>
        <v>201502003865</v>
      </c>
    </row>
    <row r="32631" spans="1:2" x14ac:dyDescent="0.25">
      <c r="A32631" s="2">
        <v>32626</v>
      </c>
      <c r="B32631" s="3" t="str">
        <f>"201502003912"</f>
        <v>201502003912</v>
      </c>
    </row>
    <row r="32632" spans="1:2" x14ac:dyDescent="0.25">
      <c r="A32632" s="2">
        <v>32627</v>
      </c>
      <c r="B32632" s="3" t="str">
        <f>"201502003930"</f>
        <v>201502003930</v>
      </c>
    </row>
    <row r="32633" spans="1:2" x14ac:dyDescent="0.25">
      <c r="A32633" s="2">
        <v>32628</v>
      </c>
      <c r="B32633" s="3" t="str">
        <f>"201502003943"</f>
        <v>201502003943</v>
      </c>
    </row>
    <row r="32634" spans="1:2" x14ac:dyDescent="0.25">
      <c r="A32634" s="2">
        <v>32629</v>
      </c>
      <c r="B32634" s="3" t="str">
        <f>"201502003952"</f>
        <v>201502003952</v>
      </c>
    </row>
    <row r="32635" spans="1:2" x14ac:dyDescent="0.25">
      <c r="A32635" s="2">
        <v>32630</v>
      </c>
      <c r="B32635" s="3" t="str">
        <f>"201502003955"</f>
        <v>201502003955</v>
      </c>
    </row>
    <row r="32636" spans="1:2" x14ac:dyDescent="0.25">
      <c r="A32636" s="2">
        <v>32631</v>
      </c>
      <c r="B32636" s="3" t="str">
        <f>"201502003968"</f>
        <v>201502003968</v>
      </c>
    </row>
    <row r="32637" spans="1:2" x14ac:dyDescent="0.25">
      <c r="A32637" s="2">
        <v>32632</v>
      </c>
      <c r="B32637" s="3" t="str">
        <f>"201502004006"</f>
        <v>201502004006</v>
      </c>
    </row>
    <row r="32638" spans="1:2" x14ac:dyDescent="0.25">
      <c r="A32638" s="2">
        <v>32633</v>
      </c>
      <c r="B32638" s="3" t="str">
        <f>"201502004040"</f>
        <v>201502004040</v>
      </c>
    </row>
    <row r="32639" spans="1:2" x14ac:dyDescent="0.25">
      <c r="A32639" s="2">
        <v>32634</v>
      </c>
      <c r="B32639" s="3" t="str">
        <f>"201502004042"</f>
        <v>201502004042</v>
      </c>
    </row>
    <row r="32640" spans="1:2" x14ac:dyDescent="0.25">
      <c r="A32640" s="2">
        <v>32635</v>
      </c>
      <c r="B32640" s="3" t="str">
        <f>"201502004048"</f>
        <v>201502004048</v>
      </c>
    </row>
    <row r="32641" spans="1:2" x14ac:dyDescent="0.25">
      <c r="A32641" s="2">
        <v>32636</v>
      </c>
      <c r="B32641" s="3" t="str">
        <f>"201502004059"</f>
        <v>201502004059</v>
      </c>
    </row>
    <row r="32642" spans="1:2" x14ac:dyDescent="0.25">
      <c r="A32642" s="2">
        <v>32637</v>
      </c>
      <c r="B32642" s="3" t="str">
        <f>"201502004065"</f>
        <v>201502004065</v>
      </c>
    </row>
    <row r="32643" spans="1:2" x14ac:dyDescent="0.25">
      <c r="A32643" s="2">
        <v>32638</v>
      </c>
      <c r="B32643" s="3" t="str">
        <f>"201502004131"</f>
        <v>201502004131</v>
      </c>
    </row>
    <row r="32644" spans="1:2" x14ac:dyDescent="0.25">
      <c r="A32644" s="2">
        <v>32639</v>
      </c>
      <c r="B32644" s="3" t="str">
        <f>"201502004148"</f>
        <v>201502004148</v>
      </c>
    </row>
    <row r="32645" spans="1:2" x14ac:dyDescent="0.25">
      <c r="A32645" s="2">
        <v>32640</v>
      </c>
      <c r="B32645" s="3" t="str">
        <f>"201502004151"</f>
        <v>201502004151</v>
      </c>
    </row>
    <row r="32646" spans="1:2" x14ac:dyDescent="0.25">
      <c r="A32646" s="2">
        <v>32641</v>
      </c>
      <c r="B32646" s="3" t="str">
        <f>"201502004172"</f>
        <v>201502004172</v>
      </c>
    </row>
    <row r="32647" spans="1:2" x14ac:dyDescent="0.25">
      <c r="A32647" s="2">
        <v>32642</v>
      </c>
      <c r="B32647" s="3" t="str">
        <f>"201502004223"</f>
        <v>201502004223</v>
      </c>
    </row>
    <row r="32648" spans="1:2" x14ac:dyDescent="0.25">
      <c r="A32648" s="2">
        <v>32643</v>
      </c>
      <c r="B32648" s="3" t="str">
        <f>"201503000005"</f>
        <v>201503000005</v>
      </c>
    </row>
    <row r="32649" spans="1:2" x14ac:dyDescent="0.25">
      <c r="A32649" s="2">
        <v>32644</v>
      </c>
      <c r="B32649" s="3" t="str">
        <f>"201503000024"</f>
        <v>201503000024</v>
      </c>
    </row>
    <row r="32650" spans="1:2" x14ac:dyDescent="0.25">
      <c r="A32650" s="2">
        <v>32645</v>
      </c>
      <c r="B32650" s="3" t="str">
        <f>"201503000044"</f>
        <v>201503000044</v>
      </c>
    </row>
    <row r="32651" spans="1:2" x14ac:dyDescent="0.25">
      <c r="A32651" s="2">
        <v>32646</v>
      </c>
      <c r="B32651" s="3" t="str">
        <f>"201503000077"</f>
        <v>201503000077</v>
      </c>
    </row>
    <row r="32652" spans="1:2" x14ac:dyDescent="0.25">
      <c r="A32652" s="2">
        <v>32647</v>
      </c>
      <c r="B32652" s="3" t="str">
        <f>"201503000114"</f>
        <v>201503000114</v>
      </c>
    </row>
    <row r="32653" spans="1:2" x14ac:dyDescent="0.25">
      <c r="A32653" s="2">
        <v>32648</v>
      </c>
      <c r="B32653" s="3" t="str">
        <f>"201503000128"</f>
        <v>201503000128</v>
      </c>
    </row>
    <row r="32654" spans="1:2" x14ac:dyDescent="0.25">
      <c r="A32654" s="2">
        <v>32649</v>
      </c>
      <c r="B32654" s="3" t="str">
        <f>"201503000197"</f>
        <v>201503000197</v>
      </c>
    </row>
    <row r="32655" spans="1:2" x14ac:dyDescent="0.25">
      <c r="A32655" s="2">
        <v>32650</v>
      </c>
      <c r="B32655" s="3" t="str">
        <f>"201503000219"</f>
        <v>201503000219</v>
      </c>
    </row>
    <row r="32656" spans="1:2" x14ac:dyDescent="0.25">
      <c r="A32656" s="2">
        <v>32651</v>
      </c>
      <c r="B32656" s="3" t="str">
        <f>"201503000232"</f>
        <v>201503000232</v>
      </c>
    </row>
    <row r="32657" spans="1:2" x14ac:dyDescent="0.25">
      <c r="A32657" s="2">
        <v>32652</v>
      </c>
      <c r="B32657" s="3" t="str">
        <f>"201503000240"</f>
        <v>201503000240</v>
      </c>
    </row>
    <row r="32658" spans="1:2" x14ac:dyDescent="0.25">
      <c r="A32658" s="2">
        <v>32653</v>
      </c>
      <c r="B32658" s="3" t="str">
        <f>"201503000381"</f>
        <v>201503000381</v>
      </c>
    </row>
    <row r="32659" spans="1:2" x14ac:dyDescent="0.25">
      <c r="A32659" s="2">
        <v>32654</v>
      </c>
      <c r="B32659" s="3" t="str">
        <f>"201503000403"</f>
        <v>201503000403</v>
      </c>
    </row>
    <row r="32660" spans="1:2" x14ac:dyDescent="0.25">
      <c r="A32660" s="2">
        <v>32655</v>
      </c>
      <c r="B32660" s="3" t="str">
        <f>"201503000514"</f>
        <v>201503000514</v>
      </c>
    </row>
    <row r="32661" spans="1:2" x14ac:dyDescent="0.25">
      <c r="A32661" s="2">
        <v>32656</v>
      </c>
      <c r="B32661" s="3" t="str">
        <f>"201503000516"</f>
        <v>201503000516</v>
      </c>
    </row>
    <row r="32662" spans="1:2" x14ac:dyDescent="0.25">
      <c r="A32662" s="2">
        <v>32657</v>
      </c>
      <c r="B32662" s="3" t="str">
        <f>"201503000616"</f>
        <v>201503000616</v>
      </c>
    </row>
    <row r="32663" spans="1:2" x14ac:dyDescent="0.25">
      <c r="A32663" s="2">
        <v>32658</v>
      </c>
      <c r="B32663" s="3" t="str">
        <f>"201504000023"</f>
        <v>201504000023</v>
      </c>
    </row>
    <row r="32664" spans="1:2" x14ac:dyDescent="0.25">
      <c r="A32664" s="2">
        <v>32659</v>
      </c>
      <c r="B32664" s="3" t="str">
        <f>"201504000044"</f>
        <v>201504000044</v>
      </c>
    </row>
    <row r="32665" spans="1:2" x14ac:dyDescent="0.25">
      <c r="A32665" s="2">
        <v>32660</v>
      </c>
      <c r="B32665" s="3" t="str">
        <f>"201504000150"</f>
        <v>201504000150</v>
      </c>
    </row>
    <row r="32666" spans="1:2" x14ac:dyDescent="0.25">
      <c r="A32666" s="2">
        <v>32661</v>
      </c>
      <c r="B32666" s="3" t="str">
        <f>"201504000167"</f>
        <v>201504000167</v>
      </c>
    </row>
    <row r="32667" spans="1:2" x14ac:dyDescent="0.25">
      <c r="A32667" s="2">
        <v>32662</v>
      </c>
      <c r="B32667" s="3" t="str">
        <f>"201504000180"</f>
        <v>201504000180</v>
      </c>
    </row>
    <row r="32668" spans="1:2" x14ac:dyDescent="0.25">
      <c r="A32668" s="2">
        <v>32663</v>
      </c>
      <c r="B32668" s="3" t="str">
        <f>"201504000207"</f>
        <v>201504000207</v>
      </c>
    </row>
    <row r="32669" spans="1:2" x14ac:dyDescent="0.25">
      <c r="A32669" s="2">
        <v>32664</v>
      </c>
      <c r="B32669" s="3" t="str">
        <f>"201504000208"</f>
        <v>201504000208</v>
      </c>
    </row>
    <row r="32670" spans="1:2" x14ac:dyDescent="0.25">
      <c r="A32670" s="2">
        <v>32665</v>
      </c>
      <c r="B32670" s="3" t="str">
        <f>"201504000298"</f>
        <v>201504000298</v>
      </c>
    </row>
    <row r="32671" spans="1:2" x14ac:dyDescent="0.25">
      <c r="A32671" s="2">
        <v>32666</v>
      </c>
      <c r="B32671" s="3" t="str">
        <f>"201504000338"</f>
        <v>201504000338</v>
      </c>
    </row>
    <row r="32672" spans="1:2" x14ac:dyDescent="0.25">
      <c r="A32672" s="2">
        <v>32667</v>
      </c>
      <c r="B32672" s="3" t="str">
        <f>"201504000389"</f>
        <v>201504000389</v>
      </c>
    </row>
    <row r="32673" spans="1:2" x14ac:dyDescent="0.25">
      <c r="A32673" s="2">
        <v>32668</v>
      </c>
      <c r="B32673" s="3" t="str">
        <f>"201504000765"</f>
        <v>201504000765</v>
      </c>
    </row>
    <row r="32674" spans="1:2" x14ac:dyDescent="0.25">
      <c r="A32674" s="2">
        <v>32669</v>
      </c>
      <c r="B32674" s="3" t="str">
        <f>"201504000792"</f>
        <v>201504000792</v>
      </c>
    </row>
    <row r="32675" spans="1:2" x14ac:dyDescent="0.25">
      <c r="A32675" s="2">
        <v>32670</v>
      </c>
      <c r="B32675" s="3" t="str">
        <f>"201504000825"</f>
        <v>201504000825</v>
      </c>
    </row>
    <row r="32676" spans="1:2" x14ac:dyDescent="0.25">
      <c r="A32676" s="2">
        <v>32671</v>
      </c>
      <c r="B32676" s="3" t="str">
        <f>"201504000897"</f>
        <v>201504000897</v>
      </c>
    </row>
    <row r="32677" spans="1:2" x14ac:dyDescent="0.25">
      <c r="A32677" s="2">
        <v>32672</v>
      </c>
      <c r="B32677" s="3" t="str">
        <f>"201504000936"</f>
        <v>201504000936</v>
      </c>
    </row>
    <row r="32678" spans="1:2" x14ac:dyDescent="0.25">
      <c r="A32678" s="2">
        <v>32673</v>
      </c>
      <c r="B32678" s="3" t="str">
        <f>"201504000970"</f>
        <v>201504000970</v>
      </c>
    </row>
    <row r="32679" spans="1:2" x14ac:dyDescent="0.25">
      <c r="A32679" s="2">
        <v>32674</v>
      </c>
      <c r="B32679" s="3" t="str">
        <f>"201504001019"</f>
        <v>201504001019</v>
      </c>
    </row>
    <row r="32680" spans="1:2" x14ac:dyDescent="0.25">
      <c r="A32680" s="2">
        <v>32675</v>
      </c>
      <c r="B32680" s="3" t="str">
        <f>"201504001032"</f>
        <v>201504001032</v>
      </c>
    </row>
    <row r="32681" spans="1:2" x14ac:dyDescent="0.25">
      <c r="A32681" s="2">
        <v>32676</v>
      </c>
      <c r="B32681" s="3" t="str">
        <f>"201504001052"</f>
        <v>201504001052</v>
      </c>
    </row>
    <row r="32682" spans="1:2" x14ac:dyDescent="0.25">
      <c r="A32682" s="2">
        <v>32677</v>
      </c>
      <c r="B32682" s="3" t="str">
        <f>"201504001060"</f>
        <v>201504001060</v>
      </c>
    </row>
    <row r="32683" spans="1:2" x14ac:dyDescent="0.25">
      <c r="A32683" s="2">
        <v>32678</v>
      </c>
      <c r="B32683" s="3" t="str">
        <f>"201504001075"</f>
        <v>201504001075</v>
      </c>
    </row>
    <row r="32684" spans="1:2" x14ac:dyDescent="0.25">
      <c r="A32684" s="2">
        <v>32679</v>
      </c>
      <c r="B32684" s="3" t="str">
        <f>"201504001157"</f>
        <v>201504001157</v>
      </c>
    </row>
    <row r="32685" spans="1:2" x14ac:dyDescent="0.25">
      <c r="A32685" s="2">
        <v>32680</v>
      </c>
      <c r="B32685" s="3" t="str">
        <f>"201504001247"</f>
        <v>201504001247</v>
      </c>
    </row>
    <row r="32686" spans="1:2" x14ac:dyDescent="0.25">
      <c r="A32686" s="2">
        <v>32681</v>
      </c>
      <c r="B32686" s="3" t="str">
        <f>"201504001250"</f>
        <v>201504001250</v>
      </c>
    </row>
    <row r="32687" spans="1:2" x14ac:dyDescent="0.25">
      <c r="A32687" s="2">
        <v>32682</v>
      </c>
      <c r="B32687" s="3" t="str">
        <f>"201504001290"</f>
        <v>201504001290</v>
      </c>
    </row>
    <row r="32688" spans="1:2" x14ac:dyDescent="0.25">
      <c r="A32688" s="2">
        <v>32683</v>
      </c>
      <c r="B32688" s="3" t="str">
        <f>"201504001330"</f>
        <v>201504001330</v>
      </c>
    </row>
    <row r="32689" spans="1:2" x14ac:dyDescent="0.25">
      <c r="A32689" s="2">
        <v>32684</v>
      </c>
      <c r="B32689" s="3" t="str">
        <f>"201504001465"</f>
        <v>201504001465</v>
      </c>
    </row>
    <row r="32690" spans="1:2" x14ac:dyDescent="0.25">
      <c r="A32690" s="2">
        <v>32685</v>
      </c>
      <c r="B32690" s="3" t="str">
        <f>"201504001470"</f>
        <v>201504001470</v>
      </c>
    </row>
    <row r="32691" spans="1:2" x14ac:dyDescent="0.25">
      <c r="A32691" s="2">
        <v>32686</v>
      </c>
      <c r="B32691" s="3" t="str">
        <f>"201504001588"</f>
        <v>201504001588</v>
      </c>
    </row>
    <row r="32692" spans="1:2" x14ac:dyDescent="0.25">
      <c r="A32692" s="2">
        <v>32687</v>
      </c>
      <c r="B32692" s="3" t="str">
        <f>"201504001593"</f>
        <v>201504001593</v>
      </c>
    </row>
    <row r="32693" spans="1:2" x14ac:dyDescent="0.25">
      <c r="A32693" s="2">
        <v>32688</v>
      </c>
      <c r="B32693" s="3" t="str">
        <f>"201504001663"</f>
        <v>201504001663</v>
      </c>
    </row>
    <row r="32694" spans="1:2" x14ac:dyDescent="0.25">
      <c r="A32694" s="2">
        <v>32689</v>
      </c>
      <c r="B32694" s="3" t="str">
        <f>"201504001681"</f>
        <v>201504001681</v>
      </c>
    </row>
    <row r="32695" spans="1:2" x14ac:dyDescent="0.25">
      <c r="A32695" s="2">
        <v>32690</v>
      </c>
      <c r="B32695" s="3" t="str">
        <f>"201504001701"</f>
        <v>201504001701</v>
      </c>
    </row>
    <row r="32696" spans="1:2" x14ac:dyDescent="0.25">
      <c r="A32696" s="2">
        <v>32691</v>
      </c>
      <c r="B32696" s="3" t="str">
        <f>"201504001712"</f>
        <v>201504001712</v>
      </c>
    </row>
    <row r="32697" spans="1:2" x14ac:dyDescent="0.25">
      <c r="A32697" s="2">
        <v>32692</v>
      </c>
      <c r="B32697" s="3" t="str">
        <f>"201504001722"</f>
        <v>201504001722</v>
      </c>
    </row>
    <row r="32698" spans="1:2" x14ac:dyDescent="0.25">
      <c r="A32698" s="2">
        <v>32693</v>
      </c>
      <c r="B32698" s="3" t="str">
        <f>"201504001768"</f>
        <v>201504001768</v>
      </c>
    </row>
    <row r="32699" spans="1:2" x14ac:dyDescent="0.25">
      <c r="A32699" s="2">
        <v>32694</v>
      </c>
      <c r="B32699" s="3" t="str">
        <f>"201504001794"</f>
        <v>201504001794</v>
      </c>
    </row>
    <row r="32700" spans="1:2" x14ac:dyDescent="0.25">
      <c r="A32700" s="2">
        <v>32695</v>
      </c>
      <c r="B32700" s="3" t="str">
        <f>"201504001813"</f>
        <v>201504001813</v>
      </c>
    </row>
    <row r="32701" spans="1:2" x14ac:dyDescent="0.25">
      <c r="A32701" s="2">
        <v>32696</v>
      </c>
      <c r="B32701" s="3" t="str">
        <f>"201504001879"</f>
        <v>201504001879</v>
      </c>
    </row>
    <row r="32702" spans="1:2" x14ac:dyDescent="0.25">
      <c r="A32702" s="2">
        <v>32697</v>
      </c>
      <c r="B32702" s="3" t="str">
        <f>"201504001894"</f>
        <v>201504001894</v>
      </c>
    </row>
    <row r="32703" spans="1:2" x14ac:dyDescent="0.25">
      <c r="A32703" s="2">
        <v>32698</v>
      </c>
      <c r="B32703" s="3" t="str">
        <f>"201504001910"</f>
        <v>201504001910</v>
      </c>
    </row>
    <row r="32704" spans="1:2" x14ac:dyDescent="0.25">
      <c r="A32704" s="2">
        <v>32699</v>
      </c>
      <c r="B32704" s="3" t="str">
        <f>"201504001925"</f>
        <v>201504001925</v>
      </c>
    </row>
    <row r="32705" spans="1:2" x14ac:dyDescent="0.25">
      <c r="A32705" s="2">
        <v>32700</v>
      </c>
      <c r="B32705" s="3" t="str">
        <f>"201504001932"</f>
        <v>201504001932</v>
      </c>
    </row>
    <row r="32706" spans="1:2" x14ac:dyDescent="0.25">
      <c r="A32706" s="2">
        <v>32701</v>
      </c>
      <c r="B32706" s="3" t="str">
        <f>"201504001994"</f>
        <v>201504001994</v>
      </c>
    </row>
    <row r="32707" spans="1:2" x14ac:dyDescent="0.25">
      <c r="A32707" s="2">
        <v>32702</v>
      </c>
      <c r="B32707" s="3" t="str">
        <f>"201504002084"</f>
        <v>201504002084</v>
      </c>
    </row>
    <row r="32708" spans="1:2" x14ac:dyDescent="0.25">
      <c r="A32708" s="2">
        <v>32703</v>
      </c>
      <c r="B32708" s="3" t="str">
        <f>"201504002099"</f>
        <v>201504002099</v>
      </c>
    </row>
    <row r="32709" spans="1:2" x14ac:dyDescent="0.25">
      <c r="A32709" s="2">
        <v>32704</v>
      </c>
      <c r="B32709" s="3" t="str">
        <f>"201504002161"</f>
        <v>201504002161</v>
      </c>
    </row>
    <row r="32710" spans="1:2" x14ac:dyDescent="0.25">
      <c r="A32710" s="2">
        <v>32705</v>
      </c>
      <c r="B32710" s="3" t="str">
        <f>"201504002180"</f>
        <v>201504002180</v>
      </c>
    </row>
    <row r="32711" spans="1:2" x14ac:dyDescent="0.25">
      <c r="A32711" s="2">
        <v>32706</v>
      </c>
      <c r="B32711" s="3" t="str">
        <f>"201504002228"</f>
        <v>201504002228</v>
      </c>
    </row>
    <row r="32712" spans="1:2" x14ac:dyDescent="0.25">
      <c r="A32712" s="2">
        <v>32707</v>
      </c>
      <c r="B32712" s="3" t="str">
        <f>"201504002238"</f>
        <v>201504002238</v>
      </c>
    </row>
    <row r="32713" spans="1:2" x14ac:dyDescent="0.25">
      <c r="A32713" s="2">
        <v>32708</v>
      </c>
      <c r="B32713" s="3" t="str">
        <f>"201504002467"</f>
        <v>201504002467</v>
      </c>
    </row>
    <row r="32714" spans="1:2" x14ac:dyDescent="0.25">
      <c r="A32714" s="2">
        <v>32709</v>
      </c>
      <c r="B32714" s="3" t="str">
        <f>"201504002653"</f>
        <v>201504002653</v>
      </c>
    </row>
    <row r="32715" spans="1:2" x14ac:dyDescent="0.25">
      <c r="A32715" s="2">
        <v>32710</v>
      </c>
      <c r="B32715" s="3" t="str">
        <f>"201504002717"</f>
        <v>201504002717</v>
      </c>
    </row>
    <row r="32716" spans="1:2" x14ac:dyDescent="0.25">
      <c r="A32716" s="2">
        <v>32711</v>
      </c>
      <c r="B32716" s="3" t="str">
        <f>"201504002724"</f>
        <v>201504002724</v>
      </c>
    </row>
    <row r="32717" spans="1:2" x14ac:dyDescent="0.25">
      <c r="A32717" s="2">
        <v>32712</v>
      </c>
      <c r="B32717" s="3" t="str">
        <f>"201504002726"</f>
        <v>201504002726</v>
      </c>
    </row>
    <row r="32718" spans="1:2" x14ac:dyDescent="0.25">
      <c r="A32718" s="2">
        <v>32713</v>
      </c>
      <c r="B32718" s="3" t="str">
        <f>"201504002796"</f>
        <v>201504002796</v>
      </c>
    </row>
    <row r="32719" spans="1:2" x14ac:dyDescent="0.25">
      <c r="A32719" s="2">
        <v>32714</v>
      </c>
      <c r="B32719" s="3" t="str">
        <f>"201504002940"</f>
        <v>201504002940</v>
      </c>
    </row>
    <row r="32720" spans="1:2" x14ac:dyDescent="0.25">
      <c r="A32720" s="2">
        <v>32715</v>
      </c>
      <c r="B32720" s="3" t="str">
        <f>"201504003042"</f>
        <v>201504003042</v>
      </c>
    </row>
    <row r="32721" spans="1:2" x14ac:dyDescent="0.25">
      <c r="A32721" s="2">
        <v>32716</v>
      </c>
      <c r="B32721" s="3" t="str">
        <f>"201504003089"</f>
        <v>201504003089</v>
      </c>
    </row>
    <row r="32722" spans="1:2" x14ac:dyDescent="0.25">
      <c r="A32722" s="2">
        <v>32717</v>
      </c>
      <c r="B32722" s="3" t="str">
        <f>"201504003190"</f>
        <v>201504003190</v>
      </c>
    </row>
    <row r="32723" spans="1:2" x14ac:dyDescent="0.25">
      <c r="A32723" s="2">
        <v>32718</v>
      </c>
      <c r="B32723" s="3" t="str">
        <f>"201504003241"</f>
        <v>201504003241</v>
      </c>
    </row>
    <row r="32724" spans="1:2" x14ac:dyDescent="0.25">
      <c r="A32724" s="2">
        <v>32719</v>
      </c>
      <c r="B32724" s="3" t="str">
        <f>"201504003256"</f>
        <v>201504003256</v>
      </c>
    </row>
    <row r="32725" spans="1:2" x14ac:dyDescent="0.25">
      <c r="A32725" s="2">
        <v>32720</v>
      </c>
      <c r="B32725" s="3" t="str">
        <f>"201504003258"</f>
        <v>201504003258</v>
      </c>
    </row>
    <row r="32726" spans="1:2" x14ac:dyDescent="0.25">
      <c r="A32726" s="2">
        <v>32721</v>
      </c>
      <c r="B32726" s="3" t="str">
        <f>"201504003369"</f>
        <v>201504003369</v>
      </c>
    </row>
    <row r="32727" spans="1:2" x14ac:dyDescent="0.25">
      <c r="A32727" s="2">
        <v>32722</v>
      </c>
      <c r="B32727" s="3" t="str">
        <f>"201504003434"</f>
        <v>201504003434</v>
      </c>
    </row>
    <row r="32728" spans="1:2" x14ac:dyDescent="0.25">
      <c r="A32728" s="2">
        <v>32723</v>
      </c>
      <c r="B32728" s="3" t="str">
        <f>"201504003675"</f>
        <v>201504003675</v>
      </c>
    </row>
    <row r="32729" spans="1:2" x14ac:dyDescent="0.25">
      <c r="A32729" s="2">
        <v>32724</v>
      </c>
      <c r="B32729" s="3" t="str">
        <f>"201504003696"</f>
        <v>201504003696</v>
      </c>
    </row>
    <row r="32730" spans="1:2" x14ac:dyDescent="0.25">
      <c r="A32730" s="2">
        <v>32725</v>
      </c>
      <c r="B32730" s="3" t="str">
        <f>"201504003697"</f>
        <v>201504003697</v>
      </c>
    </row>
    <row r="32731" spans="1:2" x14ac:dyDescent="0.25">
      <c r="A32731" s="2">
        <v>32726</v>
      </c>
      <c r="B32731" s="3" t="str">
        <f>"201504003745"</f>
        <v>201504003745</v>
      </c>
    </row>
    <row r="32732" spans="1:2" x14ac:dyDescent="0.25">
      <c r="A32732" s="2">
        <v>32727</v>
      </c>
      <c r="B32732" s="3" t="str">
        <f>"201504003805"</f>
        <v>201504003805</v>
      </c>
    </row>
    <row r="32733" spans="1:2" x14ac:dyDescent="0.25">
      <c r="A32733" s="2">
        <v>32728</v>
      </c>
      <c r="B32733" s="3" t="str">
        <f>"201504003847"</f>
        <v>201504003847</v>
      </c>
    </row>
    <row r="32734" spans="1:2" x14ac:dyDescent="0.25">
      <c r="A32734" s="2">
        <v>32729</v>
      </c>
      <c r="B32734" s="3" t="str">
        <f>"201504003898"</f>
        <v>201504003898</v>
      </c>
    </row>
    <row r="32735" spans="1:2" x14ac:dyDescent="0.25">
      <c r="A32735" s="2">
        <v>32730</v>
      </c>
      <c r="B32735" s="3" t="str">
        <f>"201504003927"</f>
        <v>201504003927</v>
      </c>
    </row>
    <row r="32736" spans="1:2" x14ac:dyDescent="0.25">
      <c r="A32736" s="2">
        <v>32731</v>
      </c>
      <c r="B32736" s="3" t="str">
        <f>"201504004036"</f>
        <v>201504004036</v>
      </c>
    </row>
    <row r="32737" spans="1:2" x14ac:dyDescent="0.25">
      <c r="A32737" s="2">
        <v>32732</v>
      </c>
      <c r="B32737" s="3" t="str">
        <f>"201504004051"</f>
        <v>201504004051</v>
      </c>
    </row>
    <row r="32738" spans="1:2" x14ac:dyDescent="0.25">
      <c r="A32738" s="2">
        <v>32733</v>
      </c>
      <c r="B32738" s="3" t="str">
        <f>"201504004067"</f>
        <v>201504004067</v>
      </c>
    </row>
    <row r="32739" spans="1:2" x14ac:dyDescent="0.25">
      <c r="A32739" s="2">
        <v>32734</v>
      </c>
      <c r="B32739" s="3" t="str">
        <f>"201504004099"</f>
        <v>201504004099</v>
      </c>
    </row>
    <row r="32740" spans="1:2" x14ac:dyDescent="0.25">
      <c r="A32740" s="2">
        <v>32735</v>
      </c>
      <c r="B32740" s="3" t="str">
        <f>"201504004124"</f>
        <v>201504004124</v>
      </c>
    </row>
    <row r="32741" spans="1:2" x14ac:dyDescent="0.25">
      <c r="A32741" s="2">
        <v>32736</v>
      </c>
      <c r="B32741" s="3" t="str">
        <f>"201504004152"</f>
        <v>201504004152</v>
      </c>
    </row>
    <row r="32742" spans="1:2" x14ac:dyDescent="0.25">
      <c r="A32742" s="2">
        <v>32737</v>
      </c>
      <c r="B32742" s="3" t="str">
        <f>"201504004213"</f>
        <v>201504004213</v>
      </c>
    </row>
    <row r="32743" spans="1:2" x14ac:dyDescent="0.25">
      <c r="A32743" s="2">
        <v>32738</v>
      </c>
      <c r="B32743" s="3" t="str">
        <f>"201504004256"</f>
        <v>201504004256</v>
      </c>
    </row>
    <row r="32744" spans="1:2" x14ac:dyDescent="0.25">
      <c r="A32744" s="2">
        <v>32739</v>
      </c>
      <c r="B32744" s="3" t="str">
        <f>"201504004409"</f>
        <v>201504004409</v>
      </c>
    </row>
    <row r="32745" spans="1:2" x14ac:dyDescent="0.25">
      <c r="A32745" s="2">
        <v>32740</v>
      </c>
      <c r="B32745" s="3" t="str">
        <f>"201504004472"</f>
        <v>201504004472</v>
      </c>
    </row>
    <row r="32746" spans="1:2" x14ac:dyDescent="0.25">
      <c r="A32746" s="2">
        <v>32741</v>
      </c>
      <c r="B32746" s="3" t="str">
        <f>"201504004599"</f>
        <v>201504004599</v>
      </c>
    </row>
    <row r="32747" spans="1:2" x14ac:dyDescent="0.25">
      <c r="A32747" s="2">
        <v>32742</v>
      </c>
      <c r="B32747" s="3" t="str">
        <f>"201504004640"</f>
        <v>201504004640</v>
      </c>
    </row>
    <row r="32748" spans="1:2" x14ac:dyDescent="0.25">
      <c r="A32748" s="2">
        <v>32743</v>
      </c>
      <c r="B32748" s="3" t="str">
        <f>"201504004722"</f>
        <v>201504004722</v>
      </c>
    </row>
    <row r="32749" spans="1:2" x14ac:dyDescent="0.25">
      <c r="A32749" s="2">
        <v>32744</v>
      </c>
      <c r="B32749" s="3" t="str">
        <f>"201504004755"</f>
        <v>201504004755</v>
      </c>
    </row>
    <row r="32750" spans="1:2" x14ac:dyDescent="0.25">
      <c r="A32750" s="2">
        <v>32745</v>
      </c>
      <c r="B32750" s="3" t="str">
        <f>"201504004970"</f>
        <v>201504004970</v>
      </c>
    </row>
    <row r="32751" spans="1:2" x14ac:dyDescent="0.25">
      <c r="A32751" s="2">
        <v>32746</v>
      </c>
      <c r="B32751" s="3" t="str">
        <f>"201504004994"</f>
        <v>201504004994</v>
      </c>
    </row>
    <row r="32752" spans="1:2" x14ac:dyDescent="0.25">
      <c r="A32752" s="2">
        <v>32747</v>
      </c>
      <c r="B32752" s="3" t="str">
        <f>"201504004997"</f>
        <v>201504004997</v>
      </c>
    </row>
    <row r="32753" spans="1:2" x14ac:dyDescent="0.25">
      <c r="A32753" s="2">
        <v>32748</v>
      </c>
      <c r="B32753" s="3" t="str">
        <f>"201504005032"</f>
        <v>201504005032</v>
      </c>
    </row>
    <row r="32754" spans="1:2" x14ac:dyDescent="0.25">
      <c r="A32754" s="2">
        <v>32749</v>
      </c>
      <c r="B32754" s="3" t="str">
        <f>"201504005083"</f>
        <v>201504005083</v>
      </c>
    </row>
    <row r="32755" spans="1:2" x14ac:dyDescent="0.25">
      <c r="A32755" s="2">
        <v>32750</v>
      </c>
      <c r="B32755" s="3" t="str">
        <f>"201504005094"</f>
        <v>201504005094</v>
      </c>
    </row>
    <row r="32756" spans="1:2" x14ac:dyDescent="0.25">
      <c r="A32756" s="2">
        <v>32751</v>
      </c>
      <c r="B32756" s="3" t="str">
        <f>"201504005109"</f>
        <v>201504005109</v>
      </c>
    </row>
    <row r="32757" spans="1:2" x14ac:dyDescent="0.25">
      <c r="A32757" s="2">
        <v>32752</v>
      </c>
      <c r="B32757" s="3" t="str">
        <f>"201504005143"</f>
        <v>201504005143</v>
      </c>
    </row>
    <row r="32758" spans="1:2" x14ac:dyDescent="0.25">
      <c r="A32758" s="2">
        <v>32753</v>
      </c>
      <c r="B32758" s="3" t="str">
        <f>"201504005160"</f>
        <v>201504005160</v>
      </c>
    </row>
    <row r="32759" spans="1:2" x14ac:dyDescent="0.25">
      <c r="A32759" s="2">
        <v>32754</v>
      </c>
      <c r="B32759" s="3" t="str">
        <f>"201504005217"</f>
        <v>201504005217</v>
      </c>
    </row>
    <row r="32760" spans="1:2" x14ac:dyDescent="0.25">
      <c r="A32760" s="2">
        <v>32755</v>
      </c>
      <c r="B32760" s="3" t="str">
        <f>"201504005329"</f>
        <v>201504005329</v>
      </c>
    </row>
    <row r="32761" spans="1:2" x14ac:dyDescent="0.25">
      <c r="A32761" s="2">
        <v>32756</v>
      </c>
      <c r="B32761" s="3" t="str">
        <f>"201504005357"</f>
        <v>201504005357</v>
      </c>
    </row>
    <row r="32762" spans="1:2" x14ac:dyDescent="0.25">
      <c r="A32762" s="2">
        <v>32757</v>
      </c>
      <c r="B32762" s="3" t="str">
        <f>"201504005372"</f>
        <v>201504005372</v>
      </c>
    </row>
    <row r="32763" spans="1:2" x14ac:dyDescent="0.25">
      <c r="A32763" s="2">
        <v>32758</v>
      </c>
      <c r="B32763" s="3" t="str">
        <f>"201504005402"</f>
        <v>201504005402</v>
      </c>
    </row>
    <row r="32764" spans="1:2" x14ac:dyDescent="0.25">
      <c r="A32764" s="2">
        <v>32759</v>
      </c>
      <c r="B32764" s="3" t="str">
        <f>"201504005494"</f>
        <v>201504005494</v>
      </c>
    </row>
    <row r="32765" spans="1:2" x14ac:dyDescent="0.25">
      <c r="A32765" s="2">
        <v>32760</v>
      </c>
      <c r="B32765" s="3" t="str">
        <f>"201505000019"</f>
        <v>201505000019</v>
      </c>
    </row>
    <row r="32766" spans="1:2" x14ac:dyDescent="0.25">
      <c r="A32766" s="2">
        <v>32761</v>
      </c>
      <c r="B32766" s="3" t="str">
        <f>"201505000027"</f>
        <v>201505000027</v>
      </c>
    </row>
    <row r="32767" spans="1:2" x14ac:dyDescent="0.25">
      <c r="A32767" s="2">
        <v>32762</v>
      </c>
      <c r="B32767" s="3" t="str">
        <f>"201505000034"</f>
        <v>201505000034</v>
      </c>
    </row>
    <row r="32768" spans="1:2" x14ac:dyDescent="0.25">
      <c r="A32768" s="2">
        <v>32763</v>
      </c>
      <c r="B32768" s="3" t="str">
        <f>"201505000105"</f>
        <v>201505000105</v>
      </c>
    </row>
    <row r="32769" spans="1:2" x14ac:dyDescent="0.25">
      <c r="A32769" s="2">
        <v>32764</v>
      </c>
      <c r="B32769" s="3" t="str">
        <f>"201505000112"</f>
        <v>201505000112</v>
      </c>
    </row>
    <row r="32770" spans="1:2" x14ac:dyDescent="0.25">
      <c r="A32770" s="2">
        <v>32765</v>
      </c>
      <c r="B32770" s="3" t="str">
        <f>"201505000205"</f>
        <v>201505000205</v>
      </c>
    </row>
    <row r="32771" spans="1:2" x14ac:dyDescent="0.25">
      <c r="A32771" s="2">
        <v>32766</v>
      </c>
      <c r="B32771" s="3" t="str">
        <f>"201505000222"</f>
        <v>201505000222</v>
      </c>
    </row>
    <row r="32772" spans="1:2" x14ac:dyDescent="0.25">
      <c r="A32772" s="2">
        <v>32767</v>
      </c>
      <c r="B32772" s="3" t="str">
        <f>"201505000270"</f>
        <v>201505000270</v>
      </c>
    </row>
    <row r="32773" spans="1:2" x14ac:dyDescent="0.25">
      <c r="A32773" s="2">
        <v>32768</v>
      </c>
      <c r="B32773" s="3" t="str">
        <f>"201505000276"</f>
        <v>201505000276</v>
      </c>
    </row>
    <row r="32774" spans="1:2" x14ac:dyDescent="0.25">
      <c r="A32774" s="2">
        <v>32769</v>
      </c>
      <c r="B32774" s="3" t="str">
        <f>"201505000281"</f>
        <v>201505000281</v>
      </c>
    </row>
    <row r="32775" spans="1:2" x14ac:dyDescent="0.25">
      <c r="A32775" s="2">
        <v>32770</v>
      </c>
      <c r="B32775" s="3" t="str">
        <f>"201505000295"</f>
        <v>201505000295</v>
      </c>
    </row>
    <row r="32776" spans="1:2" x14ac:dyDescent="0.25">
      <c r="A32776" s="2">
        <v>32771</v>
      </c>
      <c r="B32776" s="3" t="str">
        <f>"201505000305"</f>
        <v>201505000305</v>
      </c>
    </row>
    <row r="32777" spans="1:2" x14ac:dyDescent="0.25">
      <c r="A32777" s="2">
        <v>32772</v>
      </c>
      <c r="B32777" s="3" t="str">
        <f>"201505000330"</f>
        <v>201505000330</v>
      </c>
    </row>
    <row r="32778" spans="1:2" x14ac:dyDescent="0.25">
      <c r="A32778" s="2">
        <v>32773</v>
      </c>
      <c r="B32778" s="3" t="str">
        <f>"201505000339"</f>
        <v>201505000339</v>
      </c>
    </row>
    <row r="32779" spans="1:2" x14ac:dyDescent="0.25">
      <c r="A32779" s="2">
        <v>32774</v>
      </c>
      <c r="B32779" s="3" t="str">
        <f>"201505000350"</f>
        <v>201505000350</v>
      </c>
    </row>
    <row r="32780" spans="1:2" x14ac:dyDescent="0.25">
      <c r="A32780" s="2">
        <v>32775</v>
      </c>
      <c r="B32780" s="3" t="str">
        <f>"201505000413"</f>
        <v>201505000413</v>
      </c>
    </row>
    <row r="32781" spans="1:2" x14ac:dyDescent="0.25">
      <c r="A32781" s="2">
        <v>32776</v>
      </c>
      <c r="B32781" s="3" t="str">
        <f>"201505000424"</f>
        <v>201505000424</v>
      </c>
    </row>
    <row r="32782" spans="1:2" x14ac:dyDescent="0.25">
      <c r="A32782" s="2">
        <v>32777</v>
      </c>
      <c r="B32782" s="3" t="str">
        <f>"201505000439"</f>
        <v>201505000439</v>
      </c>
    </row>
    <row r="32783" spans="1:2" x14ac:dyDescent="0.25">
      <c r="A32783" s="2">
        <v>32778</v>
      </c>
      <c r="B32783" s="3" t="str">
        <f>"201505000518"</f>
        <v>201505000518</v>
      </c>
    </row>
    <row r="32784" spans="1:2" x14ac:dyDescent="0.25">
      <c r="A32784" s="2">
        <v>32779</v>
      </c>
      <c r="B32784" s="3" t="str">
        <f>"201506000072"</f>
        <v>201506000072</v>
      </c>
    </row>
    <row r="32785" spans="1:2" x14ac:dyDescent="0.25">
      <c r="A32785" s="2">
        <v>32780</v>
      </c>
      <c r="B32785" s="3" t="str">
        <f>"201506000081"</f>
        <v>201506000081</v>
      </c>
    </row>
    <row r="32786" spans="1:2" x14ac:dyDescent="0.25">
      <c r="A32786" s="2">
        <v>32781</v>
      </c>
      <c r="B32786" s="3" t="str">
        <f>"201506000108"</f>
        <v>201506000108</v>
      </c>
    </row>
    <row r="32787" spans="1:2" x14ac:dyDescent="0.25">
      <c r="A32787" s="2">
        <v>32782</v>
      </c>
      <c r="B32787" s="3" t="str">
        <f>"201506000121"</f>
        <v>201506000121</v>
      </c>
    </row>
    <row r="32788" spans="1:2" x14ac:dyDescent="0.25">
      <c r="A32788" s="2">
        <v>32783</v>
      </c>
      <c r="B32788" s="3" t="str">
        <f>"201506000130"</f>
        <v>201506000130</v>
      </c>
    </row>
    <row r="32789" spans="1:2" x14ac:dyDescent="0.25">
      <c r="A32789" s="2">
        <v>32784</v>
      </c>
      <c r="B32789" s="3" t="str">
        <f>"201506000178"</f>
        <v>201506000178</v>
      </c>
    </row>
    <row r="32790" spans="1:2" x14ac:dyDescent="0.25">
      <c r="A32790" s="2">
        <v>32785</v>
      </c>
      <c r="B32790" s="3" t="str">
        <f>"201506000184"</f>
        <v>201506000184</v>
      </c>
    </row>
    <row r="32791" spans="1:2" x14ac:dyDescent="0.25">
      <c r="A32791" s="2">
        <v>32786</v>
      </c>
      <c r="B32791" s="3" t="str">
        <f>"201506000202"</f>
        <v>201506000202</v>
      </c>
    </row>
    <row r="32792" spans="1:2" x14ac:dyDescent="0.25">
      <c r="A32792" s="2">
        <v>32787</v>
      </c>
      <c r="B32792" s="3" t="str">
        <f>"201506000256"</f>
        <v>201506000256</v>
      </c>
    </row>
    <row r="32793" spans="1:2" x14ac:dyDescent="0.25">
      <c r="A32793" s="2">
        <v>32788</v>
      </c>
      <c r="B32793" s="3" t="str">
        <f>"201506000259"</f>
        <v>201506000259</v>
      </c>
    </row>
    <row r="32794" spans="1:2" x14ac:dyDescent="0.25">
      <c r="A32794" s="2">
        <v>32789</v>
      </c>
      <c r="B32794" s="3" t="str">
        <f>"201506000279"</f>
        <v>201506000279</v>
      </c>
    </row>
    <row r="32795" spans="1:2" x14ac:dyDescent="0.25">
      <c r="A32795" s="2">
        <v>32790</v>
      </c>
      <c r="B32795" s="3" t="str">
        <f>"201506000315"</f>
        <v>201506000315</v>
      </c>
    </row>
    <row r="32796" spans="1:2" x14ac:dyDescent="0.25">
      <c r="A32796" s="2">
        <v>32791</v>
      </c>
      <c r="B32796" s="3" t="str">
        <f>"201506000406"</f>
        <v>201506000406</v>
      </c>
    </row>
    <row r="32797" spans="1:2" x14ac:dyDescent="0.25">
      <c r="A32797" s="2">
        <v>32792</v>
      </c>
      <c r="B32797" s="3" t="str">
        <f>"201506000437"</f>
        <v>201506000437</v>
      </c>
    </row>
    <row r="32798" spans="1:2" x14ac:dyDescent="0.25">
      <c r="A32798" s="2">
        <v>32793</v>
      </c>
      <c r="B32798" s="3" t="str">
        <f>"201506000497"</f>
        <v>201506000497</v>
      </c>
    </row>
    <row r="32799" spans="1:2" x14ac:dyDescent="0.25">
      <c r="A32799" s="2">
        <v>32794</v>
      </c>
      <c r="B32799" s="3" t="str">
        <f>"201506000507"</f>
        <v>201506000507</v>
      </c>
    </row>
    <row r="32800" spans="1:2" x14ac:dyDescent="0.25">
      <c r="A32800" s="2">
        <v>32795</v>
      </c>
      <c r="B32800" s="3" t="str">
        <f>"201506000608"</f>
        <v>201506000608</v>
      </c>
    </row>
    <row r="32801" spans="1:2" x14ac:dyDescent="0.25">
      <c r="A32801" s="2">
        <v>32796</v>
      </c>
      <c r="B32801" s="3" t="str">
        <f>"201506000671"</f>
        <v>201506000671</v>
      </c>
    </row>
    <row r="32802" spans="1:2" x14ac:dyDescent="0.25">
      <c r="A32802" s="2">
        <v>32797</v>
      </c>
      <c r="B32802" s="3" t="str">
        <f>"201506000681"</f>
        <v>201506000681</v>
      </c>
    </row>
    <row r="32803" spans="1:2" x14ac:dyDescent="0.25">
      <c r="A32803" s="2">
        <v>32798</v>
      </c>
      <c r="B32803" s="3" t="str">
        <f>"201506000848"</f>
        <v>201506000848</v>
      </c>
    </row>
    <row r="32804" spans="1:2" x14ac:dyDescent="0.25">
      <c r="A32804" s="2">
        <v>32799</v>
      </c>
      <c r="B32804" s="3" t="str">
        <f>"201506000853"</f>
        <v>201506000853</v>
      </c>
    </row>
    <row r="32805" spans="1:2" x14ac:dyDescent="0.25">
      <c r="A32805" s="2">
        <v>32800</v>
      </c>
      <c r="B32805" s="3" t="str">
        <f>"201506000855"</f>
        <v>201506000855</v>
      </c>
    </row>
    <row r="32806" spans="1:2" x14ac:dyDescent="0.25">
      <c r="A32806" s="2">
        <v>32801</v>
      </c>
      <c r="B32806" s="3" t="str">
        <f>"201506000868"</f>
        <v>201506000868</v>
      </c>
    </row>
    <row r="32807" spans="1:2" x14ac:dyDescent="0.25">
      <c r="A32807" s="2">
        <v>32802</v>
      </c>
      <c r="B32807" s="3" t="str">
        <f>"201506000890"</f>
        <v>201506000890</v>
      </c>
    </row>
    <row r="32808" spans="1:2" x14ac:dyDescent="0.25">
      <c r="A32808" s="2">
        <v>32803</v>
      </c>
      <c r="B32808" s="3" t="str">
        <f>"201506001026"</f>
        <v>201506001026</v>
      </c>
    </row>
    <row r="32809" spans="1:2" x14ac:dyDescent="0.25">
      <c r="A32809" s="2">
        <v>32804</v>
      </c>
      <c r="B32809" s="3" t="str">
        <f>"201506001055"</f>
        <v>201506001055</v>
      </c>
    </row>
    <row r="32810" spans="1:2" x14ac:dyDescent="0.25">
      <c r="A32810" s="2">
        <v>32805</v>
      </c>
      <c r="B32810" s="3" t="str">
        <f>"201506001059"</f>
        <v>201506001059</v>
      </c>
    </row>
    <row r="32811" spans="1:2" x14ac:dyDescent="0.25">
      <c r="A32811" s="2">
        <v>32806</v>
      </c>
      <c r="B32811" s="3" t="str">
        <f>"201506001069"</f>
        <v>201506001069</v>
      </c>
    </row>
    <row r="32812" spans="1:2" x14ac:dyDescent="0.25">
      <c r="A32812" s="2">
        <v>32807</v>
      </c>
      <c r="B32812" s="3" t="str">
        <f>"201506001110"</f>
        <v>201506001110</v>
      </c>
    </row>
    <row r="32813" spans="1:2" x14ac:dyDescent="0.25">
      <c r="A32813" s="2">
        <v>32808</v>
      </c>
      <c r="B32813" s="3" t="str">
        <f>"201506001123"</f>
        <v>201506001123</v>
      </c>
    </row>
    <row r="32814" spans="1:2" x14ac:dyDescent="0.25">
      <c r="A32814" s="2">
        <v>32809</v>
      </c>
      <c r="B32814" s="3" t="str">
        <f>"201506001129"</f>
        <v>201506001129</v>
      </c>
    </row>
    <row r="32815" spans="1:2" x14ac:dyDescent="0.25">
      <c r="A32815" s="2">
        <v>32810</v>
      </c>
      <c r="B32815" s="3" t="str">
        <f>"201506001186"</f>
        <v>201506001186</v>
      </c>
    </row>
    <row r="32816" spans="1:2" x14ac:dyDescent="0.25">
      <c r="A32816" s="2">
        <v>32811</v>
      </c>
      <c r="B32816" s="3" t="str">
        <f>"201506001270"</f>
        <v>201506001270</v>
      </c>
    </row>
    <row r="32817" spans="1:2" x14ac:dyDescent="0.25">
      <c r="A32817" s="2">
        <v>32812</v>
      </c>
      <c r="B32817" s="3" t="str">
        <f>"201506001284"</f>
        <v>201506001284</v>
      </c>
    </row>
    <row r="32818" spans="1:2" x14ac:dyDescent="0.25">
      <c r="A32818" s="2">
        <v>32813</v>
      </c>
      <c r="B32818" s="3" t="str">
        <f>"201506001291"</f>
        <v>201506001291</v>
      </c>
    </row>
    <row r="32819" spans="1:2" x14ac:dyDescent="0.25">
      <c r="A32819" s="2">
        <v>32814</v>
      </c>
      <c r="B32819" s="3" t="str">
        <f>"201506001297"</f>
        <v>201506001297</v>
      </c>
    </row>
    <row r="32820" spans="1:2" x14ac:dyDescent="0.25">
      <c r="A32820" s="2">
        <v>32815</v>
      </c>
      <c r="B32820" s="3" t="str">
        <f>"201506001298"</f>
        <v>201506001298</v>
      </c>
    </row>
    <row r="32821" spans="1:2" x14ac:dyDescent="0.25">
      <c r="A32821" s="2">
        <v>32816</v>
      </c>
      <c r="B32821" s="3" t="str">
        <f>"201506001311"</f>
        <v>201506001311</v>
      </c>
    </row>
    <row r="32822" spans="1:2" x14ac:dyDescent="0.25">
      <c r="A32822" s="2">
        <v>32817</v>
      </c>
      <c r="B32822" s="3" t="str">
        <f>"201506001380"</f>
        <v>201506001380</v>
      </c>
    </row>
    <row r="32823" spans="1:2" x14ac:dyDescent="0.25">
      <c r="A32823" s="2">
        <v>32818</v>
      </c>
      <c r="B32823" s="3" t="str">
        <f>"201506001398"</f>
        <v>201506001398</v>
      </c>
    </row>
    <row r="32824" spans="1:2" x14ac:dyDescent="0.25">
      <c r="A32824" s="2">
        <v>32819</v>
      </c>
      <c r="B32824" s="3" t="str">
        <f>"201506001408"</f>
        <v>201506001408</v>
      </c>
    </row>
    <row r="32825" spans="1:2" x14ac:dyDescent="0.25">
      <c r="A32825" s="2">
        <v>32820</v>
      </c>
      <c r="B32825" s="3" t="str">
        <f>"201506001429"</f>
        <v>201506001429</v>
      </c>
    </row>
    <row r="32826" spans="1:2" x14ac:dyDescent="0.25">
      <c r="A32826" s="2">
        <v>32821</v>
      </c>
      <c r="B32826" s="3" t="str">
        <f>"201506001444"</f>
        <v>201506001444</v>
      </c>
    </row>
    <row r="32827" spans="1:2" x14ac:dyDescent="0.25">
      <c r="A32827" s="2">
        <v>32822</v>
      </c>
      <c r="B32827" s="3" t="str">
        <f>"201506001490"</f>
        <v>201506001490</v>
      </c>
    </row>
    <row r="32828" spans="1:2" x14ac:dyDescent="0.25">
      <c r="A32828" s="2">
        <v>32823</v>
      </c>
      <c r="B32828" s="3" t="str">
        <f>"201506001498"</f>
        <v>201506001498</v>
      </c>
    </row>
    <row r="32829" spans="1:2" x14ac:dyDescent="0.25">
      <c r="A32829" s="2">
        <v>32824</v>
      </c>
      <c r="B32829" s="3" t="str">
        <f>"201506001503"</f>
        <v>201506001503</v>
      </c>
    </row>
    <row r="32830" spans="1:2" x14ac:dyDescent="0.25">
      <c r="A32830" s="2">
        <v>32825</v>
      </c>
      <c r="B32830" s="3" t="str">
        <f>"201506001521"</f>
        <v>201506001521</v>
      </c>
    </row>
    <row r="32831" spans="1:2" x14ac:dyDescent="0.25">
      <c r="A32831" s="2">
        <v>32826</v>
      </c>
      <c r="B32831" s="3" t="str">
        <f>"201506001579"</f>
        <v>201506001579</v>
      </c>
    </row>
    <row r="32832" spans="1:2" x14ac:dyDescent="0.25">
      <c r="A32832" s="2">
        <v>32827</v>
      </c>
      <c r="B32832" s="3" t="str">
        <f>"201506001649"</f>
        <v>201506001649</v>
      </c>
    </row>
    <row r="32833" spans="1:2" x14ac:dyDescent="0.25">
      <c r="A32833" s="2">
        <v>32828</v>
      </c>
      <c r="B32833" s="3" t="str">
        <f>"201506001744"</f>
        <v>201506001744</v>
      </c>
    </row>
    <row r="32834" spans="1:2" x14ac:dyDescent="0.25">
      <c r="A32834" s="2">
        <v>32829</v>
      </c>
      <c r="B32834" s="3" t="str">
        <f>"201506001747"</f>
        <v>201506001747</v>
      </c>
    </row>
    <row r="32835" spans="1:2" x14ac:dyDescent="0.25">
      <c r="A32835" s="2">
        <v>32830</v>
      </c>
      <c r="B32835" s="3" t="str">
        <f>"201506001782"</f>
        <v>201506001782</v>
      </c>
    </row>
    <row r="32836" spans="1:2" x14ac:dyDescent="0.25">
      <c r="A32836" s="2">
        <v>32831</v>
      </c>
      <c r="B32836" s="3" t="str">
        <f>"201506001822"</f>
        <v>201506001822</v>
      </c>
    </row>
    <row r="32837" spans="1:2" x14ac:dyDescent="0.25">
      <c r="A32837" s="2">
        <v>32832</v>
      </c>
      <c r="B32837" s="3" t="str">
        <f>"201506001829"</f>
        <v>201506001829</v>
      </c>
    </row>
    <row r="32838" spans="1:2" x14ac:dyDescent="0.25">
      <c r="A32838" s="2">
        <v>32833</v>
      </c>
      <c r="B32838" s="3" t="str">
        <f>"201506001858"</f>
        <v>201506001858</v>
      </c>
    </row>
    <row r="32839" spans="1:2" x14ac:dyDescent="0.25">
      <c r="A32839" s="2">
        <v>32834</v>
      </c>
      <c r="B32839" s="3" t="str">
        <f>"201506001909"</f>
        <v>201506001909</v>
      </c>
    </row>
    <row r="32840" spans="1:2" x14ac:dyDescent="0.25">
      <c r="A32840" s="2">
        <v>32835</v>
      </c>
      <c r="B32840" s="3" t="str">
        <f>"201506001915"</f>
        <v>201506001915</v>
      </c>
    </row>
    <row r="32841" spans="1:2" x14ac:dyDescent="0.25">
      <c r="A32841" s="2">
        <v>32836</v>
      </c>
      <c r="B32841" s="3" t="str">
        <f>"201506001924"</f>
        <v>201506001924</v>
      </c>
    </row>
    <row r="32842" spans="1:2" x14ac:dyDescent="0.25">
      <c r="A32842" s="2">
        <v>32837</v>
      </c>
      <c r="B32842" s="3" t="str">
        <f>"201506001956"</f>
        <v>201506001956</v>
      </c>
    </row>
    <row r="32843" spans="1:2" x14ac:dyDescent="0.25">
      <c r="A32843" s="2">
        <v>32838</v>
      </c>
      <c r="B32843" s="3" t="str">
        <f>"201506002030"</f>
        <v>201506002030</v>
      </c>
    </row>
    <row r="32844" spans="1:2" x14ac:dyDescent="0.25">
      <c r="A32844" s="2">
        <v>32839</v>
      </c>
      <c r="B32844" s="3" t="str">
        <f>"201506002054"</f>
        <v>201506002054</v>
      </c>
    </row>
    <row r="32845" spans="1:2" x14ac:dyDescent="0.25">
      <c r="A32845" s="2">
        <v>32840</v>
      </c>
      <c r="B32845" s="3" t="str">
        <f>"201506002055"</f>
        <v>201506002055</v>
      </c>
    </row>
    <row r="32846" spans="1:2" x14ac:dyDescent="0.25">
      <c r="A32846" s="2">
        <v>32841</v>
      </c>
      <c r="B32846" s="3" t="str">
        <f>"201506002094"</f>
        <v>201506002094</v>
      </c>
    </row>
    <row r="32847" spans="1:2" x14ac:dyDescent="0.25">
      <c r="A32847" s="2">
        <v>32842</v>
      </c>
      <c r="B32847" s="3" t="str">
        <f>"201506002133"</f>
        <v>201506002133</v>
      </c>
    </row>
    <row r="32848" spans="1:2" x14ac:dyDescent="0.25">
      <c r="A32848" s="2">
        <v>32843</v>
      </c>
      <c r="B32848" s="3" t="str">
        <f>"201506002136"</f>
        <v>201506002136</v>
      </c>
    </row>
    <row r="32849" spans="1:2" x14ac:dyDescent="0.25">
      <c r="A32849" s="2">
        <v>32844</v>
      </c>
      <c r="B32849" s="3" t="str">
        <f>"201506002145"</f>
        <v>201506002145</v>
      </c>
    </row>
    <row r="32850" spans="1:2" x14ac:dyDescent="0.25">
      <c r="A32850" s="2">
        <v>32845</v>
      </c>
      <c r="B32850" s="3" t="str">
        <f>"201506002157"</f>
        <v>201506002157</v>
      </c>
    </row>
    <row r="32851" spans="1:2" x14ac:dyDescent="0.25">
      <c r="A32851" s="2">
        <v>32846</v>
      </c>
      <c r="B32851" s="3" t="str">
        <f>"201506002172"</f>
        <v>201506002172</v>
      </c>
    </row>
    <row r="32852" spans="1:2" x14ac:dyDescent="0.25">
      <c r="A32852" s="2">
        <v>32847</v>
      </c>
      <c r="B32852" s="3" t="str">
        <f>"201506002191"</f>
        <v>201506002191</v>
      </c>
    </row>
    <row r="32853" spans="1:2" x14ac:dyDescent="0.25">
      <c r="A32853" s="2">
        <v>32848</v>
      </c>
      <c r="B32853" s="3" t="str">
        <f>"201506002197"</f>
        <v>201506002197</v>
      </c>
    </row>
    <row r="32854" spans="1:2" x14ac:dyDescent="0.25">
      <c r="A32854" s="2">
        <v>32849</v>
      </c>
      <c r="B32854" s="3" t="str">
        <f>"201506002213"</f>
        <v>201506002213</v>
      </c>
    </row>
    <row r="32855" spans="1:2" x14ac:dyDescent="0.25">
      <c r="A32855" s="2">
        <v>32850</v>
      </c>
      <c r="B32855" s="3" t="str">
        <f>"201506002222"</f>
        <v>201506002222</v>
      </c>
    </row>
    <row r="32856" spans="1:2" x14ac:dyDescent="0.25">
      <c r="A32856" s="2">
        <v>32851</v>
      </c>
      <c r="B32856" s="3" t="str">
        <f>"201506002238"</f>
        <v>201506002238</v>
      </c>
    </row>
    <row r="32857" spans="1:2" x14ac:dyDescent="0.25">
      <c r="A32857" s="2">
        <v>32852</v>
      </c>
      <c r="B32857" s="3" t="str">
        <f>"201506002295"</f>
        <v>201506002295</v>
      </c>
    </row>
    <row r="32858" spans="1:2" x14ac:dyDescent="0.25">
      <c r="A32858" s="2">
        <v>32853</v>
      </c>
      <c r="B32858" s="3" t="str">
        <f>"201506002297"</f>
        <v>201506002297</v>
      </c>
    </row>
    <row r="32859" spans="1:2" x14ac:dyDescent="0.25">
      <c r="A32859" s="2">
        <v>32854</v>
      </c>
      <c r="B32859" s="3" t="str">
        <f>"201506002357"</f>
        <v>201506002357</v>
      </c>
    </row>
    <row r="32860" spans="1:2" x14ac:dyDescent="0.25">
      <c r="A32860" s="2">
        <v>32855</v>
      </c>
      <c r="B32860" s="3" t="str">
        <f>"201506002372"</f>
        <v>201506002372</v>
      </c>
    </row>
    <row r="32861" spans="1:2" x14ac:dyDescent="0.25">
      <c r="A32861" s="2">
        <v>32856</v>
      </c>
      <c r="B32861" s="3" t="str">
        <f>"201506002382"</f>
        <v>201506002382</v>
      </c>
    </row>
    <row r="32862" spans="1:2" x14ac:dyDescent="0.25">
      <c r="A32862" s="2">
        <v>32857</v>
      </c>
      <c r="B32862" s="3" t="str">
        <f>"201506002439"</f>
        <v>201506002439</v>
      </c>
    </row>
    <row r="32863" spans="1:2" x14ac:dyDescent="0.25">
      <c r="A32863" s="2">
        <v>32858</v>
      </c>
      <c r="B32863" s="3" t="str">
        <f>"201506002480"</f>
        <v>201506002480</v>
      </c>
    </row>
    <row r="32864" spans="1:2" x14ac:dyDescent="0.25">
      <c r="A32864" s="2">
        <v>32859</v>
      </c>
      <c r="B32864" s="3" t="str">
        <f>"201506002490"</f>
        <v>201506002490</v>
      </c>
    </row>
    <row r="32865" spans="1:2" x14ac:dyDescent="0.25">
      <c r="A32865" s="2">
        <v>32860</v>
      </c>
      <c r="B32865" s="3" t="str">
        <f>"201506002510"</f>
        <v>201506002510</v>
      </c>
    </row>
    <row r="32866" spans="1:2" x14ac:dyDescent="0.25">
      <c r="A32866" s="2">
        <v>32861</v>
      </c>
      <c r="B32866" s="3" t="str">
        <f>"201506002511"</f>
        <v>201506002511</v>
      </c>
    </row>
    <row r="32867" spans="1:2" x14ac:dyDescent="0.25">
      <c r="A32867" s="2">
        <v>32862</v>
      </c>
      <c r="B32867" s="3" t="str">
        <f>"201506002517"</f>
        <v>201506002517</v>
      </c>
    </row>
    <row r="32868" spans="1:2" x14ac:dyDescent="0.25">
      <c r="A32868" s="2">
        <v>32863</v>
      </c>
      <c r="B32868" s="3" t="str">
        <f>"201506002546"</f>
        <v>201506002546</v>
      </c>
    </row>
    <row r="32869" spans="1:2" x14ac:dyDescent="0.25">
      <c r="A32869" s="2">
        <v>32864</v>
      </c>
      <c r="B32869" s="3" t="str">
        <f>"201506002549"</f>
        <v>201506002549</v>
      </c>
    </row>
    <row r="32870" spans="1:2" x14ac:dyDescent="0.25">
      <c r="A32870" s="2">
        <v>32865</v>
      </c>
      <c r="B32870" s="3" t="str">
        <f>"201506002552"</f>
        <v>201506002552</v>
      </c>
    </row>
    <row r="32871" spans="1:2" x14ac:dyDescent="0.25">
      <c r="A32871" s="2">
        <v>32866</v>
      </c>
      <c r="B32871" s="3" t="str">
        <f>"201506002577"</f>
        <v>201506002577</v>
      </c>
    </row>
    <row r="32872" spans="1:2" x14ac:dyDescent="0.25">
      <c r="A32872" s="2">
        <v>32867</v>
      </c>
      <c r="B32872" s="3" t="str">
        <f>"201506002586"</f>
        <v>201506002586</v>
      </c>
    </row>
    <row r="32873" spans="1:2" x14ac:dyDescent="0.25">
      <c r="A32873" s="2">
        <v>32868</v>
      </c>
      <c r="B32873" s="3" t="str">
        <f>"201506002663"</f>
        <v>201506002663</v>
      </c>
    </row>
    <row r="32874" spans="1:2" x14ac:dyDescent="0.25">
      <c r="A32874" s="2">
        <v>32869</v>
      </c>
      <c r="B32874" s="3" t="str">
        <f>"201506002880"</f>
        <v>201506002880</v>
      </c>
    </row>
    <row r="32875" spans="1:2" x14ac:dyDescent="0.25">
      <c r="A32875" s="2">
        <v>32870</v>
      </c>
      <c r="B32875" s="3" t="str">
        <f>"201506003020"</f>
        <v>201506003020</v>
      </c>
    </row>
    <row r="32876" spans="1:2" x14ac:dyDescent="0.25">
      <c r="A32876" s="2">
        <v>32871</v>
      </c>
      <c r="B32876" s="3" t="str">
        <f>"201506003129"</f>
        <v>201506003129</v>
      </c>
    </row>
    <row r="32877" spans="1:2" x14ac:dyDescent="0.25">
      <c r="A32877" s="2">
        <v>32872</v>
      </c>
      <c r="B32877" s="3" t="str">
        <f>"201506003179"</f>
        <v>201506003179</v>
      </c>
    </row>
    <row r="32878" spans="1:2" x14ac:dyDescent="0.25">
      <c r="A32878" s="2">
        <v>32873</v>
      </c>
      <c r="B32878" s="3" t="str">
        <f>"201506003265"</f>
        <v>201506003265</v>
      </c>
    </row>
    <row r="32879" spans="1:2" x14ac:dyDescent="0.25">
      <c r="A32879" s="2">
        <v>32874</v>
      </c>
      <c r="B32879" s="3" t="str">
        <f>"201506003367"</f>
        <v>201506003367</v>
      </c>
    </row>
    <row r="32880" spans="1:2" x14ac:dyDescent="0.25">
      <c r="A32880" s="2">
        <v>32875</v>
      </c>
      <c r="B32880" s="3" t="str">
        <f>"201506003384"</f>
        <v>201506003384</v>
      </c>
    </row>
    <row r="32881" spans="1:2" x14ac:dyDescent="0.25">
      <c r="A32881" s="2">
        <v>32876</v>
      </c>
      <c r="B32881" s="3" t="str">
        <f>"201506003391"</f>
        <v>201506003391</v>
      </c>
    </row>
    <row r="32882" spans="1:2" x14ac:dyDescent="0.25">
      <c r="A32882" s="2">
        <v>32877</v>
      </c>
      <c r="B32882" s="3" t="str">
        <f>"201506003392"</f>
        <v>201506003392</v>
      </c>
    </row>
    <row r="32883" spans="1:2" x14ac:dyDescent="0.25">
      <c r="A32883" s="2">
        <v>32878</v>
      </c>
      <c r="B32883" s="3" t="str">
        <f>"201506003439"</f>
        <v>201506003439</v>
      </c>
    </row>
    <row r="32884" spans="1:2" x14ac:dyDescent="0.25">
      <c r="A32884" s="2">
        <v>32879</v>
      </c>
      <c r="B32884" s="3" t="str">
        <f>"201506003491"</f>
        <v>201506003491</v>
      </c>
    </row>
    <row r="32885" spans="1:2" x14ac:dyDescent="0.25">
      <c r="A32885" s="2">
        <v>32880</v>
      </c>
      <c r="B32885" s="3" t="str">
        <f>"201506003510"</f>
        <v>201506003510</v>
      </c>
    </row>
    <row r="32886" spans="1:2" x14ac:dyDescent="0.25">
      <c r="A32886" s="2">
        <v>32881</v>
      </c>
      <c r="B32886" s="3" t="str">
        <f>"201506003513"</f>
        <v>201506003513</v>
      </c>
    </row>
    <row r="32887" spans="1:2" x14ac:dyDescent="0.25">
      <c r="A32887" s="2">
        <v>32882</v>
      </c>
      <c r="B32887" s="3" t="str">
        <f>"201506003545"</f>
        <v>201506003545</v>
      </c>
    </row>
    <row r="32888" spans="1:2" x14ac:dyDescent="0.25">
      <c r="A32888" s="2">
        <v>32883</v>
      </c>
      <c r="B32888" s="3" t="str">
        <f>"201506003571"</f>
        <v>201506003571</v>
      </c>
    </row>
    <row r="32889" spans="1:2" x14ac:dyDescent="0.25">
      <c r="A32889" s="2">
        <v>32884</v>
      </c>
      <c r="B32889" s="3" t="str">
        <f>"201506003597"</f>
        <v>201506003597</v>
      </c>
    </row>
    <row r="32890" spans="1:2" x14ac:dyDescent="0.25">
      <c r="A32890" s="2">
        <v>32885</v>
      </c>
      <c r="B32890" s="3" t="str">
        <f>"201506003609"</f>
        <v>201506003609</v>
      </c>
    </row>
    <row r="32891" spans="1:2" x14ac:dyDescent="0.25">
      <c r="A32891" s="2">
        <v>32886</v>
      </c>
      <c r="B32891" s="3" t="str">
        <f>"201506003673"</f>
        <v>201506003673</v>
      </c>
    </row>
    <row r="32892" spans="1:2" x14ac:dyDescent="0.25">
      <c r="A32892" s="2">
        <v>32887</v>
      </c>
      <c r="B32892" s="3" t="str">
        <f>"201506003749"</f>
        <v>201506003749</v>
      </c>
    </row>
    <row r="32893" spans="1:2" x14ac:dyDescent="0.25">
      <c r="A32893" s="2">
        <v>32888</v>
      </c>
      <c r="B32893" s="3" t="str">
        <f>"201506003750"</f>
        <v>201506003750</v>
      </c>
    </row>
    <row r="32894" spans="1:2" x14ac:dyDescent="0.25">
      <c r="A32894" s="2">
        <v>32889</v>
      </c>
      <c r="B32894" s="3" t="str">
        <f>"201506003812"</f>
        <v>201506003812</v>
      </c>
    </row>
    <row r="32895" spans="1:2" x14ac:dyDescent="0.25">
      <c r="A32895" s="2">
        <v>32890</v>
      </c>
      <c r="B32895" s="3" t="str">
        <f>"201506003929"</f>
        <v>201506003929</v>
      </c>
    </row>
    <row r="32896" spans="1:2" x14ac:dyDescent="0.25">
      <c r="A32896" s="2">
        <v>32891</v>
      </c>
      <c r="B32896" s="3" t="str">
        <f>"201506003936"</f>
        <v>201506003936</v>
      </c>
    </row>
    <row r="32897" spans="1:2" x14ac:dyDescent="0.25">
      <c r="A32897" s="2">
        <v>32892</v>
      </c>
      <c r="B32897" s="3" t="str">
        <f>"201506003967"</f>
        <v>201506003967</v>
      </c>
    </row>
    <row r="32898" spans="1:2" x14ac:dyDescent="0.25">
      <c r="A32898" s="2">
        <v>32893</v>
      </c>
      <c r="B32898" s="3" t="str">
        <f>"201506003979"</f>
        <v>201506003979</v>
      </c>
    </row>
    <row r="32899" spans="1:2" x14ac:dyDescent="0.25">
      <c r="A32899" s="2">
        <v>32894</v>
      </c>
      <c r="B32899" s="3" t="str">
        <f>"201506003998"</f>
        <v>201506003998</v>
      </c>
    </row>
    <row r="32900" spans="1:2" x14ac:dyDescent="0.25">
      <c r="A32900" s="2">
        <v>32895</v>
      </c>
      <c r="B32900" s="3" t="str">
        <f>"201506004016"</f>
        <v>201506004016</v>
      </c>
    </row>
    <row r="32901" spans="1:2" x14ac:dyDescent="0.25">
      <c r="A32901" s="2">
        <v>32896</v>
      </c>
      <c r="B32901" s="3" t="str">
        <f>"201506004034"</f>
        <v>201506004034</v>
      </c>
    </row>
    <row r="32902" spans="1:2" x14ac:dyDescent="0.25">
      <c r="A32902" s="2">
        <v>32897</v>
      </c>
      <c r="B32902" s="3" t="str">
        <f>"201506004036"</f>
        <v>201506004036</v>
      </c>
    </row>
    <row r="32903" spans="1:2" x14ac:dyDescent="0.25">
      <c r="A32903" s="2">
        <v>32898</v>
      </c>
      <c r="B32903" s="3" t="str">
        <f>"201506004098"</f>
        <v>201506004098</v>
      </c>
    </row>
    <row r="32904" spans="1:2" x14ac:dyDescent="0.25">
      <c r="A32904" s="2">
        <v>32899</v>
      </c>
      <c r="B32904" s="3" t="str">
        <f>"201506004142"</f>
        <v>201506004142</v>
      </c>
    </row>
    <row r="32905" spans="1:2" x14ac:dyDescent="0.25">
      <c r="A32905" s="2">
        <v>32900</v>
      </c>
      <c r="B32905" s="3" t="str">
        <f>"201506004147"</f>
        <v>201506004147</v>
      </c>
    </row>
    <row r="32906" spans="1:2" x14ac:dyDescent="0.25">
      <c r="A32906" s="2">
        <v>32901</v>
      </c>
      <c r="B32906" s="3" t="str">
        <f>"201506004149"</f>
        <v>201506004149</v>
      </c>
    </row>
    <row r="32907" spans="1:2" x14ac:dyDescent="0.25">
      <c r="A32907" s="2">
        <v>32902</v>
      </c>
      <c r="B32907" s="3" t="str">
        <f>"201506004181"</f>
        <v>201506004181</v>
      </c>
    </row>
    <row r="32908" spans="1:2" x14ac:dyDescent="0.25">
      <c r="A32908" s="2">
        <v>32903</v>
      </c>
      <c r="B32908" s="3" t="str">
        <f>"201506004197"</f>
        <v>201506004197</v>
      </c>
    </row>
    <row r="32909" spans="1:2" x14ac:dyDescent="0.25">
      <c r="A32909" s="2">
        <v>32904</v>
      </c>
      <c r="B32909" s="3" t="str">
        <f>"201506004205"</f>
        <v>201506004205</v>
      </c>
    </row>
    <row r="32910" spans="1:2" x14ac:dyDescent="0.25">
      <c r="A32910" s="2">
        <v>32905</v>
      </c>
      <c r="B32910" s="3" t="str">
        <f>"201506004217"</f>
        <v>201506004217</v>
      </c>
    </row>
    <row r="32911" spans="1:2" x14ac:dyDescent="0.25">
      <c r="A32911" s="2">
        <v>32906</v>
      </c>
      <c r="B32911" s="3" t="str">
        <f>"201506004231"</f>
        <v>201506004231</v>
      </c>
    </row>
    <row r="32912" spans="1:2" x14ac:dyDescent="0.25">
      <c r="A32912" s="2">
        <v>32907</v>
      </c>
      <c r="B32912" s="3" t="str">
        <f>"201506004239"</f>
        <v>201506004239</v>
      </c>
    </row>
    <row r="32913" spans="1:2" x14ac:dyDescent="0.25">
      <c r="A32913" s="2">
        <v>32908</v>
      </c>
      <c r="B32913" s="3" t="str">
        <f>"201506004255"</f>
        <v>201506004255</v>
      </c>
    </row>
    <row r="32914" spans="1:2" x14ac:dyDescent="0.25">
      <c r="A32914" s="2">
        <v>32909</v>
      </c>
      <c r="B32914" s="3" t="str">
        <f>"201506004272"</f>
        <v>201506004272</v>
      </c>
    </row>
    <row r="32915" spans="1:2" x14ac:dyDescent="0.25">
      <c r="A32915" s="2">
        <v>32910</v>
      </c>
      <c r="B32915" s="3" t="str">
        <f>"201506004277"</f>
        <v>201506004277</v>
      </c>
    </row>
    <row r="32916" spans="1:2" x14ac:dyDescent="0.25">
      <c r="A32916" s="2">
        <v>32911</v>
      </c>
      <c r="B32916" s="3" t="str">
        <f>"201506004292"</f>
        <v>201506004292</v>
      </c>
    </row>
    <row r="32917" spans="1:2" x14ac:dyDescent="0.25">
      <c r="A32917" s="2">
        <v>32912</v>
      </c>
      <c r="B32917" s="3" t="str">
        <f>"201506004297"</f>
        <v>201506004297</v>
      </c>
    </row>
    <row r="32918" spans="1:2" x14ac:dyDescent="0.25">
      <c r="A32918" s="2">
        <v>32913</v>
      </c>
      <c r="B32918" s="3" t="str">
        <f>"201506004309"</f>
        <v>201506004309</v>
      </c>
    </row>
    <row r="32919" spans="1:2" x14ac:dyDescent="0.25">
      <c r="A32919" s="2">
        <v>32914</v>
      </c>
      <c r="B32919" s="3" t="str">
        <f>"201506004314"</f>
        <v>201506004314</v>
      </c>
    </row>
    <row r="32920" spans="1:2" x14ac:dyDescent="0.25">
      <c r="A32920" s="2">
        <v>32915</v>
      </c>
      <c r="B32920" s="3" t="str">
        <f>"201506004320"</f>
        <v>201506004320</v>
      </c>
    </row>
    <row r="32921" spans="1:2" x14ac:dyDescent="0.25">
      <c r="A32921" s="2">
        <v>32916</v>
      </c>
      <c r="B32921" s="3" t="str">
        <f>"201506004335"</f>
        <v>201506004335</v>
      </c>
    </row>
    <row r="32922" spans="1:2" x14ac:dyDescent="0.25">
      <c r="A32922" s="2">
        <v>32917</v>
      </c>
      <c r="B32922" s="3" t="str">
        <f>"201506004349"</f>
        <v>201506004349</v>
      </c>
    </row>
    <row r="32923" spans="1:2" x14ac:dyDescent="0.25">
      <c r="A32923" s="2">
        <v>32918</v>
      </c>
      <c r="B32923" s="3" t="str">
        <f>"201506004364"</f>
        <v>201506004364</v>
      </c>
    </row>
    <row r="32924" spans="1:2" x14ac:dyDescent="0.25">
      <c r="A32924" s="2">
        <v>32919</v>
      </c>
      <c r="B32924" s="3" t="str">
        <f>"201506004377"</f>
        <v>201506004377</v>
      </c>
    </row>
    <row r="32925" spans="1:2" x14ac:dyDescent="0.25">
      <c r="A32925" s="2">
        <v>32920</v>
      </c>
      <c r="B32925" s="3" t="str">
        <f>"201506004388"</f>
        <v>201506004388</v>
      </c>
    </row>
    <row r="32926" spans="1:2" x14ac:dyDescent="0.25">
      <c r="A32926" s="2">
        <v>32921</v>
      </c>
      <c r="B32926" s="3" t="str">
        <f>"201506004389"</f>
        <v>201506004389</v>
      </c>
    </row>
    <row r="32927" spans="1:2" x14ac:dyDescent="0.25">
      <c r="A32927" s="2">
        <v>32922</v>
      </c>
      <c r="B32927" s="3" t="str">
        <f>"201506004398"</f>
        <v>201506004398</v>
      </c>
    </row>
    <row r="32928" spans="1:2" x14ac:dyDescent="0.25">
      <c r="A32928" s="2">
        <v>32923</v>
      </c>
      <c r="B32928" s="3" t="str">
        <f>"201506004400"</f>
        <v>201506004400</v>
      </c>
    </row>
    <row r="32929" spans="1:2" x14ac:dyDescent="0.25">
      <c r="A32929" s="2">
        <v>32924</v>
      </c>
      <c r="B32929" s="3" t="str">
        <f>"201506004404"</f>
        <v>201506004404</v>
      </c>
    </row>
    <row r="32930" spans="1:2" x14ac:dyDescent="0.25">
      <c r="A32930" s="2">
        <v>32925</v>
      </c>
      <c r="B32930" s="3" t="str">
        <f>"201506004409"</f>
        <v>201506004409</v>
      </c>
    </row>
    <row r="32931" spans="1:2" x14ac:dyDescent="0.25">
      <c r="A32931" s="2">
        <v>32926</v>
      </c>
      <c r="B32931" s="3" t="str">
        <f>"201506004442"</f>
        <v>201506004442</v>
      </c>
    </row>
    <row r="32932" spans="1:2" x14ac:dyDescent="0.25">
      <c r="A32932" s="2">
        <v>32927</v>
      </c>
      <c r="B32932" s="3" t="str">
        <f>"201506004453"</f>
        <v>201506004453</v>
      </c>
    </row>
    <row r="32933" spans="1:2" x14ac:dyDescent="0.25">
      <c r="A32933" s="2">
        <v>32928</v>
      </c>
      <c r="B32933" s="3" t="str">
        <f>"201506004455"</f>
        <v>201506004455</v>
      </c>
    </row>
    <row r="32934" spans="1:2" x14ac:dyDescent="0.25">
      <c r="A32934" s="2">
        <v>32929</v>
      </c>
      <c r="B32934" s="3" t="str">
        <f>"201506004484"</f>
        <v>201506004484</v>
      </c>
    </row>
    <row r="32935" spans="1:2" x14ac:dyDescent="0.25">
      <c r="A32935" s="2">
        <v>32930</v>
      </c>
      <c r="B32935" s="3" t="str">
        <f>"201506004486"</f>
        <v>201506004486</v>
      </c>
    </row>
    <row r="32936" spans="1:2" x14ac:dyDescent="0.25">
      <c r="A32936" s="2">
        <v>32931</v>
      </c>
      <c r="B32936" s="3" t="str">
        <f>"201506004487"</f>
        <v>201506004487</v>
      </c>
    </row>
    <row r="32937" spans="1:2" x14ac:dyDescent="0.25">
      <c r="A32937" s="2">
        <v>32932</v>
      </c>
      <c r="B32937" s="3" t="str">
        <f>"201506004500"</f>
        <v>201506004500</v>
      </c>
    </row>
    <row r="32938" spans="1:2" x14ac:dyDescent="0.25">
      <c r="A32938" s="2">
        <v>32933</v>
      </c>
      <c r="B32938" s="3" t="str">
        <f>"201506004515"</f>
        <v>201506004515</v>
      </c>
    </row>
    <row r="32939" spans="1:2" x14ac:dyDescent="0.25">
      <c r="A32939" s="2">
        <v>32934</v>
      </c>
      <c r="B32939" s="3" t="str">
        <f>"201506004535"</f>
        <v>201506004535</v>
      </c>
    </row>
    <row r="32940" spans="1:2" x14ac:dyDescent="0.25">
      <c r="A32940" s="2">
        <v>32935</v>
      </c>
      <c r="B32940" s="3" t="str">
        <f>"201506004554"</f>
        <v>201506004554</v>
      </c>
    </row>
    <row r="32941" spans="1:2" x14ac:dyDescent="0.25">
      <c r="A32941" s="2">
        <v>32936</v>
      </c>
      <c r="B32941" s="3" t="str">
        <f>"201506004555"</f>
        <v>201506004555</v>
      </c>
    </row>
    <row r="32942" spans="1:2" x14ac:dyDescent="0.25">
      <c r="A32942" s="2">
        <v>32937</v>
      </c>
      <c r="B32942" s="3" t="str">
        <f>"201506004556"</f>
        <v>201506004556</v>
      </c>
    </row>
    <row r="32943" spans="1:2" x14ac:dyDescent="0.25">
      <c r="A32943" s="2">
        <v>32938</v>
      </c>
      <c r="B32943" s="3" t="str">
        <f>"201506004560"</f>
        <v>201506004560</v>
      </c>
    </row>
    <row r="32944" spans="1:2" x14ac:dyDescent="0.25">
      <c r="A32944" s="2">
        <v>32939</v>
      </c>
      <c r="B32944" s="3" t="str">
        <f>"201507000005"</f>
        <v>201507000005</v>
      </c>
    </row>
    <row r="32945" spans="1:2" x14ac:dyDescent="0.25">
      <c r="A32945" s="2">
        <v>32940</v>
      </c>
      <c r="B32945" s="3" t="str">
        <f>"201507000034"</f>
        <v>201507000034</v>
      </c>
    </row>
    <row r="32946" spans="1:2" x14ac:dyDescent="0.25">
      <c r="A32946" s="2">
        <v>32941</v>
      </c>
      <c r="B32946" s="3" t="str">
        <f>"201507000042"</f>
        <v>201507000042</v>
      </c>
    </row>
    <row r="32947" spans="1:2" x14ac:dyDescent="0.25">
      <c r="A32947" s="2">
        <v>32942</v>
      </c>
      <c r="B32947" s="3" t="str">
        <f>"201507000044"</f>
        <v>201507000044</v>
      </c>
    </row>
    <row r="32948" spans="1:2" x14ac:dyDescent="0.25">
      <c r="A32948" s="2">
        <v>32943</v>
      </c>
      <c r="B32948" s="3" t="str">
        <f>"201507000048"</f>
        <v>201507000048</v>
      </c>
    </row>
    <row r="32949" spans="1:2" x14ac:dyDescent="0.25">
      <c r="A32949" s="2">
        <v>32944</v>
      </c>
      <c r="B32949" s="3" t="str">
        <f>"201507000077"</f>
        <v>201507000077</v>
      </c>
    </row>
    <row r="32950" spans="1:2" x14ac:dyDescent="0.25">
      <c r="A32950" s="2">
        <v>32945</v>
      </c>
      <c r="B32950" s="3" t="str">
        <f>"201507000093"</f>
        <v>201507000093</v>
      </c>
    </row>
    <row r="32951" spans="1:2" x14ac:dyDescent="0.25">
      <c r="A32951" s="2">
        <v>32946</v>
      </c>
      <c r="B32951" s="3" t="str">
        <f>"201507000134"</f>
        <v>201507000134</v>
      </c>
    </row>
    <row r="32952" spans="1:2" x14ac:dyDescent="0.25">
      <c r="A32952" s="2">
        <v>32947</v>
      </c>
      <c r="B32952" s="3" t="str">
        <f>"201507000142"</f>
        <v>201507000142</v>
      </c>
    </row>
    <row r="32953" spans="1:2" x14ac:dyDescent="0.25">
      <c r="A32953" s="2">
        <v>32948</v>
      </c>
      <c r="B32953" s="3" t="str">
        <f>"201507000165"</f>
        <v>201507000165</v>
      </c>
    </row>
    <row r="32954" spans="1:2" x14ac:dyDescent="0.25">
      <c r="A32954" s="2">
        <v>32949</v>
      </c>
      <c r="B32954" s="3" t="str">
        <f>"201507000227"</f>
        <v>201507000227</v>
      </c>
    </row>
    <row r="32955" spans="1:2" x14ac:dyDescent="0.25">
      <c r="A32955" s="2">
        <v>32950</v>
      </c>
      <c r="B32955" s="3" t="str">
        <f>"201507000235"</f>
        <v>201507000235</v>
      </c>
    </row>
    <row r="32956" spans="1:2" x14ac:dyDescent="0.25">
      <c r="A32956" s="2">
        <v>32951</v>
      </c>
      <c r="B32956" s="3" t="str">
        <f>"201507000243"</f>
        <v>201507000243</v>
      </c>
    </row>
    <row r="32957" spans="1:2" x14ac:dyDescent="0.25">
      <c r="A32957" s="2">
        <v>32952</v>
      </c>
      <c r="B32957" s="3" t="str">
        <f>"201507000244"</f>
        <v>201507000244</v>
      </c>
    </row>
    <row r="32958" spans="1:2" x14ac:dyDescent="0.25">
      <c r="A32958" s="2">
        <v>32953</v>
      </c>
      <c r="B32958" s="3" t="str">
        <f>"201507000264"</f>
        <v>201507000264</v>
      </c>
    </row>
    <row r="32959" spans="1:2" x14ac:dyDescent="0.25">
      <c r="A32959" s="2">
        <v>32954</v>
      </c>
      <c r="B32959" s="3" t="str">
        <f>"201507000282"</f>
        <v>201507000282</v>
      </c>
    </row>
    <row r="32960" spans="1:2" x14ac:dyDescent="0.25">
      <c r="A32960" s="2">
        <v>32955</v>
      </c>
      <c r="B32960" s="3" t="str">
        <f>"201507000297"</f>
        <v>201507000297</v>
      </c>
    </row>
    <row r="32961" spans="1:2" x14ac:dyDescent="0.25">
      <c r="A32961" s="2">
        <v>32956</v>
      </c>
      <c r="B32961" s="3" t="str">
        <f>"201507000335"</f>
        <v>201507000335</v>
      </c>
    </row>
    <row r="32962" spans="1:2" x14ac:dyDescent="0.25">
      <c r="A32962" s="2">
        <v>32957</v>
      </c>
      <c r="B32962" s="3" t="str">
        <f>"201507000339"</f>
        <v>201507000339</v>
      </c>
    </row>
    <row r="32963" spans="1:2" x14ac:dyDescent="0.25">
      <c r="A32963" s="2">
        <v>32958</v>
      </c>
      <c r="B32963" s="3" t="str">
        <f>"201507000340"</f>
        <v>201507000340</v>
      </c>
    </row>
    <row r="32964" spans="1:2" x14ac:dyDescent="0.25">
      <c r="A32964" s="2">
        <v>32959</v>
      </c>
      <c r="B32964" s="3" t="str">
        <f>"201507000361"</f>
        <v>201507000361</v>
      </c>
    </row>
    <row r="32965" spans="1:2" x14ac:dyDescent="0.25">
      <c r="A32965" s="2">
        <v>32960</v>
      </c>
      <c r="B32965" s="3" t="str">
        <f>"201507000363"</f>
        <v>201507000363</v>
      </c>
    </row>
    <row r="32966" spans="1:2" x14ac:dyDescent="0.25">
      <c r="A32966" s="2">
        <v>32961</v>
      </c>
      <c r="B32966" s="3" t="str">
        <f>"201507000373"</f>
        <v>201507000373</v>
      </c>
    </row>
    <row r="32967" spans="1:2" x14ac:dyDescent="0.25">
      <c r="A32967" s="2">
        <v>32962</v>
      </c>
      <c r="B32967" s="3" t="str">
        <f>"201507000374"</f>
        <v>201507000374</v>
      </c>
    </row>
    <row r="32968" spans="1:2" x14ac:dyDescent="0.25">
      <c r="A32968" s="2">
        <v>32963</v>
      </c>
      <c r="B32968" s="3" t="str">
        <f>"201507000387"</f>
        <v>201507000387</v>
      </c>
    </row>
    <row r="32969" spans="1:2" x14ac:dyDescent="0.25">
      <c r="A32969" s="2">
        <v>32964</v>
      </c>
      <c r="B32969" s="3" t="str">
        <f>"201507000419"</f>
        <v>201507000419</v>
      </c>
    </row>
    <row r="32970" spans="1:2" x14ac:dyDescent="0.25">
      <c r="A32970" s="2">
        <v>32965</v>
      </c>
      <c r="B32970" s="3" t="str">
        <f>"201507000431"</f>
        <v>201507000431</v>
      </c>
    </row>
    <row r="32971" spans="1:2" x14ac:dyDescent="0.25">
      <c r="A32971" s="2">
        <v>32966</v>
      </c>
      <c r="B32971" s="3" t="str">
        <f>"201507000449"</f>
        <v>201507000449</v>
      </c>
    </row>
    <row r="32972" spans="1:2" x14ac:dyDescent="0.25">
      <c r="A32972" s="2">
        <v>32967</v>
      </c>
      <c r="B32972" s="3" t="str">
        <f>"201507000453"</f>
        <v>201507000453</v>
      </c>
    </row>
    <row r="32973" spans="1:2" x14ac:dyDescent="0.25">
      <c r="A32973" s="2">
        <v>32968</v>
      </c>
      <c r="B32973" s="3" t="str">
        <f>"201507000480"</f>
        <v>201507000480</v>
      </c>
    </row>
    <row r="32974" spans="1:2" x14ac:dyDescent="0.25">
      <c r="A32974" s="2">
        <v>32969</v>
      </c>
      <c r="B32974" s="3" t="str">
        <f>"201507000488"</f>
        <v>201507000488</v>
      </c>
    </row>
    <row r="32975" spans="1:2" x14ac:dyDescent="0.25">
      <c r="A32975" s="2">
        <v>32970</v>
      </c>
      <c r="B32975" s="3" t="str">
        <f>"201507000490"</f>
        <v>201507000490</v>
      </c>
    </row>
    <row r="32976" spans="1:2" x14ac:dyDescent="0.25">
      <c r="A32976" s="2">
        <v>32971</v>
      </c>
      <c r="B32976" s="3" t="str">
        <f>"201507000507"</f>
        <v>201507000507</v>
      </c>
    </row>
    <row r="32977" spans="1:2" x14ac:dyDescent="0.25">
      <c r="A32977" s="2">
        <v>32972</v>
      </c>
      <c r="B32977" s="3" t="str">
        <f>"201507000511"</f>
        <v>201507000511</v>
      </c>
    </row>
    <row r="32978" spans="1:2" x14ac:dyDescent="0.25">
      <c r="A32978" s="2">
        <v>32973</v>
      </c>
      <c r="B32978" s="3" t="str">
        <f>"201507000528"</f>
        <v>201507000528</v>
      </c>
    </row>
    <row r="32979" spans="1:2" x14ac:dyDescent="0.25">
      <c r="A32979" s="2">
        <v>32974</v>
      </c>
      <c r="B32979" s="3" t="str">
        <f>"201507000543"</f>
        <v>201507000543</v>
      </c>
    </row>
    <row r="32980" spans="1:2" x14ac:dyDescent="0.25">
      <c r="A32980" s="2">
        <v>32975</v>
      </c>
      <c r="B32980" s="3" t="str">
        <f>"201507000547"</f>
        <v>201507000547</v>
      </c>
    </row>
    <row r="32981" spans="1:2" x14ac:dyDescent="0.25">
      <c r="A32981" s="2">
        <v>32976</v>
      </c>
      <c r="B32981" s="3" t="str">
        <f>"201507000548"</f>
        <v>201507000548</v>
      </c>
    </row>
    <row r="32982" spans="1:2" x14ac:dyDescent="0.25">
      <c r="A32982" s="2">
        <v>32977</v>
      </c>
      <c r="B32982" s="3" t="str">
        <f>"201507000581"</f>
        <v>201507000581</v>
      </c>
    </row>
    <row r="32983" spans="1:2" x14ac:dyDescent="0.25">
      <c r="A32983" s="2">
        <v>32978</v>
      </c>
      <c r="B32983" s="3" t="str">
        <f>"201507000585"</f>
        <v>201507000585</v>
      </c>
    </row>
    <row r="32984" spans="1:2" x14ac:dyDescent="0.25">
      <c r="A32984" s="2">
        <v>32979</v>
      </c>
      <c r="B32984" s="3" t="str">
        <f>"201507000601"</f>
        <v>201507000601</v>
      </c>
    </row>
    <row r="32985" spans="1:2" x14ac:dyDescent="0.25">
      <c r="A32985" s="2">
        <v>32980</v>
      </c>
      <c r="B32985" s="3" t="str">
        <f>"201507000620"</f>
        <v>201507000620</v>
      </c>
    </row>
    <row r="32986" spans="1:2" x14ac:dyDescent="0.25">
      <c r="A32986" s="2">
        <v>32981</v>
      </c>
      <c r="B32986" s="3" t="str">
        <f>"201507000643"</f>
        <v>201507000643</v>
      </c>
    </row>
    <row r="32987" spans="1:2" x14ac:dyDescent="0.25">
      <c r="A32987" s="2">
        <v>32982</v>
      </c>
      <c r="B32987" s="3" t="str">
        <f>"201507000665"</f>
        <v>201507000665</v>
      </c>
    </row>
    <row r="32988" spans="1:2" x14ac:dyDescent="0.25">
      <c r="A32988" s="2">
        <v>32983</v>
      </c>
      <c r="B32988" s="3" t="str">
        <f>"201507000672"</f>
        <v>201507000672</v>
      </c>
    </row>
    <row r="32989" spans="1:2" x14ac:dyDescent="0.25">
      <c r="A32989" s="2">
        <v>32984</v>
      </c>
      <c r="B32989" s="3" t="str">
        <f>"201507000697"</f>
        <v>201507000697</v>
      </c>
    </row>
    <row r="32990" spans="1:2" x14ac:dyDescent="0.25">
      <c r="A32990" s="2">
        <v>32985</v>
      </c>
      <c r="B32990" s="3" t="str">
        <f>"201507000700"</f>
        <v>201507000700</v>
      </c>
    </row>
    <row r="32991" spans="1:2" x14ac:dyDescent="0.25">
      <c r="A32991" s="2">
        <v>32986</v>
      </c>
      <c r="B32991" s="3" t="str">
        <f>"201507000708"</f>
        <v>201507000708</v>
      </c>
    </row>
    <row r="32992" spans="1:2" x14ac:dyDescent="0.25">
      <c r="A32992" s="2">
        <v>32987</v>
      </c>
      <c r="B32992" s="3" t="str">
        <f>"201507000722"</f>
        <v>201507000722</v>
      </c>
    </row>
    <row r="32993" spans="1:2" x14ac:dyDescent="0.25">
      <c r="A32993" s="2">
        <v>32988</v>
      </c>
      <c r="B32993" s="3" t="str">
        <f>"201507000727"</f>
        <v>201507000727</v>
      </c>
    </row>
    <row r="32994" spans="1:2" x14ac:dyDescent="0.25">
      <c r="A32994" s="2">
        <v>32989</v>
      </c>
      <c r="B32994" s="3" t="str">
        <f>"201507000733"</f>
        <v>201507000733</v>
      </c>
    </row>
    <row r="32995" spans="1:2" x14ac:dyDescent="0.25">
      <c r="A32995" s="2">
        <v>32990</v>
      </c>
      <c r="B32995" s="3" t="str">
        <f>"201507000738"</f>
        <v>201507000738</v>
      </c>
    </row>
    <row r="32996" spans="1:2" x14ac:dyDescent="0.25">
      <c r="A32996" s="2">
        <v>32991</v>
      </c>
      <c r="B32996" s="3" t="str">
        <f>"201507000756"</f>
        <v>201507000756</v>
      </c>
    </row>
    <row r="32997" spans="1:2" x14ac:dyDescent="0.25">
      <c r="A32997" s="2">
        <v>32992</v>
      </c>
      <c r="B32997" s="3" t="str">
        <f>"201507000760"</f>
        <v>201507000760</v>
      </c>
    </row>
    <row r="32998" spans="1:2" x14ac:dyDescent="0.25">
      <c r="A32998" s="2">
        <v>32993</v>
      </c>
      <c r="B32998" s="3" t="str">
        <f>"201507000805"</f>
        <v>201507000805</v>
      </c>
    </row>
    <row r="32999" spans="1:2" x14ac:dyDescent="0.25">
      <c r="A32999" s="2">
        <v>32994</v>
      </c>
      <c r="B32999" s="3" t="str">
        <f>"201507000812"</f>
        <v>201507000812</v>
      </c>
    </row>
    <row r="33000" spans="1:2" x14ac:dyDescent="0.25">
      <c r="A33000" s="2">
        <v>32995</v>
      </c>
      <c r="B33000" s="3" t="str">
        <f>"201507000814"</f>
        <v>201507000814</v>
      </c>
    </row>
    <row r="33001" spans="1:2" x14ac:dyDescent="0.25">
      <c r="A33001" s="2">
        <v>32996</v>
      </c>
      <c r="B33001" s="3" t="str">
        <f>"201507000817"</f>
        <v>201507000817</v>
      </c>
    </row>
    <row r="33002" spans="1:2" x14ac:dyDescent="0.25">
      <c r="A33002" s="2">
        <v>32997</v>
      </c>
      <c r="B33002" s="3" t="str">
        <f>"201507000840"</f>
        <v>201507000840</v>
      </c>
    </row>
    <row r="33003" spans="1:2" x14ac:dyDescent="0.25">
      <c r="A33003" s="2">
        <v>32998</v>
      </c>
      <c r="B33003" s="3" t="str">
        <f>"201507000848"</f>
        <v>201507000848</v>
      </c>
    </row>
    <row r="33004" spans="1:2" x14ac:dyDescent="0.25">
      <c r="A33004" s="2">
        <v>32999</v>
      </c>
      <c r="B33004" s="3" t="str">
        <f>"201507000855"</f>
        <v>201507000855</v>
      </c>
    </row>
    <row r="33005" spans="1:2" x14ac:dyDescent="0.25">
      <c r="A33005" s="2">
        <v>33000</v>
      </c>
      <c r="B33005" s="3" t="str">
        <f>"201507000868"</f>
        <v>201507000868</v>
      </c>
    </row>
    <row r="33006" spans="1:2" x14ac:dyDescent="0.25">
      <c r="A33006" s="2">
        <v>33001</v>
      </c>
      <c r="B33006" s="3" t="str">
        <f>"201507000902"</f>
        <v>201507000902</v>
      </c>
    </row>
    <row r="33007" spans="1:2" x14ac:dyDescent="0.25">
      <c r="A33007" s="2">
        <v>33002</v>
      </c>
      <c r="B33007" s="3" t="str">
        <f>"201507000912"</f>
        <v>201507000912</v>
      </c>
    </row>
    <row r="33008" spans="1:2" x14ac:dyDescent="0.25">
      <c r="A33008" s="2">
        <v>33003</v>
      </c>
      <c r="B33008" s="3" t="str">
        <f>"201507000918"</f>
        <v>201507000918</v>
      </c>
    </row>
    <row r="33009" spans="1:2" x14ac:dyDescent="0.25">
      <c r="A33009" s="2">
        <v>33004</v>
      </c>
      <c r="B33009" s="3" t="str">
        <f>"201507000923"</f>
        <v>201507000923</v>
      </c>
    </row>
    <row r="33010" spans="1:2" x14ac:dyDescent="0.25">
      <c r="A33010" s="2">
        <v>33005</v>
      </c>
      <c r="B33010" s="3" t="str">
        <f>"201507000934"</f>
        <v>201507000934</v>
      </c>
    </row>
    <row r="33011" spans="1:2" x14ac:dyDescent="0.25">
      <c r="A33011" s="2">
        <v>33006</v>
      </c>
      <c r="B33011" s="3" t="str">
        <f>"201507000952"</f>
        <v>201507000952</v>
      </c>
    </row>
    <row r="33012" spans="1:2" x14ac:dyDescent="0.25">
      <c r="A33012" s="2">
        <v>33007</v>
      </c>
      <c r="B33012" s="3" t="str">
        <f>"201507000963"</f>
        <v>201507000963</v>
      </c>
    </row>
    <row r="33013" spans="1:2" x14ac:dyDescent="0.25">
      <c r="A33013" s="2">
        <v>33008</v>
      </c>
      <c r="B33013" s="3" t="str">
        <f>"201507000984"</f>
        <v>201507000984</v>
      </c>
    </row>
    <row r="33014" spans="1:2" x14ac:dyDescent="0.25">
      <c r="A33014" s="2">
        <v>33009</v>
      </c>
      <c r="B33014" s="3" t="str">
        <f>"201507000999"</f>
        <v>201507000999</v>
      </c>
    </row>
    <row r="33015" spans="1:2" x14ac:dyDescent="0.25">
      <c r="A33015" s="2">
        <v>33010</v>
      </c>
      <c r="B33015" s="3" t="str">
        <f>"201507001014"</f>
        <v>201507001014</v>
      </c>
    </row>
    <row r="33016" spans="1:2" x14ac:dyDescent="0.25">
      <c r="A33016" s="2">
        <v>33011</v>
      </c>
      <c r="B33016" s="3" t="str">
        <f>"201507001017"</f>
        <v>201507001017</v>
      </c>
    </row>
    <row r="33017" spans="1:2" x14ac:dyDescent="0.25">
      <c r="A33017" s="2">
        <v>33012</v>
      </c>
      <c r="B33017" s="3" t="str">
        <f>"201507001019"</f>
        <v>201507001019</v>
      </c>
    </row>
    <row r="33018" spans="1:2" x14ac:dyDescent="0.25">
      <c r="A33018" s="2">
        <v>33013</v>
      </c>
      <c r="B33018" s="3" t="str">
        <f>"201507001026"</f>
        <v>201507001026</v>
      </c>
    </row>
    <row r="33019" spans="1:2" x14ac:dyDescent="0.25">
      <c r="A33019" s="2">
        <v>33014</v>
      </c>
      <c r="B33019" s="3" t="str">
        <f>"201507001042"</f>
        <v>201507001042</v>
      </c>
    </row>
    <row r="33020" spans="1:2" x14ac:dyDescent="0.25">
      <c r="A33020" s="2">
        <v>33015</v>
      </c>
      <c r="B33020" s="3" t="str">
        <f>"201507001044"</f>
        <v>201507001044</v>
      </c>
    </row>
    <row r="33021" spans="1:2" x14ac:dyDescent="0.25">
      <c r="A33021" s="2">
        <v>33016</v>
      </c>
      <c r="B33021" s="3" t="str">
        <f>"201507001054"</f>
        <v>201507001054</v>
      </c>
    </row>
    <row r="33022" spans="1:2" x14ac:dyDescent="0.25">
      <c r="A33022" s="2">
        <v>33017</v>
      </c>
      <c r="B33022" s="3" t="str">
        <f>"201507001059"</f>
        <v>201507001059</v>
      </c>
    </row>
    <row r="33023" spans="1:2" x14ac:dyDescent="0.25">
      <c r="A33023" s="2">
        <v>33018</v>
      </c>
      <c r="B33023" s="3" t="str">
        <f>"201507001060"</f>
        <v>201507001060</v>
      </c>
    </row>
    <row r="33024" spans="1:2" x14ac:dyDescent="0.25">
      <c r="A33024" s="2">
        <v>33019</v>
      </c>
      <c r="B33024" s="3" t="str">
        <f>"201507001061"</f>
        <v>201507001061</v>
      </c>
    </row>
    <row r="33025" spans="1:2" x14ac:dyDescent="0.25">
      <c r="A33025" s="2">
        <v>33020</v>
      </c>
      <c r="B33025" s="3" t="str">
        <f>"201507001069"</f>
        <v>201507001069</v>
      </c>
    </row>
    <row r="33026" spans="1:2" x14ac:dyDescent="0.25">
      <c r="A33026" s="2">
        <v>33021</v>
      </c>
      <c r="B33026" s="3" t="str">
        <f>"201507001087"</f>
        <v>201507001087</v>
      </c>
    </row>
    <row r="33027" spans="1:2" x14ac:dyDescent="0.25">
      <c r="A33027" s="2">
        <v>33022</v>
      </c>
      <c r="B33027" s="3" t="str">
        <f>"201507001090"</f>
        <v>201507001090</v>
      </c>
    </row>
    <row r="33028" spans="1:2" x14ac:dyDescent="0.25">
      <c r="A33028" s="2">
        <v>33023</v>
      </c>
      <c r="B33028" s="3" t="str">
        <f>"201507001122"</f>
        <v>201507001122</v>
      </c>
    </row>
    <row r="33029" spans="1:2" x14ac:dyDescent="0.25">
      <c r="A33029" s="2">
        <v>33024</v>
      </c>
      <c r="B33029" s="3" t="str">
        <f>"201507001130"</f>
        <v>201507001130</v>
      </c>
    </row>
    <row r="33030" spans="1:2" x14ac:dyDescent="0.25">
      <c r="A33030" s="2">
        <v>33025</v>
      </c>
      <c r="B33030" s="3" t="str">
        <f>"201507001149"</f>
        <v>201507001149</v>
      </c>
    </row>
    <row r="33031" spans="1:2" x14ac:dyDescent="0.25">
      <c r="A33031" s="2">
        <v>33026</v>
      </c>
      <c r="B33031" s="3" t="str">
        <f>"201507001155"</f>
        <v>201507001155</v>
      </c>
    </row>
    <row r="33032" spans="1:2" x14ac:dyDescent="0.25">
      <c r="A33032" s="2">
        <v>33027</v>
      </c>
      <c r="B33032" s="3" t="str">
        <f>"201507001157"</f>
        <v>201507001157</v>
      </c>
    </row>
    <row r="33033" spans="1:2" x14ac:dyDescent="0.25">
      <c r="A33033" s="2">
        <v>33028</v>
      </c>
      <c r="B33033" s="3" t="str">
        <f>"201507001172"</f>
        <v>201507001172</v>
      </c>
    </row>
    <row r="33034" spans="1:2" x14ac:dyDescent="0.25">
      <c r="A33034" s="2">
        <v>33029</v>
      </c>
      <c r="B33034" s="3" t="str">
        <f>"201507001181"</f>
        <v>201507001181</v>
      </c>
    </row>
    <row r="33035" spans="1:2" x14ac:dyDescent="0.25">
      <c r="A33035" s="2">
        <v>33030</v>
      </c>
      <c r="B33035" s="3" t="str">
        <f>"201507001184"</f>
        <v>201507001184</v>
      </c>
    </row>
    <row r="33036" spans="1:2" x14ac:dyDescent="0.25">
      <c r="A33036" s="2">
        <v>33031</v>
      </c>
      <c r="B33036" s="3" t="str">
        <f>"201507001193"</f>
        <v>201507001193</v>
      </c>
    </row>
    <row r="33037" spans="1:2" x14ac:dyDescent="0.25">
      <c r="A33037" s="2">
        <v>33032</v>
      </c>
      <c r="B33037" s="3" t="str">
        <f>"201507001195"</f>
        <v>201507001195</v>
      </c>
    </row>
    <row r="33038" spans="1:2" x14ac:dyDescent="0.25">
      <c r="A33038" s="2">
        <v>33033</v>
      </c>
      <c r="B33038" s="3" t="str">
        <f>"201507001198"</f>
        <v>201507001198</v>
      </c>
    </row>
    <row r="33039" spans="1:2" x14ac:dyDescent="0.25">
      <c r="A33039" s="2">
        <v>33034</v>
      </c>
      <c r="B33039" s="3" t="str">
        <f>"201507001206"</f>
        <v>201507001206</v>
      </c>
    </row>
    <row r="33040" spans="1:2" x14ac:dyDescent="0.25">
      <c r="A33040" s="2">
        <v>33035</v>
      </c>
      <c r="B33040" s="3" t="str">
        <f>"201507001207"</f>
        <v>201507001207</v>
      </c>
    </row>
    <row r="33041" spans="1:2" x14ac:dyDescent="0.25">
      <c r="A33041" s="2">
        <v>33036</v>
      </c>
      <c r="B33041" s="3" t="str">
        <f>"201507001211"</f>
        <v>201507001211</v>
      </c>
    </row>
    <row r="33042" spans="1:2" x14ac:dyDescent="0.25">
      <c r="A33042" s="2">
        <v>33037</v>
      </c>
      <c r="B33042" s="3" t="str">
        <f>"201507001221"</f>
        <v>201507001221</v>
      </c>
    </row>
    <row r="33043" spans="1:2" x14ac:dyDescent="0.25">
      <c r="A33043" s="2">
        <v>33038</v>
      </c>
      <c r="B33043" s="3" t="str">
        <f>"201507001243"</f>
        <v>201507001243</v>
      </c>
    </row>
    <row r="33044" spans="1:2" x14ac:dyDescent="0.25">
      <c r="A33044" s="2">
        <v>33039</v>
      </c>
      <c r="B33044" s="3" t="str">
        <f>"201507001248"</f>
        <v>201507001248</v>
      </c>
    </row>
    <row r="33045" spans="1:2" x14ac:dyDescent="0.25">
      <c r="A33045" s="2">
        <v>33040</v>
      </c>
      <c r="B33045" s="3" t="str">
        <f>"201507001251"</f>
        <v>201507001251</v>
      </c>
    </row>
    <row r="33046" spans="1:2" x14ac:dyDescent="0.25">
      <c r="A33046" s="2">
        <v>33041</v>
      </c>
      <c r="B33046" s="3" t="str">
        <f>"201507001255"</f>
        <v>201507001255</v>
      </c>
    </row>
    <row r="33047" spans="1:2" x14ac:dyDescent="0.25">
      <c r="A33047" s="2">
        <v>33042</v>
      </c>
      <c r="B33047" s="3" t="str">
        <f>"201507001262"</f>
        <v>201507001262</v>
      </c>
    </row>
    <row r="33048" spans="1:2" x14ac:dyDescent="0.25">
      <c r="A33048" s="2">
        <v>33043</v>
      </c>
      <c r="B33048" s="3" t="str">
        <f>"201507001278"</f>
        <v>201507001278</v>
      </c>
    </row>
    <row r="33049" spans="1:2" x14ac:dyDescent="0.25">
      <c r="A33049" s="2">
        <v>33044</v>
      </c>
      <c r="B33049" s="3" t="str">
        <f>"201507001282"</f>
        <v>201507001282</v>
      </c>
    </row>
    <row r="33050" spans="1:2" x14ac:dyDescent="0.25">
      <c r="A33050" s="2">
        <v>33045</v>
      </c>
      <c r="B33050" s="3" t="str">
        <f>"201507001296"</f>
        <v>201507001296</v>
      </c>
    </row>
    <row r="33051" spans="1:2" x14ac:dyDescent="0.25">
      <c r="A33051" s="2">
        <v>33046</v>
      </c>
      <c r="B33051" s="3" t="str">
        <f>"201507001316"</f>
        <v>201507001316</v>
      </c>
    </row>
    <row r="33052" spans="1:2" x14ac:dyDescent="0.25">
      <c r="A33052" s="2">
        <v>33047</v>
      </c>
      <c r="B33052" s="3" t="str">
        <f>"201507001322"</f>
        <v>201507001322</v>
      </c>
    </row>
    <row r="33053" spans="1:2" x14ac:dyDescent="0.25">
      <c r="A33053" s="2">
        <v>33048</v>
      </c>
      <c r="B33053" s="3" t="str">
        <f>"201507001323"</f>
        <v>201507001323</v>
      </c>
    </row>
    <row r="33054" spans="1:2" x14ac:dyDescent="0.25">
      <c r="A33054" s="2">
        <v>33049</v>
      </c>
      <c r="B33054" s="3" t="str">
        <f>"201507001338"</f>
        <v>201507001338</v>
      </c>
    </row>
    <row r="33055" spans="1:2" x14ac:dyDescent="0.25">
      <c r="A33055" s="2">
        <v>33050</v>
      </c>
      <c r="B33055" s="3" t="str">
        <f>"201507001349"</f>
        <v>201507001349</v>
      </c>
    </row>
    <row r="33056" spans="1:2" x14ac:dyDescent="0.25">
      <c r="A33056" s="2">
        <v>33051</v>
      </c>
      <c r="B33056" s="3" t="str">
        <f>"201507001351"</f>
        <v>201507001351</v>
      </c>
    </row>
    <row r="33057" spans="1:2" x14ac:dyDescent="0.25">
      <c r="A33057" s="2">
        <v>33052</v>
      </c>
      <c r="B33057" s="3" t="str">
        <f>"201507001355"</f>
        <v>201507001355</v>
      </c>
    </row>
    <row r="33058" spans="1:2" x14ac:dyDescent="0.25">
      <c r="A33058" s="2">
        <v>33053</v>
      </c>
      <c r="B33058" s="3" t="str">
        <f>"201507001364"</f>
        <v>201507001364</v>
      </c>
    </row>
    <row r="33059" spans="1:2" x14ac:dyDescent="0.25">
      <c r="A33059" s="2">
        <v>33054</v>
      </c>
      <c r="B33059" s="3" t="str">
        <f>"201507001371"</f>
        <v>201507001371</v>
      </c>
    </row>
    <row r="33060" spans="1:2" x14ac:dyDescent="0.25">
      <c r="A33060" s="2">
        <v>33055</v>
      </c>
      <c r="B33060" s="3" t="str">
        <f>"201507001399"</f>
        <v>201507001399</v>
      </c>
    </row>
    <row r="33061" spans="1:2" x14ac:dyDescent="0.25">
      <c r="A33061" s="2">
        <v>33056</v>
      </c>
      <c r="B33061" s="3" t="str">
        <f>"201507001412"</f>
        <v>201507001412</v>
      </c>
    </row>
    <row r="33062" spans="1:2" x14ac:dyDescent="0.25">
      <c r="A33062" s="2">
        <v>33057</v>
      </c>
      <c r="B33062" s="3" t="str">
        <f>"201507001420"</f>
        <v>201507001420</v>
      </c>
    </row>
    <row r="33063" spans="1:2" x14ac:dyDescent="0.25">
      <c r="A33063" s="2">
        <v>33058</v>
      </c>
      <c r="B33063" s="3" t="str">
        <f>"201507001428"</f>
        <v>201507001428</v>
      </c>
    </row>
    <row r="33064" spans="1:2" x14ac:dyDescent="0.25">
      <c r="A33064" s="2">
        <v>33059</v>
      </c>
      <c r="B33064" s="3" t="str">
        <f>"201507001451"</f>
        <v>201507001451</v>
      </c>
    </row>
    <row r="33065" spans="1:2" x14ac:dyDescent="0.25">
      <c r="A33065" s="2">
        <v>33060</v>
      </c>
      <c r="B33065" s="3" t="str">
        <f>"201507001452"</f>
        <v>201507001452</v>
      </c>
    </row>
    <row r="33066" spans="1:2" x14ac:dyDescent="0.25">
      <c r="A33066" s="2">
        <v>33061</v>
      </c>
      <c r="B33066" s="3" t="str">
        <f>"201507001466"</f>
        <v>201507001466</v>
      </c>
    </row>
    <row r="33067" spans="1:2" x14ac:dyDescent="0.25">
      <c r="A33067" s="2">
        <v>33062</v>
      </c>
      <c r="B33067" s="3" t="str">
        <f>"201507001481"</f>
        <v>201507001481</v>
      </c>
    </row>
    <row r="33068" spans="1:2" x14ac:dyDescent="0.25">
      <c r="A33068" s="2">
        <v>33063</v>
      </c>
      <c r="B33068" s="3" t="str">
        <f>"201507001482"</f>
        <v>201507001482</v>
      </c>
    </row>
    <row r="33069" spans="1:2" x14ac:dyDescent="0.25">
      <c r="A33069" s="2">
        <v>33064</v>
      </c>
      <c r="B33069" s="3" t="str">
        <f>"201507001496"</f>
        <v>201507001496</v>
      </c>
    </row>
    <row r="33070" spans="1:2" x14ac:dyDescent="0.25">
      <c r="A33070" s="2">
        <v>33065</v>
      </c>
      <c r="B33070" s="3" t="str">
        <f>"201507001504"</f>
        <v>201507001504</v>
      </c>
    </row>
    <row r="33071" spans="1:2" x14ac:dyDescent="0.25">
      <c r="A33071" s="2">
        <v>33066</v>
      </c>
      <c r="B33071" s="3" t="str">
        <f>"201507001512"</f>
        <v>201507001512</v>
      </c>
    </row>
    <row r="33072" spans="1:2" x14ac:dyDescent="0.25">
      <c r="A33072" s="2">
        <v>33067</v>
      </c>
      <c r="B33072" s="3" t="str">
        <f>"201507001516"</f>
        <v>201507001516</v>
      </c>
    </row>
    <row r="33073" spans="1:2" x14ac:dyDescent="0.25">
      <c r="A33073" s="2">
        <v>33068</v>
      </c>
      <c r="B33073" s="3" t="str">
        <f>"201507001545"</f>
        <v>201507001545</v>
      </c>
    </row>
    <row r="33074" spans="1:2" x14ac:dyDescent="0.25">
      <c r="A33074" s="2">
        <v>33069</v>
      </c>
      <c r="B33074" s="3" t="str">
        <f>"201507001556"</f>
        <v>201507001556</v>
      </c>
    </row>
    <row r="33075" spans="1:2" x14ac:dyDescent="0.25">
      <c r="A33075" s="2">
        <v>33070</v>
      </c>
      <c r="B33075" s="3" t="str">
        <f>"201507001565"</f>
        <v>201507001565</v>
      </c>
    </row>
    <row r="33076" spans="1:2" x14ac:dyDescent="0.25">
      <c r="A33076" s="2">
        <v>33071</v>
      </c>
      <c r="B33076" s="3" t="str">
        <f>"201507001570"</f>
        <v>201507001570</v>
      </c>
    </row>
    <row r="33077" spans="1:2" x14ac:dyDescent="0.25">
      <c r="A33077" s="2">
        <v>33072</v>
      </c>
      <c r="B33077" s="3" t="str">
        <f>"201507001571"</f>
        <v>201507001571</v>
      </c>
    </row>
    <row r="33078" spans="1:2" x14ac:dyDescent="0.25">
      <c r="A33078" s="2">
        <v>33073</v>
      </c>
      <c r="B33078" s="3" t="str">
        <f>"201507001602"</f>
        <v>201507001602</v>
      </c>
    </row>
    <row r="33079" spans="1:2" x14ac:dyDescent="0.25">
      <c r="A33079" s="2">
        <v>33074</v>
      </c>
      <c r="B33079" s="3" t="str">
        <f>"201507001616"</f>
        <v>201507001616</v>
      </c>
    </row>
    <row r="33080" spans="1:2" x14ac:dyDescent="0.25">
      <c r="A33080" s="2">
        <v>33075</v>
      </c>
      <c r="B33080" s="3" t="str">
        <f>"201507001617"</f>
        <v>201507001617</v>
      </c>
    </row>
    <row r="33081" spans="1:2" x14ac:dyDescent="0.25">
      <c r="A33081" s="2">
        <v>33076</v>
      </c>
      <c r="B33081" s="3" t="str">
        <f>"201507001619"</f>
        <v>201507001619</v>
      </c>
    </row>
    <row r="33082" spans="1:2" x14ac:dyDescent="0.25">
      <c r="A33082" s="2">
        <v>33077</v>
      </c>
      <c r="B33082" s="3" t="str">
        <f>"201507001622"</f>
        <v>201507001622</v>
      </c>
    </row>
    <row r="33083" spans="1:2" x14ac:dyDescent="0.25">
      <c r="A33083" s="2">
        <v>33078</v>
      </c>
      <c r="B33083" s="3" t="str">
        <f>"201507001653"</f>
        <v>201507001653</v>
      </c>
    </row>
    <row r="33084" spans="1:2" x14ac:dyDescent="0.25">
      <c r="A33084" s="2">
        <v>33079</v>
      </c>
      <c r="B33084" s="3" t="str">
        <f>"201507001656"</f>
        <v>201507001656</v>
      </c>
    </row>
    <row r="33085" spans="1:2" x14ac:dyDescent="0.25">
      <c r="A33085" s="2">
        <v>33080</v>
      </c>
      <c r="B33085" s="3" t="str">
        <f>"201507001670"</f>
        <v>201507001670</v>
      </c>
    </row>
    <row r="33086" spans="1:2" x14ac:dyDescent="0.25">
      <c r="A33086" s="2">
        <v>33081</v>
      </c>
      <c r="B33086" s="3" t="str">
        <f>"201507001675"</f>
        <v>201507001675</v>
      </c>
    </row>
    <row r="33087" spans="1:2" x14ac:dyDescent="0.25">
      <c r="A33087" s="2">
        <v>33082</v>
      </c>
      <c r="B33087" s="3" t="str">
        <f>"201507001677"</f>
        <v>201507001677</v>
      </c>
    </row>
    <row r="33088" spans="1:2" x14ac:dyDescent="0.25">
      <c r="A33088" s="2">
        <v>33083</v>
      </c>
      <c r="B33088" s="3" t="str">
        <f>"201507001682"</f>
        <v>201507001682</v>
      </c>
    </row>
    <row r="33089" spans="1:2" x14ac:dyDescent="0.25">
      <c r="A33089" s="2">
        <v>33084</v>
      </c>
      <c r="B33089" s="3" t="str">
        <f>"201507001701"</f>
        <v>201507001701</v>
      </c>
    </row>
    <row r="33090" spans="1:2" x14ac:dyDescent="0.25">
      <c r="A33090" s="2">
        <v>33085</v>
      </c>
      <c r="B33090" s="3" t="str">
        <f>"201507001703"</f>
        <v>201507001703</v>
      </c>
    </row>
    <row r="33091" spans="1:2" x14ac:dyDescent="0.25">
      <c r="A33091" s="2">
        <v>33086</v>
      </c>
      <c r="B33091" s="3" t="str">
        <f>"201507001735"</f>
        <v>201507001735</v>
      </c>
    </row>
    <row r="33092" spans="1:2" x14ac:dyDescent="0.25">
      <c r="A33092" s="2">
        <v>33087</v>
      </c>
      <c r="B33092" s="3" t="str">
        <f>"201507001765"</f>
        <v>201507001765</v>
      </c>
    </row>
    <row r="33093" spans="1:2" x14ac:dyDescent="0.25">
      <c r="A33093" s="2">
        <v>33088</v>
      </c>
      <c r="B33093" s="3" t="str">
        <f>"201507001766"</f>
        <v>201507001766</v>
      </c>
    </row>
    <row r="33094" spans="1:2" x14ac:dyDescent="0.25">
      <c r="A33094" s="2">
        <v>33089</v>
      </c>
      <c r="B33094" s="3" t="str">
        <f>"201507001771"</f>
        <v>201507001771</v>
      </c>
    </row>
    <row r="33095" spans="1:2" x14ac:dyDescent="0.25">
      <c r="A33095" s="2">
        <v>33090</v>
      </c>
      <c r="B33095" s="3" t="str">
        <f>"201507001779"</f>
        <v>201507001779</v>
      </c>
    </row>
    <row r="33096" spans="1:2" x14ac:dyDescent="0.25">
      <c r="A33096" s="2">
        <v>33091</v>
      </c>
      <c r="B33096" s="3" t="str">
        <f>"201507001785"</f>
        <v>201507001785</v>
      </c>
    </row>
    <row r="33097" spans="1:2" x14ac:dyDescent="0.25">
      <c r="A33097" s="2">
        <v>33092</v>
      </c>
      <c r="B33097" s="3" t="str">
        <f>"201507001788"</f>
        <v>201507001788</v>
      </c>
    </row>
    <row r="33098" spans="1:2" x14ac:dyDescent="0.25">
      <c r="A33098" s="2">
        <v>33093</v>
      </c>
      <c r="B33098" s="3" t="str">
        <f>"201507001807"</f>
        <v>201507001807</v>
      </c>
    </row>
    <row r="33099" spans="1:2" x14ac:dyDescent="0.25">
      <c r="A33099" s="2">
        <v>33094</v>
      </c>
      <c r="B33099" s="3" t="str">
        <f>"201507001810"</f>
        <v>201507001810</v>
      </c>
    </row>
    <row r="33100" spans="1:2" x14ac:dyDescent="0.25">
      <c r="A33100" s="2">
        <v>33095</v>
      </c>
      <c r="B33100" s="3" t="str">
        <f>"201507001811"</f>
        <v>201507001811</v>
      </c>
    </row>
    <row r="33101" spans="1:2" x14ac:dyDescent="0.25">
      <c r="A33101" s="2">
        <v>33096</v>
      </c>
      <c r="B33101" s="3" t="str">
        <f>"201507001812"</f>
        <v>201507001812</v>
      </c>
    </row>
    <row r="33102" spans="1:2" x14ac:dyDescent="0.25">
      <c r="A33102" s="2">
        <v>33097</v>
      </c>
      <c r="B33102" s="3" t="str">
        <f>"201507001833"</f>
        <v>201507001833</v>
      </c>
    </row>
    <row r="33103" spans="1:2" x14ac:dyDescent="0.25">
      <c r="A33103" s="2">
        <v>33098</v>
      </c>
      <c r="B33103" s="3" t="str">
        <f>"201507001839"</f>
        <v>201507001839</v>
      </c>
    </row>
    <row r="33104" spans="1:2" x14ac:dyDescent="0.25">
      <c r="A33104" s="2">
        <v>33099</v>
      </c>
      <c r="B33104" s="3" t="str">
        <f>"201507001851"</f>
        <v>201507001851</v>
      </c>
    </row>
    <row r="33105" spans="1:2" x14ac:dyDescent="0.25">
      <c r="A33105" s="2">
        <v>33100</v>
      </c>
      <c r="B33105" s="3" t="str">
        <f>"201507001864"</f>
        <v>201507001864</v>
      </c>
    </row>
    <row r="33106" spans="1:2" x14ac:dyDescent="0.25">
      <c r="A33106" s="2">
        <v>33101</v>
      </c>
      <c r="B33106" s="3" t="str">
        <f>"201507001870"</f>
        <v>201507001870</v>
      </c>
    </row>
    <row r="33107" spans="1:2" x14ac:dyDescent="0.25">
      <c r="A33107" s="2">
        <v>33102</v>
      </c>
      <c r="B33107" s="3" t="str">
        <f>"201507001896"</f>
        <v>201507001896</v>
      </c>
    </row>
    <row r="33108" spans="1:2" x14ac:dyDescent="0.25">
      <c r="A33108" s="2">
        <v>33103</v>
      </c>
      <c r="B33108" s="3" t="str">
        <f>"201507001897"</f>
        <v>201507001897</v>
      </c>
    </row>
    <row r="33109" spans="1:2" x14ac:dyDescent="0.25">
      <c r="A33109" s="2">
        <v>33104</v>
      </c>
      <c r="B33109" s="3" t="str">
        <f>"201507001907"</f>
        <v>201507001907</v>
      </c>
    </row>
    <row r="33110" spans="1:2" x14ac:dyDescent="0.25">
      <c r="A33110" s="2">
        <v>33105</v>
      </c>
      <c r="B33110" s="3" t="str">
        <f>"201507001922"</f>
        <v>201507001922</v>
      </c>
    </row>
    <row r="33111" spans="1:2" x14ac:dyDescent="0.25">
      <c r="A33111" s="2">
        <v>33106</v>
      </c>
      <c r="B33111" s="3" t="str">
        <f>"201507001925"</f>
        <v>201507001925</v>
      </c>
    </row>
    <row r="33112" spans="1:2" x14ac:dyDescent="0.25">
      <c r="A33112" s="2">
        <v>33107</v>
      </c>
      <c r="B33112" s="3" t="str">
        <f>"201507001930"</f>
        <v>201507001930</v>
      </c>
    </row>
    <row r="33113" spans="1:2" x14ac:dyDescent="0.25">
      <c r="A33113" s="2">
        <v>33108</v>
      </c>
      <c r="B33113" s="3" t="str">
        <f>"201507001970"</f>
        <v>201507001970</v>
      </c>
    </row>
    <row r="33114" spans="1:2" x14ac:dyDescent="0.25">
      <c r="A33114" s="2">
        <v>33109</v>
      </c>
      <c r="B33114" s="3" t="str">
        <f>"201507001979"</f>
        <v>201507001979</v>
      </c>
    </row>
    <row r="33115" spans="1:2" x14ac:dyDescent="0.25">
      <c r="A33115" s="2">
        <v>33110</v>
      </c>
      <c r="B33115" s="3" t="str">
        <f>"201507001994"</f>
        <v>201507001994</v>
      </c>
    </row>
    <row r="33116" spans="1:2" x14ac:dyDescent="0.25">
      <c r="A33116" s="2">
        <v>33111</v>
      </c>
      <c r="B33116" s="3" t="str">
        <f>"201507001996"</f>
        <v>201507001996</v>
      </c>
    </row>
    <row r="33117" spans="1:2" x14ac:dyDescent="0.25">
      <c r="A33117" s="2">
        <v>33112</v>
      </c>
      <c r="B33117" s="3" t="str">
        <f>"201507002008"</f>
        <v>201507002008</v>
      </c>
    </row>
    <row r="33118" spans="1:2" x14ac:dyDescent="0.25">
      <c r="A33118" s="2">
        <v>33113</v>
      </c>
      <c r="B33118" s="3" t="str">
        <f>"201507002009"</f>
        <v>201507002009</v>
      </c>
    </row>
    <row r="33119" spans="1:2" x14ac:dyDescent="0.25">
      <c r="A33119" s="2">
        <v>33114</v>
      </c>
      <c r="B33119" s="3" t="str">
        <f>"201507002019"</f>
        <v>201507002019</v>
      </c>
    </row>
    <row r="33120" spans="1:2" x14ac:dyDescent="0.25">
      <c r="A33120" s="2">
        <v>33115</v>
      </c>
      <c r="B33120" s="3" t="str">
        <f>"201507002023"</f>
        <v>201507002023</v>
      </c>
    </row>
    <row r="33121" spans="1:2" x14ac:dyDescent="0.25">
      <c r="A33121" s="2">
        <v>33116</v>
      </c>
      <c r="B33121" s="3" t="str">
        <f>"201507002033"</f>
        <v>201507002033</v>
      </c>
    </row>
    <row r="33122" spans="1:2" x14ac:dyDescent="0.25">
      <c r="A33122" s="2">
        <v>33117</v>
      </c>
      <c r="B33122" s="3" t="str">
        <f>"201507002034"</f>
        <v>201507002034</v>
      </c>
    </row>
    <row r="33123" spans="1:2" x14ac:dyDescent="0.25">
      <c r="A33123" s="2">
        <v>33118</v>
      </c>
      <c r="B33123" s="3" t="str">
        <f>"201507002035"</f>
        <v>201507002035</v>
      </c>
    </row>
    <row r="33124" spans="1:2" x14ac:dyDescent="0.25">
      <c r="A33124" s="2">
        <v>33119</v>
      </c>
      <c r="B33124" s="3" t="str">
        <f>"201507002048"</f>
        <v>201507002048</v>
      </c>
    </row>
    <row r="33125" spans="1:2" x14ac:dyDescent="0.25">
      <c r="A33125" s="2">
        <v>33120</v>
      </c>
      <c r="B33125" s="3" t="str">
        <f>"201507002057"</f>
        <v>201507002057</v>
      </c>
    </row>
    <row r="33126" spans="1:2" x14ac:dyDescent="0.25">
      <c r="A33126" s="2">
        <v>33121</v>
      </c>
      <c r="B33126" s="3" t="str">
        <f>"201507002066"</f>
        <v>201507002066</v>
      </c>
    </row>
    <row r="33127" spans="1:2" x14ac:dyDescent="0.25">
      <c r="A33127" s="2">
        <v>33122</v>
      </c>
      <c r="B33127" s="3" t="str">
        <f>"201507002074"</f>
        <v>201507002074</v>
      </c>
    </row>
    <row r="33128" spans="1:2" x14ac:dyDescent="0.25">
      <c r="A33128" s="2">
        <v>33123</v>
      </c>
      <c r="B33128" s="3" t="str">
        <f>"201507002075"</f>
        <v>201507002075</v>
      </c>
    </row>
    <row r="33129" spans="1:2" x14ac:dyDescent="0.25">
      <c r="A33129" s="2">
        <v>33124</v>
      </c>
      <c r="B33129" s="3" t="str">
        <f>"201507002076"</f>
        <v>201507002076</v>
      </c>
    </row>
    <row r="33130" spans="1:2" x14ac:dyDescent="0.25">
      <c r="A33130" s="2">
        <v>33125</v>
      </c>
      <c r="B33130" s="3" t="str">
        <f>"201507002083"</f>
        <v>201507002083</v>
      </c>
    </row>
    <row r="33131" spans="1:2" x14ac:dyDescent="0.25">
      <c r="A33131" s="2">
        <v>33126</v>
      </c>
      <c r="B33131" s="3" t="str">
        <f>"201507002090"</f>
        <v>201507002090</v>
      </c>
    </row>
    <row r="33132" spans="1:2" x14ac:dyDescent="0.25">
      <c r="A33132" s="2">
        <v>33127</v>
      </c>
      <c r="B33132" s="3" t="str">
        <f>"201507002098"</f>
        <v>201507002098</v>
      </c>
    </row>
    <row r="33133" spans="1:2" x14ac:dyDescent="0.25">
      <c r="A33133" s="2">
        <v>33128</v>
      </c>
      <c r="B33133" s="3" t="str">
        <f>"201507002100"</f>
        <v>201507002100</v>
      </c>
    </row>
    <row r="33134" spans="1:2" x14ac:dyDescent="0.25">
      <c r="A33134" s="2">
        <v>33129</v>
      </c>
      <c r="B33134" s="3" t="str">
        <f>"201507002124"</f>
        <v>201507002124</v>
      </c>
    </row>
    <row r="33135" spans="1:2" x14ac:dyDescent="0.25">
      <c r="A33135" s="2">
        <v>33130</v>
      </c>
      <c r="B33135" s="3" t="str">
        <f>"201507002130"</f>
        <v>201507002130</v>
      </c>
    </row>
    <row r="33136" spans="1:2" x14ac:dyDescent="0.25">
      <c r="A33136" s="2">
        <v>33131</v>
      </c>
      <c r="B33136" s="3" t="str">
        <f>"201507002139"</f>
        <v>201507002139</v>
      </c>
    </row>
    <row r="33137" spans="1:2" x14ac:dyDescent="0.25">
      <c r="A33137" s="2">
        <v>33132</v>
      </c>
      <c r="B33137" s="3" t="str">
        <f>"201507002141"</f>
        <v>201507002141</v>
      </c>
    </row>
    <row r="33138" spans="1:2" x14ac:dyDescent="0.25">
      <c r="A33138" s="2">
        <v>33133</v>
      </c>
      <c r="B33138" s="3" t="str">
        <f>"201507002147"</f>
        <v>201507002147</v>
      </c>
    </row>
    <row r="33139" spans="1:2" x14ac:dyDescent="0.25">
      <c r="A33139" s="2">
        <v>33134</v>
      </c>
      <c r="B33139" s="3" t="str">
        <f>"201507002151"</f>
        <v>201507002151</v>
      </c>
    </row>
    <row r="33140" spans="1:2" x14ac:dyDescent="0.25">
      <c r="A33140" s="2">
        <v>33135</v>
      </c>
      <c r="B33140" s="3" t="str">
        <f>"201507002159"</f>
        <v>201507002159</v>
      </c>
    </row>
    <row r="33141" spans="1:2" x14ac:dyDescent="0.25">
      <c r="A33141" s="2">
        <v>33136</v>
      </c>
      <c r="B33141" s="3" t="str">
        <f>"201507002160"</f>
        <v>201507002160</v>
      </c>
    </row>
    <row r="33142" spans="1:2" x14ac:dyDescent="0.25">
      <c r="A33142" s="2">
        <v>33137</v>
      </c>
      <c r="B33142" s="3" t="str">
        <f>"201507002167"</f>
        <v>201507002167</v>
      </c>
    </row>
    <row r="33143" spans="1:2" x14ac:dyDescent="0.25">
      <c r="A33143" s="2">
        <v>33138</v>
      </c>
      <c r="B33143" s="3" t="str">
        <f>"201507002170"</f>
        <v>201507002170</v>
      </c>
    </row>
    <row r="33144" spans="1:2" x14ac:dyDescent="0.25">
      <c r="A33144" s="2">
        <v>33139</v>
      </c>
      <c r="B33144" s="3" t="str">
        <f>"201507002181"</f>
        <v>201507002181</v>
      </c>
    </row>
    <row r="33145" spans="1:2" x14ac:dyDescent="0.25">
      <c r="A33145" s="2">
        <v>33140</v>
      </c>
      <c r="B33145" s="3" t="str">
        <f>"201507002187"</f>
        <v>201507002187</v>
      </c>
    </row>
    <row r="33146" spans="1:2" x14ac:dyDescent="0.25">
      <c r="A33146" s="2">
        <v>33141</v>
      </c>
      <c r="B33146" s="3" t="str">
        <f>"201507002206"</f>
        <v>201507002206</v>
      </c>
    </row>
    <row r="33147" spans="1:2" x14ac:dyDescent="0.25">
      <c r="A33147" s="2">
        <v>33142</v>
      </c>
      <c r="B33147" s="3" t="str">
        <f>"201507002235"</f>
        <v>201507002235</v>
      </c>
    </row>
    <row r="33148" spans="1:2" x14ac:dyDescent="0.25">
      <c r="A33148" s="2">
        <v>33143</v>
      </c>
      <c r="B33148" s="3" t="str">
        <f>"201507002236"</f>
        <v>201507002236</v>
      </c>
    </row>
    <row r="33149" spans="1:2" x14ac:dyDescent="0.25">
      <c r="A33149" s="2">
        <v>33144</v>
      </c>
      <c r="B33149" s="3" t="str">
        <f>"201507002271"</f>
        <v>201507002271</v>
      </c>
    </row>
    <row r="33150" spans="1:2" x14ac:dyDescent="0.25">
      <c r="A33150" s="2">
        <v>33145</v>
      </c>
      <c r="B33150" s="3" t="str">
        <f>"201507002274"</f>
        <v>201507002274</v>
      </c>
    </row>
    <row r="33151" spans="1:2" x14ac:dyDescent="0.25">
      <c r="A33151" s="2">
        <v>33146</v>
      </c>
      <c r="B33151" s="3" t="str">
        <f>"201507002276"</f>
        <v>201507002276</v>
      </c>
    </row>
    <row r="33152" spans="1:2" x14ac:dyDescent="0.25">
      <c r="A33152" s="2">
        <v>33147</v>
      </c>
      <c r="B33152" s="3" t="str">
        <f>"201507002291"</f>
        <v>201507002291</v>
      </c>
    </row>
    <row r="33153" spans="1:2" x14ac:dyDescent="0.25">
      <c r="A33153" s="2">
        <v>33148</v>
      </c>
      <c r="B33153" s="3" t="str">
        <f>"201507002305"</f>
        <v>201507002305</v>
      </c>
    </row>
    <row r="33154" spans="1:2" x14ac:dyDescent="0.25">
      <c r="A33154" s="2">
        <v>33149</v>
      </c>
      <c r="B33154" s="3" t="str">
        <f>"201507002313"</f>
        <v>201507002313</v>
      </c>
    </row>
    <row r="33155" spans="1:2" x14ac:dyDescent="0.25">
      <c r="A33155" s="2">
        <v>33150</v>
      </c>
      <c r="B33155" s="3" t="str">
        <f>"201507002318"</f>
        <v>201507002318</v>
      </c>
    </row>
    <row r="33156" spans="1:2" x14ac:dyDescent="0.25">
      <c r="A33156" s="2">
        <v>33151</v>
      </c>
      <c r="B33156" s="3" t="str">
        <f>"201507002324"</f>
        <v>201507002324</v>
      </c>
    </row>
    <row r="33157" spans="1:2" x14ac:dyDescent="0.25">
      <c r="A33157" s="2">
        <v>33152</v>
      </c>
      <c r="B33157" s="3" t="str">
        <f>"201507002353"</f>
        <v>201507002353</v>
      </c>
    </row>
    <row r="33158" spans="1:2" x14ac:dyDescent="0.25">
      <c r="A33158" s="2">
        <v>33153</v>
      </c>
      <c r="B33158" s="3" t="str">
        <f>"201507002359"</f>
        <v>201507002359</v>
      </c>
    </row>
    <row r="33159" spans="1:2" x14ac:dyDescent="0.25">
      <c r="A33159" s="2">
        <v>33154</v>
      </c>
      <c r="B33159" s="3" t="str">
        <f>"201507002360"</f>
        <v>201507002360</v>
      </c>
    </row>
    <row r="33160" spans="1:2" x14ac:dyDescent="0.25">
      <c r="A33160" s="2">
        <v>33155</v>
      </c>
      <c r="B33160" s="3" t="str">
        <f>"201507002372"</f>
        <v>201507002372</v>
      </c>
    </row>
    <row r="33161" spans="1:2" x14ac:dyDescent="0.25">
      <c r="A33161" s="2">
        <v>33156</v>
      </c>
      <c r="B33161" s="3" t="str">
        <f>"201507002386"</f>
        <v>201507002386</v>
      </c>
    </row>
    <row r="33162" spans="1:2" x14ac:dyDescent="0.25">
      <c r="A33162" s="2">
        <v>33157</v>
      </c>
      <c r="B33162" s="3" t="str">
        <f>"201507002390"</f>
        <v>201507002390</v>
      </c>
    </row>
    <row r="33163" spans="1:2" x14ac:dyDescent="0.25">
      <c r="A33163" s="2">
        <v>33158</v>
      </c>
      <c r="B33163" s="3" t="str">
        <f>"201507002394"</f>
        <v>201507002394</v>
      </c>
    </row>
    <row r="33164" spans="1:2" x14ac:dyDescent="0.25">
      <c r="A33164" s="2">
        <v>33159</v>
      </c>
      <c r="B33164" s="3" t="str">
        <f>"201507002411"</f>
        <v>201507002411</v>
      </c>
    </row>
    <row r="33165" spans="1:2" x14ac:dyDescent="0.25">
      <c r="A33165" s="2">
        <v>33160</v>
      </c>
      <c r="B33165" s="3" t="str">
        <f>"201507002413"</f>
        <v>201507002413</v>
      </c>
    </row>
    <row r="33166" spans="1:2" x14ac:dyDescent="0.25">
      <c r="A33166" s="2">
        <v>33161</v>
      </c>
      <c r="B33166" s="3" t="str">
        <f>"201507002425"</f>
        <v>201507002425</v>
      </c>
    </row>
    <row r="33167" spans="1:2" x14ac:dyDescent="0.25">
      <c r="A33167" s="2">
        <v>33162</v>
      </c>
      <c r="B33167" s="3" t="str">
        <f>"201507002439"</f>
        <v>201507002439</v>
      </c>
    </row>
    <row r="33168" spans="1:2" x14ac:dyDescent="0.25">
      <c r="A33168" s="2">
        <v>33163</v>
      </c>
      <c r="B33168" s="3" t="str">
        <f>"201507002442"</f>
        <v>201507002442</v>
      </c>
    </row>
    <row r="33169" spans="1:2" x14ac:dyDescent="0.25">
      <c r="A33169" s="2">
        <v>33164</v>
      </c>
      <c r="B33169" s="3" t="str">
        <f>"201507002465"</f>
        <v>201507002465</v>
      </c>
    </row>
    <row r="33170" spans="1:2" x14ac:dyDescent="0.25">
      <c r="A33170" s="2">
        <v>33165</v>
      </c>
      <c r="B33170" s="3" t="str">
        <f>"201507002480"</f>
        <v>201507002480</v>
      </c>
    </row>
    <row r="33171" spans="1:2" x14ac:dyDescent="0.25">
      <c r="A33171" s="2">
        <v>33166</v>
      </c>
      <c r="B33171" s="3" t="str">
        <f>"201507002520"</f>
        <v>201507002520</v>
      </c>
    </row>
    <row r="33172" spans="1:2" x14ac:dyDescent="0.25">
      <c r="A33172" s="2">
        <v>33167</v>
      </c>
      <c r="B33172" s="3" t="str">
        <f>"201507002522"</f>
        <v>201507002522</v>
      </c>
    </row>
    <row r="33173" spans="1:2" x14ac:dyDescent="0.25">
      <c r="A33173" s="2">
        <v>33168</v>
      </c>
      <c r="B33173" s="3" t="str">
        <f>"201507002547"</f>
        <v>201507002547</v>
      </c>
    </row>
    <row r="33174" spans="1:2" x14ac:dyDescent="0.25">
      <c r="A33174" s="2">
        <v>33169</v>
      </c>
      <c r="B33174" s="3" t="str">
        <f>"201507002555"</f>
        <v>201507002555</v>
      </c>
    </row>
    <row r="33175" spans="1:2" x14ac:dyDescent="0.25">
      <c r="A33175" s="2">
        <v>33170</v>
      </c>
      <c r="B33175" s="3" t="str">
        <f>"201507002564"</f>
        <v>201507002564</v>
      </c>
    </row>
    <row r="33176" spans="1:2" x14ac:dyDescent="0.25">
      <c r="A33176" s="2">
        <v>33171</v>
      </c>
      <c r="B33176" s="3" t="str">
        <f>"201507002580"</f>
        <v>201507002580</v>
      </c>
    </row>
    <row r="33177" spans="1:2" x14ac:dyDescent="0.25">
      <c r="A33177" s="2">
        <v>33172</v>
      </c>
      <c r="B33177" s="3" t="str">
        <f>"201507002582"</f>
        <v>201507002582</v>
      </c>
    </row>
    <row r="33178" spans="1:2" x14ac:dyDescent="0.25">
      <c r="A33178" s="2">
        <v>33173</v>
      </c>
      <c r="B33178" s="3" t="str">
        <f>"201507002606"</f>
        <v>201507002606</v>
      </c>
    </row>
    <row r="33179" spans="1:2" x14ac:dyDescent="0.25">
      <c r="A33179" s="2">
        <v>33174</v>
      </c>
      <c r="B33179" s="3" t="str">
        <f>"201507002627"</f>
        <v>201507002627</v>
      </c>
    </row>
    <row r="33180" spans="1:2" x14ac:dyDescent="0.25">
      <c r="A33180" s="2">
        <v>33175</v>
      </c>
      <c r="B33180" s="3" t="str">
        <f>"201507002632"</f>
        <v>201507002632</v>
      </c>
    </row>
    <row r="33181" spans="1:2" x14ac:dyDescent="0.25">
      <c r="A33181" s="2">
        <v>33176</v>
      </c>
      <c r="B33181" s="3" t="str">
        <f>"201507002637"</f>
        <v>201507002637</v>
      </c>
    </row>
    <row r="33182" spans="1:2" x14ac:dyDescent="0.25">
      <c r="A33182" s="2">
        <v>33177</v>
      </c>
      <c r="B33182" s="3" t="str">
        <f>"201507002639"</f>
        <v>201507002639</v>
      </c>
    </row>
    <row r="33183" spans="1:2" x14ac:dyDescent="0.25">
      <c r="A33183" s="2">
        <v>33178</v>
      </c>
      <c r="B33183" s="3" t="str">
        <f>"201507002654"</f>
        <v>201507002654</v>
      </c>
    </row>
    <row r="33184" spans="1:2" x14ac:dyDescent="0.25">
      <c r="A33184" s="2">
        <v>33179</v>
      </c>
      <c r="B33184" s="3" t="str">
        <f>"201507002655"</f>
        <v>201507002655</v>
      </c>
    </row>
    <row r="33185" spans="1:2" x14ac:dyDescent="0.25">
      <c r="A33185" s="2">
        <v>33180</v>
      </c>
      <c r="B33185" s="3" t="str">
        <f>"201507002656"</f>
        <v>201507002656</v>
      </c>
    </row>
    <row r="33186" spans="1:2" x14ac:dyDescent="0.25">
      <c r="A33186" s="2">
        <v>33181</v>
      </c>
      <c r="B33186" s="3" t="str">
        <f>"201507002657"</f>
        <v>201507002657</v>
      </c>
    </row>
    <row r="33187" spans="1:2" x14ac:dyDescent="0.25">
      <c r="A33187" s="2">
        <v>33182</v>
      </c>
      <c r="B33187" s="3" t="str">
        <f>"201507002672"</f>
        <v>201507002672</v>
      </c>
    </row>
    <row r="33188" spans="1:2" x14ac:dyDescent="0.25">
      <c r="A33188" s="2">
        <v>33183</v>
      </c>
      <c r="B33188" s="3" t="str">
        <f>"201507002675"</f>
        <v>201507002675</v>
      </c>
    </row>
    <row r="33189" spans="1:2" x14ac:dyDescent="0.25">
      <c r="A33189" s="2">
        <v>33184</v>
      </c>
      <c r="B33189" s="3" t="str">
        <f>"201507002717"</f>
        <v>201507002717</v>
      </c>
    </row>
    <row r="33190" spans="1:2" x14ac:dyDescent="0.25">
      <c r="A33190" s="2">
        <v>33185</v>
      </c>
      <c r="B33190" s="3" t="str">
        <f>"201507002726"</f>
        <v>201507002726</v>
      </c>
    </row>
    <row r="33191" spans="1:2" x14ac:dyDescent="0.25">
      <c r="A33191" s="2">
        <v>33186</v>
      </c>
      <c r="B33191" s="3" t="str">
        <f>"201507002729"</f>
        <v>201507002729</v>
      </c>
    </row>
    <row r="33192" spans="1:2" x14ac:dyDescent="0.25">
      <c r="A33192" s="2">
        <v>33187</v>
      </c>
      <c r="B33192" s="3" t="str">
        <f>"201507002731"</f>
        <v>201507002731</v>
      </c>
    </row>
    <row r="33193" spans="1:2" x14ac:dyDescent="0.25">
      <c r="A33193" s="2">
        <v>33188</v>
      </c>
      <c r="B33193" s="3" t="str">
        <f>"201507002754"</f>
        <v>201507002754</v>
      </c>
    </row>
    <row r="33194" spans="1:2" x14ac:dyDescent="0.25">
      <c r="A33194" s="2">
        <v>33189</v>
      </c>
      <c r="B33194" s="3" t="str">
        <f>"201507002756"</f>
        <v>201507002756</v>
      </c>
    </row>
    <row r="33195" spans="1:2" x14ac:dyDescent="0.25">
      <c r="A33195" s="2">
        <v>33190</v>
      </c>
      <c r="B33195" s="3" t="str">
        <f>"201507002758"</f>
        <v>201507002758</v>
      </c>
    </row>
    <row r="33196" spans="1:2" x14ac:dyDescent="0.25">
      <c r="A33196" s="2">
        <v>33191</v>
      </c>
      <c r="B33196" s="3" t="str">
        <f>"201507002760"</f>
        <v>201507002760</v>
      </c>
    </row>
    <row r="33197" spans="1:2" x14ac:dyDescent="0.25">
      <c r="A33197" s="2">
        <v>33192</v>
      </c>
      <c r="B33197" s="3" t="str">
        <f>"201507002777"</f>
        <v>201507002777</v>
      </c>
    </row>
    <row r="33198" spans="1:2" x14ac:dyDescent="0.25">
      <c r="A33198" s="2">
        <v>33193</v>
      </c>
      <c r="B33198" s="3" t="str">
        <f>"201507002778"</f>
        <v>201507002778</v>
      </c>
    </row>
    <row r="33199" spans="1:2" x14ac:dyDescent="0.25">
      <c r="A33199" s="2">
        <v>33194</v>
      </c>
      <c r="B33199" s="3" t="str">
        <f>"201507002781"</f>
        <v>201507002781</v>
      </c>
    </row>
    <row r="33200" spans="1:2" x14ac:dyDescent="0.25">
      <c r="A33200" s="2">
        <v>33195</v>
      </c>
      <c r="B33200" s="3" t="str">
        <f>"201507002788"</f>
        <v>201507002788</v>
      </c>
    </row>
    <row r="33201" spans="1:2" x14ac:dyDescent="0.25">
      <c r="A33201" s="2">
        <v>33196</v>
      </c>
      <c r="B33201" s="3" t="str">
        <f>"201507002803"</f>
        <v>201507002803</v>
      </c>
    </row>
    <row r="33202" spans="1:2" x14ac:dyDescent="0.25">
      <c r="A33202" s="2">
        <v>33197</v>
      </c>
      <c r="B33202" s="3" t="str">
        <f>"201507002812"</f>
        <v>201507002812</v>
      </c>
    </row>
    <row r="33203" spans="1:2" x14ac:dyDescent="0.25">
      <c r="A33203" s="2">
        <v>33198</v>
      </c>
      <c r="B33203" s="3" t="str">
        <f>"201507002823"</f>
        <v>201507002823</v>
      </c>
    </row>
    <row r="33204" spans="1:2" x14ac:dyDescent="0.25">
      <c r="A33204" s="2">
        <v>33199</v>
      </c>
      <c r="B33204" s="3" t="str">
        <f>"201507002843"</f>
        <v>201507002843</v>
      </c>
    </row>
    <row r="33205" spans="1:2" x14ac:dyDescent="0.25">
      <c r="A33205" s="2">
        <v>33200</v>
      </c>
      <c r="B33205" s="3" t="str">
        <f>"201507002854"</f>
        <v>201507002854</v>
      </c>
    </row>
    <row r="33206" spans="1:2" x14ac:dyDescent="0.25">
      <c r="A33206" s="2">
        <v>33201</v>
      </c>
      <c r="B33206" s="3" t="str">
        <f>"201507002871"</f>
        <v>201507002871</v>
      </c>
    </row>
    <row r="33207" spans="1:2" x14ac:dyDescent="0.25">
      <c r="A33207" s="2">
        <v>33202</v>
      </c>
      <c r="B33207" s="3" t="str">
        <f>"201507002876"</f>
        <v>201507002876</v>
      </c>
    </row>
    <row r="33208" spans="1:2" x14ac:dyDescent="0.25">
      <c r="A33208" s="2">
        <v>33203</v>
      </c>
      <c r="B33208" s="3" t="str">
        <f>"201507002880"</f>
        <v>201507002880</v>
      </c>
    </row>
    <row r="33209" spans="1:2" x14ac:dyDescent="0.25">
      <c r="A33209" s="2">
        <v>33204</v>
      </c>
      <c r="B33209" s="3" t="str">
        <f>"201507002899"</f>
        <v>201507002899</v>
      </c>
    </row>
    <row r="33210" spans="1:2" x14ac:dyDescent="0.25">
      <c r="A33210" s="2">
        <v>33205</v>
      </c>
      <c r="B33210" s="3" t="str">
        <f>"201507002907"</f>
        <v>201507002907</v>
      </c>
    </row>
    <row r="33211" spans="1:2" x14ac:dyDescent="0.25">
      <c r="A33211" s="2">
        <v>33206</v>
      </c>
      <c r="B33211" s="3" t="str">
        <f>"201507002909"</f>
        <v>201507002909</v>
      </c>
    </row>
    <row r="33212" spans="1:2" x14ac:dyDescent="0.25">
      <c r="A33212" s="2">
        <v>33207</v>
      </c>
      <c r="B33212" s="3" t="str">
        <f>"201507002922"</f>
        <v>201507002922</v>
      </c>
    </row>
    <row r="33213" spans="1:2" x14ac:dyDescent="0.25">
      <c r="A33213" s="2">
        <v>33208</v>
      </c>
      <c r="B33213" s="3" t="str">
        <f>"201507002924"</f>
        <v>201507002924</v>
      </c>
    </row>
    <row r="33214" spans="1:2" x14ac:dyDescent="0.25">
      <c r="A33214" s="2">
        <v>33209</v>
      </c>
      <c r="B33214" s="3" t="str">
        <f>"201507002950"</f>
        <v>201507002950</v>
      </c>
    </row>
    <row r="33215" spans="1:2" x14ac:dyDescent="0.25">
      <c r="A33215" s="2">
        <v>33210</v>
      </c>
      <c r="B33215" s="3" t="str">
        <f>"201507002973"</f>
        <v>201507002973</v>
      </c>
    </row>
    <row r="33216" spans="1:2" x14ac:dyDescent="0.25">
      <c r="A33216" s="2">
        <v>33211</v>
      </c>
      <c r="B33216" s="3" t="str">
        <f>"201507002983"</f>
        <v>201507002983</v>
      </c>
    </row>
    <row r="33217" spans="1:2" x14ac:dyDescent="0.25">
      <c r="A33217" s="2">
        <v>33212</v>
      </c>
      <c r="B33217" s="3" t="str">
        <f>"201507003000"</f>
        <v>201507003000</v>
      </c>
    </row>
    <row r="33218" spans="1:2" x14ac:dyDescent="0.25">
      <c r="A33218" s="2">
        <v>33213</v>
      </c>
      <c r="B33218" s="3" t="str">
        <f>"201507003001"</f>
        <v>201507003001</v>
      </c>
    </row>
    <row r="33219" spans="1:2" x14ac:dyDescent="0.25">
      <c r="A33219" s="2">
        <v>33214</v>
      </c>
      <c r="B33219" s="3" t="str">
        <f>"201507003007"</f>
        <v>201507003007</v>
      </c>
    </row>
    <row r="33220" spans="1:2" x14ac:dyDescent="0.25">
      <c r="A33220" s="2">
        <v>33215</v>
      </c>
      <c r="B33220" s="3" t="str">
        <f>"201507003023"</f>
        <v>201507003023</v>
      </c>
    </row>
    <row r="33221" spans="1:2" x14ac:dyDescent="0.25">
      <c r="A33221" s="2">
        <v>33216</v>
      </c>
      <c r="B33221" s="3" t="str">
        <f>"201507003025"</f>
        <v>201507003025</v>
      </c>
    </row>
    <row r="33222" spans="1:2" x14ac:dyDescent="0.25">
      <c r="A33222" s="2">
        <v>33217</v>
      </c>
      <c r="B33222" s="3" t="str">
        <f>"201507003031"</f>
        <v>201507003031</v>
      </c>
    </row>
    <row r="33223" spans="1:2" x14ac:dyDescent="0.25">
      <c r="A33223" s="2">
        <v>33218</v>
      </c>
      <c r="B33223" s="3" t="str">
        <f>"201507003052"</f>
        <v>201507003052</v>
      </c>
    </row>
    <row r="33224" spans="1:2" x14ac:dyDescent="0.25">
      <c r="A33224" s="2">
        <v>33219</v>
      </c>
      <c r="B33224" s="3" t="str">
        <f>"201507003069"</f>
        <v>201507003069</v>
      </c>
    </row>
    <row r="33225" spans="1:2" x14ac:dyDescent="0.25">
      <c r="A33225" s="2">
        <v>33220</v>
      </c>
      <c r="B33225" s="3" t="str">
        <f>"201507003083"</f>
        <v>201507003083</v>
      </c>
    </row>
    <row r="33226" spans="1:2" x14ac:dyDescent="0.25">
      <c r="A33226" s="2">
        <v>33221</v>
      </c>
      <c r="B33226" s="3" t="str">
        <f>"201507003093"</f>
        <v>201507003093</v>
      </c>
    </row>
    <row r="33227" spans="1:2" x14ac:dyDescent="0.25">
      <c r="A33227" s="2">
        <v>33222</v>
      </c>
      <c r="B33227" s="3" t="str">
        <f>"201507003103"</f>
        <v>201507003103</v>
      </c>
    </row>
    <row r="33228" spans="1:2" x14ac:dyDescent="0.25">
      <c r="A33228" s="2">
        <v>33223</v>
      </c>
      <c r="B33228" s="3" t="str">
        <f>"201507003113"</f>
        <v>201507003113</v>
      </c>
    </row>
    <row r="33229" spans="1:2" x14ac:dyDescent="0.25">
      <c r="A33229" s="2">
        <v>33224</v>
      </c>
      <c r="B33229" s="3" t="str">
        <f>"201507003117"</f>
        <v>201507003117</v>
      </c>
    </row>
    <row r="33230" spans="1:2" x14ac:dyDescent="0.25">
      <c r="A33230" s="2">
        <v>33225</v>
      </c>
      <c r="B33230" s="3" t="str">
        <f>"201507003119"</f>
        <v>201507003119</v>
      </c>
    </row>
    <row r="33231" spans="1:2" x14ac:dyDescent="0.25">
      <c r="A33231" s="2">
        <v>33226</v>
      </c>
      <c r="B33231" s="3" t="str">
        <f>"201507003123"</f>
        <v>201507003123</v>
      </c>
    </row>
    <row r="33232" spans="1:2" x14ac:dyDescent="0.25">
      <c r="A33232" s="2">
        <v>33227</v>
      </c>
      <c r="B33232" s="3" t="str">
        <f>"201507003137"</f>
        <v>201507003137</v>
      </c>
    </row>
    <row r="33233" spans="1:2" x14ac:dyDescent="0.25">
      <c r="A33233" s="2">
        <v>33228</v>
      </c>
      <c r="B33233" s="3" t="str">
        <f>"201507003140"</f>
        <v>201507003140</v>
      </c>
    </row>
    <row r="33234" spans="1:2" x14ac:dyDescent="0.25">
      <c r="A33234" s="2">
        <v>33229</v>
      </c>
      <c r="B33234" s="3" t="str">
        <f>"201507003172"</f>
        <v>201507003172</v>
      </c>
    </row>
    <row r="33235" spans="1:2" x14ac:dyDescent="0.25">
      <c r="A33235" s="2">
        <v>33230</v>
      </c>
      <c r="B33235" s="3" t="str">
        <f>"201507003174"</f>
        <v>201507003174</v>
      </c>
    </row>
    <row r="33236" spans="1:2" x14ac:dyDescent="0.25">
      <c r="A33236" s="2">
        <v>33231</v>
      </c>
      <c r="B33236" s="3" t="str">
        <f>"201507003178"</f>
        <v>201507003178</v>
      </c>
    </row>
    <row r="33237" spans="1:2" x14ac:dyDescent="0.25">
      <c r="A33237" s="2">
        <v>33232</v>
      </c>
      <c r="B33237" s="3" t="str">
        <f>"201507003207"</f>
        <v>201507003207</v>
      </c>
    </row>
    <row r="33238" spans="1:2" x14ac:dyDescent="0.25">
      <c r="A33238" s="2">
        <v>33233</v>
      </c>
      <c r="B33238" s="3" t="str">
        <f>"201507003214"</f>
        <v>201507003214</v>
      </c>
    </row>
    <row r="33239" spans="1:2" x14ac:dyDescent="0.25">
      <c r="A33239" s="2">
        <v>33234</v>
      </c>
      <c r="B33239" s="3" t="str">
        <f>"201507003220"</f>
        <v>201507003220</v>
      </c>
    </row>
    <row r="33240" spans="1:2" x14ac:dyDescent="0.25">
      <c r="A33240" s="2">
        <v>33235</v>
      </c>
      <c r="B33240" s="3" t="str">
        <f>"201507003228"</f>
        <v>201507003228</v>
      </c>
    </row>
    <row r="33241" spans="1:2" x14ac:dyDescent="0.25">
      <c r="A33241" s="2">
        <v>33236</v>
      </c>
      <c r="B33241" s="3" t="str">
        <f>"201507003230"</f>
        <v>201507003230</v>
      </c>
    </row>
    <row r="33242" spans="1:2" x14ac:dyDescent="0.25">
      <c r="A33242" s="2">
        <v>33237</v>
      </c>
      <c r="B33242" s="3" t="str">
        <f>"201507003238"</f>
        <v>201507003238</v>
      </c>
    </row>
    <row r="33243" spans="1:2" x14ac:dyDescent="0.25">
      <c r="A33243" s="2">
        <v>33238</v>
      </c>
      <c r="B33243" s="3" t="str">
        <f>"201507003258"</f>
        <v>201507003258</v>
      </c>
    </row>
    <row r="33244" spans="1:2" x14ac:dyDescent="0.25">
      <c r="A33244" s="2">
        <v>33239</v>
      </c>
      <c r="B33244" s="3" t="str">
        <f>"201507003267"</f>
        <v>201507003267</v>
      </c>
    </row>
    <row r="33245" spans="1:2" x14ac:dyDescent="0.25">
      <c r="A33245" s="2">
        <v>33240</v>
      </c>
      <c r="B33245" s="3" t="str">
        <f>"201507003275"</f>
        <v>201507003275</v>
      </c>
    </row>
    <row r="33246" spans="1:2" x14ac:dyDescent="0.25">
      <c r="A33246" s="2">
        <v>33241</v>
      </c>
      <c r="B33246" s="3" t="str">
        <f>"201507003283"</f>
        <v>201507003283</v>
      </c>
    </row>
    <row r="33247" spans="1:2" x14ac:dyDescent="0.25">
      <c r="A33247" s="2">
        <v>33242</v>
      </c>
      <c r="B33247" s="3" t="str">
        <f>"201507003287"</f>
        <v>201507003287</v>
      </c>
    </row>
    <row r="33248" spans="1:2" x14ac:dyDescent="0.25">
      <c r="A33248" s="2">
        <v>33243</v>
      </c>
      <c r="B33248" s="3" t="str">
        <f>"201507003289"</f>
        <v>201507003289</v>
      </c>
    </row>
    <row r="33249" spans="1:2" x14ac:dyDescent="0.25">
      <c r="A33249" s="2">
        <v>33244</v>
      </c>
      <c r="B33249" s="3" t="str">
        <f>"201507003312"</f>
        <v>201507003312</v>
      </c>
    </row>
    <row r="33250" spans="1:2" x14ac:dyDescent="0.25">
      <c r="A33250" s="2">
        <v>33245</v>
      </c>
      <c r="B33250" s="3" t="str">
        <f>"201507003336"</f>
        <v>201507003336</v>
      </c>
    </row>
    <row r="33251" spans="1:2" x14ac:dyDescent="0.25">
      <c r="A33251" s="2">
        <v>33246</v>
      </c>
      <c r="B33251" s="3" t="str">
        <f>"201507003339"</f>
        <v>201507003339</v>
      </c>
    </row>
    <row r="33252" spans="1:2" x14ac:dyDescent="0.25">
      <c r="A33252" s="2">
        <v>33247</v>
      </c>
      <c r="B33252" s="3" t="str">
        <f>"201507003374"</f>
        <v>201507003374</v>
      </c>
    </row>
    <row r="33253" spans="1:2" x14ac:dyDescent="0.25">
      <c r="A33253" s="2">
        <v>33248</v>
      </c>
      <c r="B33253" s="3" t="str">
        <f>"201507003375"</f>
        <v>201507003375</v>
      </c>
    </row>
    <row r="33254" spans="1:2" x14ac:dyDescent="0.25">
      <c r="A33254" s="2">
        <v>33249</v>
      </c>
      <c r="B33254" s="3" t="str">
        <f>"201507003390"</f>
        <v>201507003390</v>
      </c>
    </row>
    <row r="33255" spans="1:2" x14ac:dyDescent="0.25">
      <c r="A33255" s="2">
        <v>33250</v>
      </c>
      <c r="B33255" s="3" t="str">
        <f>"201507003395"</f>
        <v>201507003395</v>
      </c>
    </row>
    <row r="33256" spans="1:2" x14ac:dyDescent="0.25">
      <c r="A33256" s="2">
        <v>33251</v>
      </c>
      <c r="B33256" s="3" t="str">
        <f>"201507003405"</f>
        <v>201507003405</v>
      </c>
    </row>
    <row r="33257" spans="1:2" x14ac:dyDescent="0.25">
      <c r="A33257" s="2">
        <v>33252</v>
      </c>
      <c r="B33257" s="3" t="str">
        <f>"201507003414"</f>
        <v>201507003414</v>
      </c>
    </row>
    <row r="33258" spans="1:2" x14ac:dyDescent="0.25">
      <c r="A33258" s="2">
        <v>33253</v>
      </c>
      <c r="B33258" s="3" t="str">
        <f>"201507003415"</f>
        <v>201507003415</v>
      </c>
    </row>
    <row r="33259" spans="1:2" x14ac:dyDescent="0.25">
      <c r="A33259" s="2">
        <v>33254</v>
      </c>
      <c r="B33259" s="3" t="str">
        <f>"201507003422"</f>
        <v>201507003422</v>
      </c>
    </row>
    <row r="33260" spans="1:2" x14ac:dyDescent="0.25">
      <c r="A33260" s="2">
        <v>33255</v>
      </c>
      <c r="B33260" s="3" t="str">
        <f>"201507003473"</f>
        <v>201507003473</v>
      </c>
    </row>
    <row r="33261" spans="1:2" x14ac:dyDescent="0.25">
      <c r="A33261" s="2">
        <v>33256</v>
      </c>
      <c r="B33261" s="3" t="str">
        <f>"201507003475"</f>
        <v>201507003475</v>
      </c>
    </row>
    <row r="33262" spans="1:2" x14ac:dyDescent="0.25">
      <c r="A33262" s="2">
        <v>33257</v>
      </c>
      <c r="B33262" s="3" t="str">
        <f>"201507003476"</f>
        <v>201507003476</v>
      </c>
    </row>
    <row r="33263" spans="1:2" x14ac:dyDescent="0.25">
      <c r="A33263" s="2">
        <v>33258</v>
      </c>
      <c r="B33263" s="3" t="str">
        <f>"201507003493"</f>
        <v>201507003493</v>
      </c>
    </row>
    <row r="33264" spans="1:2" x14ac:dyDescent="0.25">
      <c r="A33264" s="2">
        <v>33259</v>
      </c>
      <c r="B33264" s="3" t="str">
        <f>"201507003494"</f>
        <v>201507003494</v>
      </c>
    </row>
    <row r="33265" spans="1:2" x14ac:dyDescent="0.25">
      <c r="A33265" s="2">
        <v>33260</v>
      </c>
      <c r="B33265" s="3" t="str">
        <f>"201507003497"</f>
        <v>201507003497</v>
      </c>
    </row>
    <row r="33266" spans="1:2" x14ac:dyDescent="0.25">
      <c r="A33266" s="2">
        <v>33261</v>
      </c>
      <c r="B33266" s="3" t="str">
        <f>"201507003505"</f>
        <v>201507003505</v>
      </c>
    </row>
    <row r="33267" spans="1:2" x14ac:dyDescent="0.25">
      <c r="A33267" s="2">
        <v>33262</v>
      </c>
      <c r="B33267" s="3" t="str">
        <f>"201507003541"</f>
        <v>201507003541</v>
      </c>
    </row>
    <row r="33268" spans="1:2" x14ac:dyDescent="0.25">
      <c r="A33268" s="2">
        <v>33263</v>
      </c>
      <c r="B33268" s="3" t="str">
        <f>"201507003554"</f>
        <v>201507003554</v>
      </c>
    </row>
    <row r="33269" spans="1:2" x14ac:dyDescent="0.25">
      <c r="A33269" s="2">
        <v>33264</v>
      </c>
      <c r="B33269" s="3" t="str">
        <f>"201507003556"</f>
        <v>201507003556</v>
      </c>
    </row>
    <row r="33270" spans="1:2" x14ac:dyDescent="0.25">
      <c r="A33270" s="2">
        <v>33265</v>
      </c>
      <c r="B33270" s="3" t="str">
        <f>"201507003593"</f>
        <v>201507003593</v>
      </c>
    </row>
    <row r="33271" spans="1:2" x14ac:dyDescent="0.25">
      <c r="A33271" s="2">
        <v>33266</v>
      </c>
      <c r="B33271" s="3" t="str">
        <f>"201507003597"</f>
        <v>201507003597</v>
      </c>
    </row>
    <row r="33272" spans="1:2" x14ac:dyDescent="0.25">
      <c r="A33272" s="2">
        <v>33267</v>
      </c>
      <c r="B33272" s="3" t="str">
        <f>"201507003598"</f>
        <v>201507003598</v>
      </c>
    </row>
    <row r="33273" spans="1:2" x14ac:dyDescent="0.25">
      <c r="A33273" s="2">
        <v>33268</v>
      </c>
      <c r="B33273" s="3" t="str">
        <f>"201507003599"</f>
        <v>201507003599</v>
      </c>
    </row>
    <row r="33274" spans="1:2" x14ac:dyDescent="0.25">
      <c r="A33274" s="2">
        <v>33269</v>
      </c>
      <c r="B33274" s="3" t="str">
        <f>"201507003618"</f>
        <v>201507003618</v>
      </c>
    </row>
    <row r="33275" spans="1:2" x14ac:dyDescent="0.25">
      <c r="A33275" s="2">
        <v>33270</v>
      </c>
      <c r="B33275" s="3" t="str">
        <f>"201507003622"</f>
        <v>201507003622</v>
      </c>
    </row>
    <row r="33276" spans="1:2" x14ac:dyDescent="0.25">
      <c r="A33276" s="2">
        <v>33271</v>
      </c>
      <c r="B33276" s="3" t="str">
        <f>"201507003633"</f>
        <v>201507003633</v>
      </c>
    </row>
    <row r="33277" spans="1:2" x14ac:dyDescent="0.25">
      <c r="A33277" s="2">
        <v>33272</v>
      </c>
      <c r="B33277" s="3" t="str">
        <f>"201507003646"</f>
        <v>201507003646</v>
      </c>
    </row>
    <row r="33278" spans="1:2" x14ac:dyDescent="0.25">
      <c r="A33278" s="2">
        <v>33273</v>
      </c>
      <c r="B33278" s="3" t="str">
        <f>"201507003654"</f>
        <v>201507003654</v>
      </c>
    </row>
    <row r="33279" spans="1:2" x14ac:dyDescent="0.25">
      <c r="A33279" s="2">
        <v>33274</v>
      </c>
      <c r="B33279" s="3" t="str">
        <f>"201507003656"</f>
        <v>201507003656</v>
      </c>
    </row>
    <row r="33280" spans="1:2" x14ac:dyDescent="0.25">
      <c r="A33280" s="2">
        <v>33275</v>
      </c>
      <c r="B33280" s="3" t="str">
        <f>"201507003671"</f>
        <v>201507003671</v>
      </c>
    </row>
    <row r="33281" spans="1:2" x14ac:dyDescent="0.25">
      <c r="A33281" s="2">
        <v>33276</v>
      </c>
      <c r="B33281" s="3" t="str">
        <f>"201507003684"</f>
        <v>201507003684</v>
      </c>
    </row>
    <row r="33282" spans="1:2" x14ac:dyDescent="0.25">
      <c r="A33282" s="2">
        <v>33277</v>
      </c>
      <c r="B33282" s="3" t="str">
        <f>"201507003696"</f>
        <v>201507003696</v>
      </c>
    </row>
    <row r="33283" spans="1:2" x14ac:dyDescent="0.25">
      <c r="A33283" s="2">
        <v>33278</v>
      </c>
      <c r="B33283" s="3" t="str">
        <f>"201507003720"</f>
        <v>201507003720</v>
      </c>
    </row>
    <row r="33284" spans="1:2" x14ac:dyDescent="0.25">
      <c r="A33284" s="2">
        <v>33279</v>
      </c>
      <c r="B33284" s="3" t="str">
        <f>"201507003767"</f>
        <v>201507003767</v>
      </c>
    </row>
    <row r="33285" spans="1:2" x14ac:dyDescent="0.25">
      <c r="A33285" s="2">
        <v>33280</v>
      </c>
      <c r="B33285" s="3" t="str">
        <f>"201507003779"</f>
        <v>201507003779</v>
      </c>
    </row>
    <row r="33286" spans="1:2" x14ac:dyDescent="0.25">
      <c r="A33286" s="2">
        <v>33281</v>
      </c>
      <c r="B33286" s="3" t="str">
        <f>"201507003786"</f>
        <v>201507003786</v>
      </c>
    </row>
    <row r="33287" spans="1:2" x14ac:dyDescent="0.25">
      <c r="A33287" s="2">
        <v>33282</v>
      </c>
      <c r="B33287" s="3" t="str">
        <f>"201507003793"</f>
        <v>201507003793</v>
      </c>
    </row>
    <row r="33288" spans="1:2" x14ac:dyDescent="0.25">
      <c r="A33288" s="2">
        <v>33283</v>
      </c>
      <c r="B33288" s="3" t="str">
        <f>"201507003797"</f>
        <v>201507003797</v>
      </c>
    </row>
    <row r="33289" spans="1:2" x14ac:dyDescent="0.25">
      <c r="A33289" s="2">
        <v>33284</v>
      </c>
      <c r="B33289" s="3" t="str">
        <f>"201507003801"</f>
        <v>201507003801</v>
      </c>
    </row>
    <row r="33290" spans="1:2" x14ac:dyDescent="0.25">
      <c r="A33290" s="2">
        <v>33285</v>
      </c>
      <c r="B33290" s="3" t="str">
        <f>"201507003820"</f>
        <v>201507003820</v>
      </c>
    </row>
    <row r="33291" spans="1:2" x14ac:dyDescent="0.25">
      <c r="A33291" s="2">
        <v>33286</v>
      </c>
      <c r="B33291" s="3" t="str">
        <f>"201507003823"</f>
        <v>201507003823</v>
      </c>
    </row>
    <row r="33292" spans="1:2" x14ac:dyDescent="0.25">
      <c r="A33292" s="2">
        <v>33287</v>
      </c>
      <c r="B33292" s="3" t="str">
        <f>"201507003837"</f>
        <v>201507003837</v>
      </c>
    </row>
    <row r="33293" spans="1:2" x14ac:dyDescent="0.25">
      <c r="A33293" s="2">
        <v>33288</v>
      </c>
      <c r="B33293" s="3" t="str">
        <f>"201507003841"</f>
        <v>201507003841</v>
      </c>
    </row>
    <row r="33294" spans="1:2" x14ac:dyDescent="0.25">
      <c r="A33294" s="2">
        <v>33289</v>
      </c>
      <c r="B33294" s="3" t="str">
        <f>"201507003843"</f>
        <v>201507003843</v>
      </c>
    </row>
    <row r="33295" spans="1:2" x14ac:dyDescent="0.25">
      <c r="A33295" s="2">
        <v>33290</v>
      </c>
      <c r="B33295" s="3" t="str">
        <f>"201507003845"</f>
        <v>201507003845</v>
      </c>
    </row>
    <row r="33296" spans="1:2" x14ac:dyDescent="0.25">
      <c r="A33296" s="2">
        <v>33291</v>
      </c>
      <c r="B33296" s="3" t="str">
        <f>"201507003856"</f>
        <v>201507003856</v>
      </c>
    </row>
    <row r="33297" spans="1:2" x14ac:dyDescent="0.25">
      <c r="A33297" s="2">
        <v>33292</v>
      </c>
      <c r="B33297" s="3" t="str">
        <f>"201507003860"</f>
        <v>201507003860</v>
      </c>
    </row>
    <row r="33298" spans="1:2" x14ac:dyDescent="0.25">
      <c r="A33298" s="2">
        <v>33293</v>
      </c>
      <c r="B33298" s="3" t="str">
        <f>"201507003865"</f>
        <v>201507003865</v>
      </c>
    </row>
    <row r="33299" spans="1:2" x14ac:dyDescent="0.25">
      <c r="A33299" s="2">
        <v>33294</v>
      </c>
      <c r="B33299" s="3" t="str">
        <f>"201507003869"</f>
        <v>201507003869</v>
      </c>
    </row>
    <row r="33300" spans="1:2" x14ac:dyDescent="0.25">
      <c r="A33300" s="2">
        <v>33295</v>
      </c>
      <c r="B33300" s="3" t="str">
        <f>"201507003870"</f>
        <v>201507003870</v>
      </c>
    </row>
    <row r="33301" spans="1:2" x14ac:dyDescent="0.25">
      <c r="A33301" s="2">
        <v>33296</v>
      </c>
      <c r="B33301" s="3" t="str">
        <f>"201507003883"</f>
        <v>201507003883</v>
      </c>
    </row>
    <row r="33302" spans="1:2" x14ac:dyDescent="0.25">
      <c r="A33302" s="2">
        <v>33297</v>
      </c>
      <c r="B33302" s="3" t="str">
        <f>"201507003886"</f>
        <v>201507003886</v>
      </c>
    </row>
    <row r="33303" spans="1:2" x14ac:dyDescent="0.25">
      <c r="A33303" s="2">
        <v>33298</v>
      </c>
      <c r="B33303" s="3" t="str">
        <f>"201507003902"</f>
        <v>201507003902</v>
      </c>
    </row>
    <row r="33304" spans="1:2" x14ac:dyDescent="0.25">
      <c r="A33304" s="2">
        <v>33299</v>
      </c>
      <c r="B33304" s="3" t="str">
        <f>"201507003906"</f>
        <v>201507003906</v>
      </c>
    </row>
    <row r="33305" spans="1:2" x14ac:dyDescent="0.25">
      <c r="A33305" s="2">
        <v>33300</v>
      </c>
      <c r="B33305" s="3" t="str">
        <f>"201507003916"</f>
        <v>201507003916</v>
      </c>
    </row>
    <row r="33306" spans="1:2" x14ac:dyDescent="0.25">
      <c r="A33306" s="2">
        <v>33301</v>
      </c>
      <c r="B33306" s="3" t="str">
        <f>"201507003935"</f>
        <v>201507003935</v>
      </c>
    </row>
    <row r="33307" spans="1:2" x14ac:dyDescent="0.25">
      <c r="A33307" s="2">
        <v>33302</v>
      </c>
      <c r="B33307" s="3" t="str">
        <f>"201507003938"</f>
        <v>201507003938</v>
      </c>
    </row>
    <row r="33308" spans="1:2" x14ac:dyDescent="0.25">
      <c r="A33308" s="2">
        <v>33303</v>
      </c>
      <c r="B33308" s="3" t="str">
        <f>"201507003957"</f>
        <v>201507003957</v>
      </c>
    </row>
    <row r="33309" spans="1:2" x14ac:dyDescent="0.25">
      <c r="A33309" s="2">
        <v>33304</v>
      </c>
      <c r="B33309" s="3" t="str">
        <f>"201507003960"</f>
        <v>201507003960</v>
      </c>
    </row>
    <row r="33310" spans="1:2" x14ac:dyDescent="0.25">
      <c r="A33310" s="2">
        <v>33305</v>
      </c>
      <c r="B33310" s="3" t="str">
        <f>"201507003963"</f>
        <v>201507003963</v>
      </c>
    </row>
    <row r="33311" spans="1:2" x14ac:dyDescent="0.25">
      <c r="A33311" s="2">
        <v>33306</v>
      </c>
      <c r="B33311" s="3" t="str">
        <f>"201507003968"</f>
        <v>201507003968</v>
      </c>
    </row>
    <row r="33312" spans="1:2" x14ac:dyDescent="0.25">
      <c r="A33312" s="2">
        <v>33307</v>
      </c>
      <c r="B33312" s="3" t="str">
        <f>"201507003974"</f>
        <v>201507003974</v>
      </c>
    </row>
    <row r="33313" spans="1:2" x14ac:dyDescent="0.25">
      <c r="A33313" s="2">
        <v>33308</v>
      </c>
      <c r="B33313" s="3" t="str">
        <f>"201507003995"</f>
        <v>201507003995</v>
      </c>
    </row>
    <row r="33314" spans="1:2" x14ac:dyDescent="0.25">
      <c r="A33314" s="2">
        <v>33309</v>
      </c>
      <c r="B33314" s="3" t="str">
        <f>"201507003996"</f>
        <v>201507003996</v>
      </c>
    </row>
    <row r="33315" spans="1:2" x14ac:dyDescent="0.25">
      <c r="A33315" s="2">
        <v>33310</v>
      </c>
      <c r="B33315" s="3" t="str">
        <f>"201507004008"</f>
        <v>201507004008</v>
      </c>
    </row>
    <row r="33316" spans="1:2" x14ac:dyDescent="0.25">
      <c r="A33316" s="2">
        <v>33311</v>
      </c>
      <c r="B33316" s="3" t="str">
        <f>"201507004014"</f>
        <v>201507004014</v>
      </c>
    </row>
    <row r="33317" spans="1:2" x14ac:dyDescent="0.25">
      <c r="A33317" s="2">
        <v>33312</v>
      </c>
      <c r="B33317" s="3" t="str">
        <f>"201507004029"</f>
        <v>201507004029</v>
      </c>
    </row>
    <row r="33318" spans="1:2" x14ac:dyDescent="0.25">
      <c r="A33318" s="2">
        <v>33313</v>
      </c>
      <c r="B33318" s="3" t="str">
        <f>"201507004058"</f>
        <v>201507004058</v>
      </c>
    </row>
    <row r="33319" spans="1:2" x14ac:dyDescent="0.25">
      <c r="A33319" s="2">
        <v>33314</v>
      </c>
      <c r="B33319" s="3" t="str">
        <f>"201507004070"</f>
        <v>201507004070</v>
      </c>
    </row>
    <row r="33320" spans="1:2" x14ac:dyDescent="0.25">
      <c r="A33320" s="2">
        <v>33315</v>
      </c>
      <c r="B33320" s="3" t="str">
        <f>"201507004076"</f>
        <v>201507004076</v>
      </c>
    </row>
    <row r="33321" spans="1:2" x14ac:dyDescent="0.25">
      <c r="A33321" s="2">
        <v>33316</v>
      </c>
      <c r="B33321" s="3" t="str">
        <f>"201507004095"</f>
        <v>201507004095</v>
      </c>
    </row>
    <row r="33322" spans="1:2" x14ac:dyDescent="0.25">
      <c r="A33322" s="2">
        <v>33317</v>
      </c>
      <c r="B33322" s="3" t="str">
        <f>"201507004126"</f>
        <v>201507004126</v>
      </c>
    </row>
    <row r="33323" spans="1:2" x14ac:dyDescent="0.25">
      <c r="A33323" s="2">
        <v>33318</v>
      </c>
      <c r="B33323" s="3" t="str">
        <f>"201507004145"</f>
        <v>201507004145</v>
      </c>
    </row>
    <row r="33324" spans="1:2" x14ac:dyDescent="0.25">
      <c r="A33324" s="2">
        <v>33319</v>
      </c>
      <c r="B33324" s="3" t="str">
        <f>"201507004154"</f>
        <v>201507004154</v>
      </c>
    </row>
    <row r="33325" spans="1:2" x14ac:dyDescent="0.25">
      <c r="A33325" s="2">
        <v>33320</v>
      </c>
      <c r="B33325" s="3" t="str">
        <f>"201507004155"</f>
        <v>201507004155</v>
      </c>
    </row>
    <row r="33326" spans="1:2" x14ac:dyDescent="0.25">
      <c r="A33326" s="2">
        <v>33321</v>
      </c>
      <c r="B33326" s="3" t="str">
        <f>"201507004157"</f>
        <v>201507004157</v>
      </c>
    </row>
    <row r="33327" spans="1:2" x14ac:dyDescent="0.25">
      <c r="A33327" s="2">
        <v>33322</v>
      </c>
      <c r="B33327" s="3" t="str">
        <f>"201507004165"</f>
        <v>201507004165</v>
      </c>
    </row>
    <row r="33328" spans="1:2" x14ac:dyDescent="0.25">
      <c r="A33328" s="2">
        <v>33323</v>
      </c>
      <c r="B33328" s="3" t="str">
        <f>"201507004167"</f>
        <v>201507004167</v>
      </c>
    </row>
    <row r="33329" spans="1:2" x14ac:dyDescent="0.25">
      <c r="A33329" s="2">
        <v>33324</v>
      </c>
      <c r="B33329" s="3" t="str">
        <f>"201507004168"</f>
        <v>201507004168</v>
      </c>
    </row>
    <row r="33330" spans="1:2" x14ac:dyDescent="0.25">
      <c r="A33330" s="2">
        <v>33325</v>
      </c>
      <c r="B33330" s="3" t="str">
        <f>"201507004169"</f>
        <v>201507004169</v>
      </c>
    </row>
    <row r="33331" spans="1:2" x14ac:dyDescent="0.25">
      <c r="A33331" s="2">
        <v>33326</v>
      </c>
      <c r="B33331" s="3" t="str">
        <f>"201507004171"</f>
        <v>201507004171</v>
      </c>
    </row>
    <row r="33332" spans="1:2" x14ac:dyDescent="0.25">
      <c r="A33332" s="2">
        <v>33327</v>
      </c>
      <c r="B33332" s="3" t="str">
        <f>"201507004195"</f>
        <v>201507004195</v>
      </c>
    </row>
    <row r="33333" spans="1:2" x14ac:dyDescent="0.25">
      <c r="A33333" s="2">
        <v>33328</v>
      </c>
      <c r="B33333" s="3" t="str">
        <f>"201507004197"</f>
        <v>201507004197</v>
      </c>
    </row>
    <row r="33334" spans="1:2" x14ac:dyDescent="0.25">
      <c r="A33334" s="2">
        <v>33329</v>
      </c>
      <c r="B33334" s="3" t="str">
        <f>"201507004214"</f>
        <v>201507004214</v>
      </c>
    </row>
    <row r="33335" spans="1:2" x14ac:dyDescent="0.25">
      <c r="A33335" s="2">
        <v>33330</v>
      </c>
      <c r="B33335" s="3" t="str">
        <f>"201507004219"</f>
        <v>201507004219</v>
      </c>
    </row>
    <row r="33336" spans="1:2" x14ac:dyDescent="0.25">
      <c r="A33336" s="2">
        <v>33331</v>
      </c>
      <c r="B33336" s="3" t="str">
        <f>"201507004224"</f>
        <v>201507004224</v>
      </c>
    </row>
    <row r="33337" spans="1:2" x14ac:dyDescent="0.25">
      <c r="A33337" s="2">
        <v>33332</v>
      </c>
      <c r="B33337" s="3" t="str">
        <f>"201507004227"</f>
        <v>201507004227</v>
      </c>
    </row>
    <row r="33338" spans="1:2" x14ac:dyDescent="0.25">
      <c r="A33338" s="2">
        <v>33333</v>
      </c>
      <c r="B33338" s="3" t="str">
        <f>"201507004230"</f>
        <v>201507004230</v>
      </c>
    </row>
    <row r="33339" spans="1:2" x14ac:dyDescent="0.25">
      <c r="A33339" s="2">
        <v>33334</v>
      </c>
      <c r="B33339" s="3" t="str">
        <f>"201507004234"</f>
        <v>201507004234</v>
      </c>
    </row>
    <row r="33340" spans="1:2" x14ac:dyDescent="0.25">
      <c r="A33340" s="2">
        <v>33335</v>
      </c>
      <c r="B33340" s="3" t="str">
        <f>"201507004246"</f>
        <v>201507004246</v>
      </c>
    </row>
    <row r="33341" spans="1:2" x14ac:dyDescent="0.25">
      <c r="A33341" s="2">
        <v>33336</v>
      </c>
      <c r="B33341" s="3" t="str">
        <f>"201507004247"</f>
        <v>201507004247</v>
      </c>
    </row>
    <row r="33342" spans="1:2" x14ac:dyDescent="0.25">
      <c r="A33342" s="2">
        <v>33337</v>
      </c>
      <c r="B33342" s="3" t="str">
        <f>"201507004248"</f>
        <v>201507004248</v>
      </c>
    </row>
    <row r="33343" spans="1:2" x14ac:dyDescent="0.25">
      <c r="A33343" s="2">
        <v>33338</v>
      </c>
      <c r="B33343" s="3" t="str">
        <f>"201507004250"</f>
        <v>201507004250</v>
      </c>
    </row>
    <row r="33344" spans="1:2" x14ac:dyDescent="0.25">
      <c r="A33344" s="2">
        <v>33339</v>
      </c>
      <c r="B33344" s="3" t="str">
        <f>"201507004252"</f>
        <v>201507004252</v>
      </c>
    </row>
    <row r="33345" spans="1:2" x14ac:dyDescent="0.25">
      <c r="A33345" s="2">
        <v>33340</v>
      </c>
      <c r="B33345" s="3" t="str">
        <f>"201507004253"</f>
        <v>201507004253</v>
      </c>
    </row>
    <row r="33346" spans="1:2" x14ac:dyDescent="0.25">
      <c r="A33346" s="2">
        <v>33341</v>
      </c>
      <c r="B33346" s="3" t="str">
        <f>"201507004256"</f>
        <v>201507004256</v>
      </c>
    </row>
    <row r="33347" spans="1:2" x14ac:dyDescent="0.25">
      <c r="A33347" s="2">
        <v>33342</v>
      </c>
      <c r="B33347" s="3" t="str">
        <f>"201507004258"</f>
        <v>201507004258</v>
      </c>
    </row>
    <row r="33348" spans="1:2" x14ac:dyDescent="0.25">
      <c r="A33348" s="2">
        <v>33343</v>
      </c>
      <c r="B33348" s="3" t="str">
        <f>"201507004274"</f>
        <v>201507004274</v>
      </c>
    </row>
    <row r="33349" spans="1:2" x14ac:dyDescent="0.25">
      <c r="A33349" s="2">
        <v>33344</v>
      </c>
      <c r="B33349" s="3" t="str">
        <f>"201507004280"</f>
        <v>201507004280</v>
      </c>
    </row>
    <row r="33350" spans="1:2" x14ac:dyDescent="0.25">
      <c r="A33350" s="2">
        <v>33345</v>
      </c>
      <c r="B33350" s="3" t="str">
        <f>"201507004304"</f>
        <v>201507004304</v>
      </c>
    </row>
    <row r="33351" spans="1:2" x14ac:dyDescent="0.25">
      <c r="A33351" s="2">
        <v>33346</v>
      </c>
      <c r="B33351" s="3" t="str">
        <f>"201507004309"</f>
        <v>201507004309</v>
      </c>
    </row>
    <row r="33352" spans="1:2" x14ac:dyDescent="0.25">
      <c r="A33352" s="2">
        <v>33347</v>
      </c>
      <c r="B33352" s="3" t="str">
        <f>"201507004315"</f>
        <v>201507004315</v>
      </c>
    </row>
    <row r="33353" spans="1:2" x14ac:dyDescent="0.25">
      <c r="A33353" s="2">
        <v>33348</v>
      </c>
      <c r="B33353" s="3" t="str">
        <f>"201507004321"</f>
        <v>201507004321</v>
      </c>
    </row>
    <row r="33354" spans="1:2" x14ac:dyDescent="0.25">
      <c r="A33354" s="2">
        <v>33349</v>
      </c>
      <c r="B33354" s="3" t="str">
        <f>"201507004344"</f>
        <v>201507004344</v>
      </c>
    </row>
    <row r="33355" spans="1:2" x14ac:dyDescent="0.25">
      <c r="A33355" s="2">
        <v>33350</v>
      </c>
      <c r="B33355" s="3" t="str">
        <f>"201507004347"</f>
        <v>201507004347</v>
      </c>
    </row>
    <row r="33356" spans="1:2" x14ac:dyDescent="0.25">
      <c r="A33356" s="2">
        <v>33351</v>
      </c>
      <c r="B33356" s="3" t="str">
        <f>"201507004356"</f>
        <v>201507004356</v>
      </c>
    </row>
    <row r="33357" spans="1:2" x14ac:dyDescent="0.25">
      <c r="A33357" s="2">
        <v>33352</v>
      </c>
      <c r="B33357" s="3" t="str">
        <f>"201507004358"</f>
        <v>201507004358</v>
      </c>
    </row>
    <row r="33358" spans="1:2" x14ac:dyDescent="0.25">
      <c r="A33358" s="2">
        <v>33353</v>
      </c>
      <c r="B33358" s="3" t="str">
        <f>"201507004365"</f>
        <v>201507004365</v>
      </c>
    </row>
    <row r="33359" spans="1:2" x14ac:dyDescent="0.25">
      <c r="A33359" s="2">
        <v>33354</v>
      </c>
      <c r="B33359" s="3" t="str">
        <f>"201507004366"</f>
        <v>201507004366</v>
      </c>
    </row>
    <row r="33360" spans="1:2" x14ac:dyDescent="0.25">
      <c r="A33360" s="2">
        <v>33355</v>
      </c>
      <c r="B33360" s="3" t="str">
        <f>"201507004373"</f>
        <v>201507004373</v>
      </c>
    </row>
    <row r="33361" spans="1:2" x14ac:dyDescent="0.25">
      <c r="A33361" s="2">
        <v>33356</v>
      </c>
      <c r="B33361" s="3" t="str">
        <f>"201507004376"</f>
        <v>201507004376</v>
      </c>
    </row>
    <row r="33362" spans="1:2" x14ac:dyDescent="0.25">
      <c r="A33362" s="2">
        <v>33357</v>
      </c>
      <c r="B33362" s="3" t="str">
        <f>"201507004382"</f>
        <v>201507004382</v>
      </c>
    </row>
    <row r="33363" spans="1:2" x14ac:dyDescent="0.25">
      <c r="A33363" s="2">
        <v>33358</v>
      </c>
      <c r="B33363" s="3" t="str">
        <f>"201507004390"</f>
        <v>201507004390</v>
      </c>
    </row>
    <row r="33364" spans="1:2" x14ac:dyDescent="0.25">
      <c r="A33364" s="2">
        <v>33359</v>
      </c>
      <c r="B33364" s="3" t="str">
        <f>"201507004417"</f>
        <v>201507004417</v>
      </c>
    </row>
    <row r="33365" spans="1:2" x14ac:dyDescent="0.25">
      <c r="A33365" s="2">
        <v>33360</v>
      </c>
      <c r="B33365" s="3" t="str">
        <f>"201507004419"</f>
        <v>201507004419</v>
      </c>
    </row>
    <row r="33366" spans="1:2" x14ac:dyDescent="0.25">
      <c r="A33366" s="2">
        <v>33361</v>
      </c>
      <c r="B33366" s="3" t="str">
        <f>"201507004424"</f>
        <v>201507004424</v>
      </c>
    </row>
    <row r="33367" spans="1:2" x14ac:dyDescent="0.25">
      <c r="A33367" s="2">
        <v>33362</v>
      </c>
      <c r="B33367" s="3" t="str">
        <f>"201507004428"</f>
        <v>201507004428</v>
      </c>
    </row>
    <row r="33368" spans="1:2" x14ac:dyDescent="0.25">
      <c r="A33368" s="2">
        <v>33363</v>
      </c>
      <c r="B33368" s="3" t="str">
        <f>"201507004436"</f>
        <v>201507004436</v>
      </c>
    </row>
    <row r="33369" spans="1:2" x14ac:dyDescent="0.25">
      <c r="A33369" s="2">
        <v>33364</v>
      </c>
      <c r="B33369" s="3" t="str">
        <f>"201507004440"</f>
        <v>201507004440</v>
      </c>
    </row>
    <row r="33370" spans="1:2" x14ac:dyDescent="0.25">
      <c r="A33370" s="2">
        <v>33365</v>
      </c>
      <c r="B33370" s="3" t="str">
        <f>"201507004442"</f>
        <v>201507004442</v>
      </c>
    </row>
    <row r="33371" spans="1:2" x14ac:dyDescent="0.25">
      <c r="A33371" s="2">
        <v>33366</v>
      </c>
      <c r="B33371" s="3" t="str">
        <f>"201507004457"</f>
        <v>201507004457</v>
      </c>
    </row>
    <row r="33372" spans="1:2" x14ac:dyDescent="0.25">
      <c r="A33372" s="2">
        <v>33367</v>
      </c>
      <c r="B33372" s="3" t="str">
        <f>"201507004459"</f>
        <v>201507004459</v>
      </c>
    </row>
    <row r="33373" spans="1:2" x14ac:dyDescent="0.25">
      <c r="A33373" s="2">
        <v>33368</v>
      </c>
      <c r="B33373" s="3" t="str">
        <f>"201507004491"</f>
        <v>201507004491</v>
      </c>
    </row>
    <row r="33374" spans="1:2" x14ac:dyDescent="0.25">
      <c r="A33374" s="2">
        <v>33369</v>
      </c>
      <c r="B33374" s="3" t="str">
        <f>"201507004515"</f>
        <v>201507004515</v>
      </c>
    </row>
    <row r="33375" spans="1:2" x14ac:dyDescent="0.25">
      <c r="A33375" s="2">
        <v>33370</v>
      </c>
      <c r="B33375" s="3" t="str">
        <f>"201507004517"</f>
        <v>201507004517</v>
      </c>
    </row>
    <row r="33376" spans="1:2" x14ac:dyDescent="0.25">
      <c r="A33376" s="2">
        <v>33371</v>
      </c>
      <c r="B33376" s="3" t="str">
        <f>"201507004518"</f>
        <v>201507004518</v>
      </c>
    </row>
    <row r="33377" spans="1:2" x14ac:dyDescent="0.25">
      <c r="A33377" s="2">
        <v>33372</v>
      </c>
      <c r="B33377" s="3" t="str">
        <f>"201507004529"</f>
        <v>201507004529</v>
      </c>
    </row>
    <row r="33378" spans="1:2" x14ac:dyDescent="0.25">
      <c r="A33378" s="2">
        <v>33373</v>
      </c>
      <c r="B33378" s="3" t="str">
        <f>"201507004530"</f>
        <v>201507004530</v>
      </c>
    </row>
    <row r="33379" spans="1:2" x14ac:dyDescent="0.25">
      <c r="A33379" s="2">
        <v>33374</v>
      </c>
      <c r="B33379" s="3" t="str">
        <f>"201507004532"</f>
        <v>201507004532</v>
      </c>
    </row>
    <row r="33380" spans="1:2" x14ac:dyDescent="0.25">
      <c r="A33380" s="2">
        <v>33375</v>
      </c>
      <c r="B33380" s="3" t="str">
        <f>"201507004538"</f>
        <v>201507004538</v>
      </c>
    </row>
    <row r="33381" spans="1:2" x14ac:dyDescent="0.25">
      <c r="A33381" s="2">
        <v>33376</v>
      </c>
      <c r="B33381" s="3" t="str">
        <f>"201507004539"</f>
        <v>201507004539</v>
      </c>
    </row>
    <row r="33382" spans="1:2" x14ac:dyDescent="0.25">
      <c r="A33382" s="2">
        <v>33377</v>
      </c>
      <c r="B33382" s="3" t="str">
        <f>"201507004543"</f>
        <v>201507004543</v>
      </c>
    </row>
    <row r="33383" spans="1:2" x14ac:dyDescent="0.25">
      <c r="A33383" s="2">
        <v>33378</v>
      </c>
      <c r="B33383" s="3" t="str">
        <f>"201507004544"</f>
        <v>201507004544</v>
      </c>
    </row>
    <row r="33384" spans="1:2" x14ac:dyDescent="0.25">
      <c r="A33384" s="2">
        <v>33379</v>
      </c>
      <c r="B33384" s="3" t="str">
        <f>"201507004545"</f>
        <v>201507004545</v>
      </c>
    </row>
    <row r="33385" spans="1:2" x14ac:dyDescent="0.25">
      <c r="A33385" s="2">
        <v>33380</v>
      </c>
      <c r="B33385" s="3" t="str">
        <f>"201507004559"</f>
        <v>201507004559</v>
      </c>
    </row>
    <row r="33386" spans="1:2" x14ac:dyDescent="0.25">
      <c r="A33386" s="2">
        <v>33381</v>
      </c>
      <c r="B33386" s="3" t="str">
        <f>"201507004560"</f>
        <v>201507004560</v>
      </c>
    </row>
    <row r="33387" spans="1:2" x14ac:dyDescent="0.25">
      <c r="A33387" s="2">
        <v>33382</v>
      </c>
      <c r="B33387" s="3" t="str">
        <f>"201507004564"</f>
        <v>201507004564</v>
      </c>
    </row>
    <row r="33388" spans="1:2" x14ac:dyDescent="0.25">
      <c r="A33388" s="2">
        <v>33383</v>
      </c>
      <c r="B33388" s="3" t="str">
        <f>"201507004573"</f>
        <v>201507004573</v>
      </c>
    </row>
    <row r="33389" spans="1:2" x14ac:dyDescent="0.25">
      <c r="A33389" s="2">
        <v>33384</v>
      </c>
      <c r="B33389" s="3" t="str">
        <f>"201507004590"</f>
        <v>201507004590</v>
      </c>
    </row>
    <row r="33390" spans="1:2" x14ac:dyDescent="0.25">
      <c r="A33390" s="2">
        <v>33385</v>
      </c>
      <c r="B33390" s="3" t="str">
        <f>"201507004593"</f>
        <v>201507004593</v>
      </c>
    </row>
    <row r="33391" spans="1:2" x14ac:dyDescent="0.25">
      <c r="A33391" s="2">
        <v>33386</v>
      </c>
      <c r="B33391" s="3" t="str">
        <f>"201507004602"</f>
        <v>201507004602</v>
      </c>
    </row>
    <row r="33392" spans="1:2" x14ac:dyDescent="0.25">
      <c r="A33392" s="2">
        <v>33387</v>
      </c>
      <c r="B33392" s="3" t="str">
        <f>"201507004603"</f>
        <v>201507004603</v>
      </c>
    </row>
    <row r="33393" spans="1:2" x14ac:dyDescent="0.25">
      <c r="A33393" s="2">
        <v>33388</v>
      </c>
      <c r="B33393" s="3" t="str">
        <f>"201507004608"</f>
        <v>201507004608</v>
      </c>
    </row>
    <row r="33394" spans="1:2" x14ac:dyDescent="0.25">
      <c r="A33394" s="2">
        <v>33389</v>
      </c>
      <c r="B33394" s="3" t="str">
        <f>"201507004613"</f>
        <v>201507004613</v>
      </c>
    </row>
    <row r="33395" spans="1:2" x14ac:dyDescent="0.25">
      <c r="A33395" s="2">
        <v>33390</v>
      </c>
      <c r="B33395" s="3" t="str">
        <f>"201507004616"</f>
        <v>201507004616</v>
      </c>
    </row>
    <row r="33396" spans="1:2" x14ac:dyDescent="0.25">
      <c r="A33396" s="2">
        <v>33391</v>
      </c>
      <c r="B33396" s="3" t="str">
        <f>"201507004631"</f>
        <v>201507004631</v>
      </c>
    </row>
    <row r="33397" spans="1:2" x14ac:dyDescent="0.25">
      <c r="A33397" s="2">
        <v>33392</v>
      </c>
      <c r="B33397" s="3" t="str">
        <f>"201507004648"</f>
        <v>201507004648</v>
      </c>
    </row>
    <row r="33398" spans="1:2" x14ac:dyDescent="0.25">
      <c r="A33398" s="2">
        <v>33393</v>
      </c>
      <c r="B33398" s="3" t="str">
        <f>"201507004649"</f>
        <v>201507004649</v>
      </c>
    </row>
    <row r="33399" spans="1:2" x14ac:dyDescent="0.25">
      <c r="A33399" s="2">
        <v>33394</v>
      </c>
      <c r="B33399" s="3" t="str">
        <f>"201507004679"</f>
        <v>201507004679</v>
      </c>
    </row>
    <row r="33400" spans="1:2" x14ac:dyDescent="0.25">
      <c r="A33400" s="2">
        <v>33395</v>
      </c>
      <c r="B33400" s="3" t="str">
        <f>"201507004702"</f>
        <v>201507004702</v>
      </c>
    </row>
    <row r="33401" spans="1:2" x14ac:dyDescent="0.25">
      <c r="A33401" s="2">
        <v>33396</v>
      </c>
      <c r="B33401" s="3" t="str">
        <f>"201507004705"</f>
        <v>201507004705</v>
      </c>
    </row>
    <row r="33402" spans="1:2" x14ac:dyDescent="0.25">
      <c r="A33402" s="2">
        <v>33397</v>
      </c>
      <c r="B33402" s="3" t="str">
        <f>"201507004711"</f>
        <v>201507004711</v>
      </c>
    </row>
    <row r="33403" spans="1:2" x14ac:dyDescent="0.25">
      <c r="A33403" s="2">
        <v>33398</v>
      </c>
      <c r="B33403" s="3" t="str">
        <f>"201507004714"</f>
        <v>201507004714</v>
      </c>
    </row>
    <row r="33404" spans="1:2" x14ac:dyDescent="0.25">
      <c r="A33404" s="2">
        <v>33399</v>
      </c>
      <c r="B33404" s="3" t="str">
        <f>"201507004716"</f>
        <v>201507004716</v>
      </c>
    </row>
    <row r="33405" spans="1:2" x14ac:dyDescent="0.25">
      <c r="A33405" s="2">
        <v>33400</v>
      </c>
      <c r="B33405" s="3" t="str">
        <f>"201507004722"</f>
        <v>201507004722</v>
      </c>
    </row>
    <row r="33406" spans="1:2" x14ac:dyDescent="0.25">
      <c r="A33406" s="2">
        <v>33401</v>
      </c>
      <c r="B33406" s="3" t="str">
        <f>"201507004728"</f>
        <v>201507004728</v>
      </c>
    </row>
    <row r="33407" spans="1:2" x14ac:dyDescent="0.25">
      <c r="A33407" s="2">
        <v>33402</v>
      </c>
      <c r="B33407" s="3" t="str">
        <f>"201507004737"</f>
        <v>201507004737</v>
      </c>
    </row>
    <row r="33408" spans="1:2" x14ac:dyDescent="0.25">
      <c r="A33408" s="2">
        <v>33403</v>
      </c>
      <c r="B33408" s="3" t="str">
        <f>"201507004739"</f>
        <v>201507004739</v>
      </c>
    </row>
    <row r="33409" spans="1:2" x14ac:dyDescent="0.25">
      <c r="A33409" s="2">
        <v>33404</v>
      </c>
      <c r="B33409" s="3" t="str">
        <f>"201507004753"</f>
        <v>201507004753</v>
      </c>
    </row>
    <row r="33410" spans="1:2" x14ac:dyDescent="0.25">
      <c r="A33410" s="2">
        <v>33405</v>
      </c>
      <c r="B33410" s="3" t="str">
        <f>"201507004756"</f>
        <v>201507004756</v>
      </c>
    </row>
    <row r="33411" spans="1:2" x14ac:dyDescent="0.25">
      <c r="A33411" s="2">
        <v>33406</v>
      </c>
      <c r="B33411" s="3" t="str">
        <f>"201507004758"</f>
        <v>201507004758</v>
      </c>
    </row>
    <row r="33412" spans="1:2" x14ac:dyDescent="0.25">
      <c r="A33412" s="2">
        <v>33407</v>
      </c>
      <c r="B33412" s="3" t="str">
        <f>"201507004766"</f>
        <v>201507004766</v>
      </c>
    </row>
    <row r="33413" spans="1:2" x14ac:dyDescent="0.25">
      <c r="A33413" s="2">
        <v>33408</v>
      </c>
      <c r="B33413" s="3" t="str">
        <f>"201507004770"</f>
        <v>201507004770</v>
      </c>
    </row>
    <row r="33414" spans="1:2" x14ac:dyDescent="0.25">
      <c r="A33414" s="2">
        <v>33409</v>
      </c>
      <c r="B33414" s="3" t="str">
        <f>"201507004772"</f>
        <v>201507004772</v>
      </c>
    </row>
    <row r="33415" spans="1:2" x14ac:dyDescent="0.25">
      <c r="A33415" s="2">
        <v>33410</v>
      </c>
      <c r="B33415" s="3" t="str">
        <f>"201507004776"</f>
        <v>201507004776</v>
      </c>
    </row>
    <row r="33416" spans="1:2" x14ac:dyDescent="0.25">
      <c r="A33416" s="2">
        <v>33411</v>
      </c>
      <c r="B33416" s="3" t="str">
        <f>"201507004780"</f>
        <v>201507004780</v>
      </c>
    </row>
    <row r="33417" spans="1:2" x14ac:dyDescent="0.25">
      <c r="A33417" s="2">
        <v>33412</v>
      </c>
      <c r="B33417" s="3" t="str">
        <f>"201507004791"</f>
        <v>201507004791</v>
      </c>
    </row>
    <row r="33418" spans="1:2" x14ac:dyDescent="0.25">
      <c r="A33418" s="2">
        <v>33413</v>
      </c>
      <c r="B33418" s="3" t="str">
        <f>"201507004808"</f>
        <v>201507004808</v>
      </c>
    </row>
    <row r="33419" spans="1:2" x14ac:dyDescent="0.25">
      <c r="A33419" s="2">
        <v>33414</v>
      </c>
      <c r="B33419" s="3" t="str">
        <f>"201507004811"</f>
        <v>201507004811</v>
      </c>
    </row>
    <row r="33420" spans="1:2" x14ac:dyDescent="0.25">
      <c r="A33420" s="2">
        <v>33415</v>
      </c>
      <c r="B33420" s="3" t="str">
        <f>"201507004818"</f>
        <v>201507004818</v>
      </c>
    </row>
    <row r="33421" spans="1:2" x14ac:dyDescent="0.25">
      <c r="A33421" s="2">
        <v>33416</v>
      </c>
      <c r="B33421" s="3" t="str">
        <f>"201507004822"</f>
        <v>201507004822</v>
      </c>
    </row>
    <row r="33422" spans="1:2" x14ac:dyDescent="0.25">
      <c r="A33422" s="2">
        <v>33417</v>
      </c>
      <c r="B33422" s="3" t="str">
        <f>"201507004823"</f>
        <v>201507004823</v>
      </c>
    </row>
    <row r="33423" spans="1:2" x14ac:dyDescent="0.25">
      <c r="A33423" s="2">
        <v>33418</v>
      </c>
      <c r="B33423" s="3" t="str">
        <f>"201507004826"</f>
        <v>201507004826</v>
      </c>
    </row>
    <row r="33424" spans="1:2" x14ac:dyDescent="0.25">
      <c r="A33424" s="2">
        <v>33419</v>
      </c>
      <c r="B33424" s="3" t="str">
        <f>"201507004834"</f>
        <v>201507004834</v>
      </c>
    </row>
    <row r="33425" spans="1:2" x14ac:dyDescent="0.25">
      <c r="A33425" s="2">
        <v>33420</v>
      </c>
      <c r="B33425" s="3" t="str">
        <f>"201507004854"</f>
        <v>201507004854</v>
      </c>
    </row>
    <row r="33426" spans="1:2" x14ac:dyDescent="0.25">
      <c r="A33426" s="2">
        <v>33421</v>
      </c>
      <c r="B33426" s="3" t="str">
        <f>"201507004856"</f>
        <v>201507004856</v>
      </c>
    </row>
    <row r="33427" spans="1:2" x14ac:dyDescent="0.25">
      <c r="A33427" s="2">
        <v>33422</v>
      </c>
      <c r="B33427" s="3" t="str">
        <f>"201507004859"</f>
        <v>201507004859</v>
      </c>
    </row>
    <row r="33428" spans="1:2" x14ac:dyDescent="0.25">
      <c r="A33428" s="2">
        <v>33423</v>
      </c>
      <c r="B33428" s="3" t="str">
        <f>"201507004866"</f>
        <v>201507004866</v>
      </c>
    </row>
    <row r="33429" spans="1:2" x14ac:dyDescent="0.25">
      <c r="A33429" s="2">
        <v>33424</v>
      </c>
      <c r="B33429" s="3" t="str">
        <f>"201507004867"</f>
        <v>201507004867</v>
      </c>
    </row>
    <row r="33430" spans="1:2" x14ac:dyDescent="0.25">
      <c r="A33430" s="2">
        <v>33425</v>
      </c>
      <c r="B33430" s="3" t="str">
        <f>"201507004868"</f>
        <v>201507004868</v>
      </c>
    </row>
    <row r="33431" spans="1:2" x14ac:dyDescent="0.25">
      <c r="A33431" s="2">
        <v>33426</v>
      </c>
      <c r="B33431" s="3" t="str">
        <f>"201507004871"</f>
        <v>201507004871</v>
      </c>
    </row>
    <row r="33432" spans="1:2" x14ac:dyDescent="0.25">
      <c r="A33432" s="2">
        <v>33427</v>
      </c>
      <c r="B33432" s="3" t="str">
        <f>"201507004873"</f>
        <v>201507004873</v>
      </c>
    </row>
    <row r="33433" spans="1:2" x14ac:dyDescent="0.25">
      <c r="A33433" s="2">
        <v>33428</v>
      </c>
      <c r="B33433" s="3" t="str">
        <f>"201507004896"</f>
        <v>201507004896</v>
      </c>
    </row>
    <row r="33434" spans="1:2" x14ac:dyDescent="0.25">
      <c r="A33434" s="2">
        <v>33429</v>
      </c>
      <c r="B33434" s="3" t="str">
        <f>"201507004919"</f>
        <v>201507004919</v>
      </c>
    </row>
    <row r="33435" spans="1:2" x14ac:dyDescent="0.25">
      <c r="A33435" s="2">
        <v>33430</v>
      </c>
      <c r="B33435" s="3" t="str">
        <f>"201507004937"</f>
        <v>201507004937</v>
      </c>
    </row>
    <row r="33436" spans="1:2" x14ac:dyDescent="0.25">
      <c r="A33436" s="2">
        <v>33431</v>
      </c>
      <c r="B33436" s="3" t="str">
        <f>"201507004940"</f>
        <v>201507004940</v>
      </c>
    </row>
    <row r="33437" spans="1:2" x14ac:dyDescent="0.25">
      <c r="A33437" s="2">
        <v>33432</v>
      </c>
      <c r="B33437" s="3" t="str">
        <f>"201507004944"</f>
        <v>201507004944</v>
      </c>
    </row>
    <row r="33438" spans="1:2" x14ac:dyDescent="0.25">
      <c r="A33438" s="2">
        <v>33433</v>
      </c>
      <c r="B33438" s="3" t="str">
        <f>"201507004950"</f>
        <v>201507004950</v>
      </c>
    </row>
    <row r="33439" spans="1:2" x14ac:dyDescent="0.25">
      <c r="A33439" s="2">
        <v>33434</v>
      </c>
      <c r="B33439" s="3" t="str">
        <f>"201507004955"</f>
        <v>201507004955</v>
      </c>
    </row>
    <row r="33440" spans="1:2" x14ac:dyDescent="0.25">
      <c r="A33440" s="2">
        <v>33435</v>
      </c>
      <c r="B33440" s="3" t="str">
        <f>"201507004960"</f>
        <v>201507004960</v>
      </c>
    </row>
    <row r="33441" spans="1:2" x14ac:dyDescent="0.25">
      <c r="A33441" s="2">
        <v>33436</v>
      </c>
      <c r="B33441" s="3" t="str">
        <f>"201507004962"</f>
        <v>201507004962</v>
      </c>
    </row>
    <row r="33442" spans="1:2" x14ac:dyDescent="0.25">
      <c r="A33442" s="2">
        <v>33437</v>
      </c>
      <c r="B33442" s="3" t="str">
        <f>"201507004977"</f>
        <v>201507004977</v>
      </c>
    </row>
    <row r="33443" spans="1:2" x14ac:dyDescent="0.25">
      <c r="A33443" s="2">
        <v>33438</v>
      </c>
      <c r="B33443" s="3" t="str">
        <f>"201507004991"</f>
        <v>201507004991</v>
      </c>
    </row>
    <row r="33444" spans="1:2" x14ac:dyDescent="0.25">
      <c r="A33444" s="2">
        <v>33439</v>
      </c>
      <c r="B33444" s="3" t="str">
        <f>"201507005011"</f>
        <v>201507005011</v>
      </c>
    </row>
    <row r="33445" spans="1:2" x14ac:dyDescent="0.25">
      <c r="A33445" s="2">
        <v>33440</v>
      </c>
      <c r="B33445" s="3" t="str">
        <f>"201507005016"</f>
        <v>201507005016</v>
      </c>
    </row>
    <row r="33446" spans="1:2" x14ac:dyDescent="0.25">
      <c r="A33446" s="2">
        <v>33441</v>
      </c>
      <c r="B33446" s="3" t="str">
        <f>"201507005025"</f>
        <v>201507005025</v>
      </c>
    </row>
    <row r="33447" spans="1:2" x14ac:dyDescent="0.25">
      <c r="A33447" s="2">
        <v>33442</v>
      </c>
      <c r="B33447" s="3" t="str">
        <f>"201507005029"</f>
        <v>201507005029</v>
      </c>
    </row>
    <row r="33448" spans="1:2" x14ac:dyDescent="0.25">
      <c r="A33448" s="2">
        <v>33443</v>
      </c>
      <c r="B33448" s="3" t="str">
        <f>"201507005033"</f>
        <v>201507005033</v>
      </c>
    </row>
    <row r="33449" spans="1:2" x14ac:dyDescent="0.25">
      <c r="A33449" s="2">
        <v>33444</v>
      </c>
      <c r="B33449" s="3" t="str">
        <f>"201507005045"</f>
        <v>201507005045</v>
      </c>
    </row>
    <row r="33450" spans="1:2" x14ac:dyDescent="0.25">
      <c r="A33450" s="2">
        <v>33445</v>
      </c>
      <c r="B33450" s="3" t="str">
        <f>"201507005051"</f>
        <v>201507005051</v>
      </c>
    </row>
    <row r="33451" spans="1:2" x14ac:dyDescent="0.25">
      <c r="A33451" s="2">
        <v>33446</v>
      </c>
      <c r="B33451" s="3" t="str">
        <f>"201507005052"</f>
        <v>201507005052</v>
      </c>
    </row>
    <row r="33452" spans="1:2" x14ac:dyDescent="0.25">
      <c r="A33452" s="2">
        <v>33447</v>
      </c>
      <c r="B33452" s="3" t="str">
        <f>"201507005062"</f>
        <v>201507005062</v>
      </c>
    </row>
    <row r="33453" spans="1:2" x14ac:dyDescent="0.25">
      <c r="A33453" s="2">
        <v>33448</v>
      </c>
      <c r="B33453" s="3" t="str">
        <f>"201507005066"</f>
        <v>201507005066</v>
      </c>
    </row>
    <row r="33454" spans="1:2" x14ac:dyDescent="0.25">
      <c r="A33454" s="2">
        <v>33449</v>
      </c>
      <c r="B33454" s="3" t="str">
        <f>"201507005071"</f>
        <v>201507005071</v>
      </c>
    </row>
    <row r="33455" spans="1:2" x14ac:dyDescent="0.25">
      <c r="A33455" s="2">
        <v>33450</v>
      </c>
      <c r="B33455" s="3" t="str">
        <f>"201507005076"</f>
        <v>201507005076</v>
      </c>
    </row>
    <row r="33456" spans="1:2" x14ac:dyDescent="0.25">
      <c r="A33456" s="2">
        <v>33451</v>
      </c>
      <c r="B33456" s="3" t="str">
        <f>"201507005077"</f>
        <v>201507005077</v>
      </c>
    </row>
    <row r="33457" spans="1:2" x14ac:dyDescent="0.25">
      <c r="A33457" s="2">
        <v>33452</v>
      </c>
      <c r="B33457" s="3" t="str">
        <f>"201507005084"</f>
        <v>201507005084</v>
      </c>
    </row>
    <row r="33458" spans="1:2" x14ac:dyDescent="0.25">
      <c r="A33458" s="2">
        <v>33453</v>
      </c>
      <c r="B33458" s="3" t="str">
        <f>"201507005085"</f>
        <v>201507005085</v>
      </c>
    </row>
    <row r="33459" spans="1:2" x14ac:dyDescent="0.25">
      <c r="A33459" s="2">
        <v>33454</v>
      </c>
      <c r="B33459" s="3" t="str">
        <f>"201507005100"</f>
        <v>201507005100</v>
      </c>
    </row>
    <row r="33460" spans="1:2" x14ac:dyDescent="0.25">
      <c r="A33460" s="2">
        <v>33455</v>
      </c>
      <c r="B33460" s="3" t="str">
        <f>"201507005116"</f>
        <v>201507005116</v>
      </c>
    </row>
    <row r="33461" spans="1:2" x14ac:dyDescent="0.25">
      <c r="A33461" s="2">
        <v>33456</v>
      </c>
      <c r="B33461" s="3" t="str">
        <f>"201507005148"</f>
        <v>201507005148</v>
      </c>
    </row>
    <row r="33462" spans="1:2" x14ac:dyDescent="0.25">
      <c r="A33462" s="2">
        <v>33457</v>
      </c>
      <c r="B33462" s="3" t="str">
        <f>"201507005171"</f>
        <v>201507005171</v>
      </c>
    </row>
    <row r="33463" spans="1:2" x14ac:dyDescent="0.25">
      <c r="A33463" s="2">
        <v>33458</v>
      </c>
      <c r="B33463" s="3" t="str">
        <f>"201507005174"</f>
        <v>201507005174</v>
      </c>
    </row>
    <row r="33464" spans="1:2" x14ac:dyDescent="0.25">
      <c r="A33464" s="2">
        <v>33459</v>
      </c>
      <c r="B33464" s="3" t="str">
        <f>"201507005177"</f>
        <v>201507005177</v>
      </c>
    </row>
    <row r="33465" spans="1:2" x14ac:dyDescent="0.25">
      <c r="A33465" s="2">
        <v>33460</v>
      </c>
      <c r="B33465" s="3" t="str">
        <f>"201507005185"</f>
        <v>201507005185</v>
      </c>
    </row>
    <row r="33466" spans="1:2" x14ac:dyDescent="0.25">
      <c r="A33466" s="2">
        <v>33461</v>
      </c>
      <c r="B33466" s="3" t="str">
        <f>"201507005217"</f>
        <v>201507005217</v>
      </c>
    </row>
    <row r="33467" spans="1:2" x14ac:dyDescent="0.25">
      <c r="A33467" s="2">
        <v>33462</v>
      </c>
      <c r="B33467" s="3" t="str">
        <f>"201507005243"</f>
        <v>201507005243</v>
      </c>
    </row>
    <row r="33468" spans="1:2" x14ac:dyDescent="0.25">
      <c r="A33468" s="2">
        <v>33463</v>
      </c>
      <c r="B33468" s="3" t="str">
        <f>"201507005252"</f>
        <v>201507005252</v>
      </c>
    </row>
    <row r="33469" spans="1:2" x14ac:dyDescent="0.25">
      <c r="A33469" s="2">
        <v>33464</v>
      </c>
      <c r="B33469" s="3" t="str">
        <f>"201507005264"</f>
        <v>201507005264</v>
      </c>
    </row>
    <row r="33470" spans="1:2" x14ac:dyDescent="0.25">
      <c r="A33470" s="2">
        <v>33465</v>
      </c>
      <c r="B33470" s="3" t="str">
        <f>"201507005267"</f>
        <v>201507005267</v>
      </c>
    </row>
    <row r="33471" spans="1:2" x14ac:dyDescent="0.25">
      <c r="A33471" s="2">
        <v>33466</v>
      </c>
      <c r="B33471" s="3" t="str">
        <f>"201508000093"</f>
        <v>201508000093</v>
      </c>
    </row>
    <row r="33472" spans="1:2" x14ac:dyDescent="0.25">
      <c r="A33472" s="2">
        <v>33467</v>
      </c>
      <c r="B33472" s="3" t="str">
        <f>"201508000201"</f>
        <v>201508000201</v>
      </c>
    </row>
    <row r="33473" spans="1:2" x14ac:dyDescent="0.25">
      <c r="A33473" s="2">
        <v>33468</v>
      </c>
      <c r="B33473" s="3" t="str">
        <f>"201508000249"</f>
        <v>201508000249</v>
      </c>
    </row>
    <row r="33474" spans="1:2" x14ac:dyDescent="0.25">
      <c r="A33474" s="2">
        <v>33469</v>
      </c>
      <c r="B33474" s="3" t="str">
        <f>"201509000042"</f>
        <v>201509000042</v>
      </c>
    </row>
    <row r="33475" spans="1:2" x14ac:dyDescent="0.25">
      <c r="A33475" s="2">
        <v>33470</v>
      </c>
      <c r="B33475" s="3" t="str">
        <f>"201509000152"</f>
        <v>201509000152</v>
      </c>
    </row>
    <row r="33476" spans="1:2" x14ac:dyDescent="0.25">
      <c r="A33476" s="2">
        <v>33471</v>
      </c>
      <c r="B33476" s="3" t="str">
        <f>"201509000168"</f>
        <v>201509000168</v>
      </c>
    </row>
    <row r="33477" spans="1:2" x14ac:dyDescent="0.25">
      <c r="A33477" s="2">
        <v>33472</v>
      </c>
      <c r="B33477" s="3" t="str">
        <f>"201509000192"</f>
        <v>201509000192</v>
      </c>
    </row>
    <row r="33478" spans="1:2" x14ac:dyDescent="0.25">
      <c r="A33478" s="2">
        <v>33473</v>
      </c>
      <c r="B33478" s="3" t="str">
        <f>"201509000255"</f>
        <v>201509000255</v>
      </c>
    </row>
    <row r="33479" spans="1:2" x14ac:dyDescent="0.25">
      <c r="A33479" s="2">
        <v>33474</v>
      </c>
      <c r="B33479" s="3" t="str">
        <f>"201509000350"</f>
        <v>201509000350</v>
      </c>
    </row>
    <row r="33480" spans="1:2" x14ac:dyDescent="0.25">
      <c r="A33480" s="2">
        <v>33475</v>
      </c>
      <c r="B33480" s="3" t="str">
        <f>"201510000052"</f>
        <v>201510000052</v>
      </c>
    </row>
    <row r="33481" spans="1:2" x14ac:dyDescent="0.25">
      <c r="A33481" s="2">
        <v>33476</v>
      </c>
      <c r="B33481" s="3" t="str">
        <f>"201510000060"</f>
        <v>201510000060</v>
      </c>
    </row>
    <row r="33482" spans="1:2" x14ac:dyDescent="0.25">
      <c r="A33482" s="2">
        <v>33477</v>
      </c>
      <c r="B33482" s="3" t="str">
        <f>"201510000078"</f>
        <v>201510000078</v>
      </c>
    </row>
    <row r="33483" spans="1:2" x14ac:dyDescent="0.25">
      <c r="A33483" s="2">
        <v>33478</v>
      </c>
      <c r="B33483" s="3" t="str">
        <f>"201510000138"</f>
        <v>201510000138</v>
      </c>
    </row>
    <row r="33484" spans="1:2" x14ac:dyDescent="0.25">
      <c r="A33484" s="2">
        <v>33479</v>
      </c>
      <c r="B33484" s="3" t="str">
        <f>"201510000170"</f>
        <v>201510000170</v>
      </c>
    </row>
    <row r="33485" spans="1:2" x14ac:dyDescent="0.25">
      <c r="A33485" s="2">
        <v>33480</v>
      </c>
      <c r="B33485" s="3" t="str">
        <f>"201510000192"</f>
        <v>201510000192</v>
      </c>
    </row>
    <row r="33486" spans="1:2" x14ac:dyDescent="0.25">
      <c r="A33486" s="2">
        <v>33481</v>
      </c>
      <c r="B33486" s="3" t="str">
        <f>"201510000231"</f>
        <v>201510000231</v>
      </c>
    </row>
    <row r="33487" spans="1:2" x14ac:dyDescent="0.25">
      <c r="A33487" s="2">
        <v>33482</v>
      </c>
      <c r="B33487" s="3" t="str">
        <f>"201510000236"</f>
        <v>201510000236</v>
      </c>
    </row>
    <row r="33488" spans="1:2" x14ac:dyDescent="0.25">
      <c r="A33488" s="2">
        <v>33483</v>
      </c>
      <c r="B33488" s="3" t="str">
        <f>"201510000254"</f>
        <v>201510000254</v>
      </c>
    </row>
    <row r="33489" spans="1:2" x14ac:dyDescent="0.25">
      <c r="A33489" s="2">
        <v>33484</v>
      </c>
      <c r="B33489" s="3" t="str">
        <f>"201510000260"</f>
        <v>201510000260</v>
      </c>
    </row>
    <row r="33490" spans="1:2" x14ac:dyDescent="0.25">
      <c r="A33490" s="2">
        <v>33485</v>
      </c>
      <c r="B33490" s="3" t="str">
        <f>"201510000278"</f>
        <v>201510000278</v>
      </c>
    </row>
    <row r="33491" spans="1:2" x14ac:dyDescent="0.25">
      <c r="A33491" s="2">
        <v>33486</v>
      </c>
      <c r="B33491" s="3" t="str">
        <f>"201510000359"</f>
        <v>201510000359</v>
      </c>
    </row>
    <row r="33492" spans="1:2" x14ac:dyDescent="0.25">
      <c r="A33492" s="2">
        <v>33487</v>
      </c>
      <c r="B33492" s="3" t="str">
        <f>"201510000366"</f>
        <v>201510000366</v>
      </c>
    </row>
    <row r="33493" spans="1:2" x14ac:dyDescent="0.25">
      <c r="A33493" s="2">
        <v>33488</v>
      </c>
      <c r="B33493" s="3" t="str">
        <f>"201510000367"</f>
        <v>201510000367</v>
      </c>
    </row>
    <row r="33494" spans="1:2" x14ac:dyDescent="0.25">
      <c r="A33494" s="2">
        <v>33489</v>
      </c>
      <c r="B33494" s="3" t="str">
        <f>"201510000391"</f>
        <v>201510000391</v>
      </c>
    </row>
    <row r="33495" spans="1:2" x14ac:dyDescent="0.25">
      <c r="A33495" s="2">
        <v>33490</v>
      </c>
      <c r="B33495" s="3" t="str">
        <f>"201510000413"</f>
        <v>201510000413</v>
      </c>
    </row>
    <row r="33496" spans="1:2" x14ac:dyDescent="0.25">
      <c r="A33496" s="2">
        <v>33491</v>
      </c>
      <c r="B33496" s="3" t="str">
        <f>"201510000418"</f>
        <v>201510000418</v>
      </c>
    </row>
    <row r="33497" spans="1:2" x14ac:dyDescent="0.25">
      <c r="A33497" s="2">
        <v>33492</v>
      </c>
      <c r="B33497" s="3" t="str">
        <f>"201510000419"</f>
        <v>201510000419</v>
      </c>
    </row>
    <row r="33498" spans="1:2" x14ac:dyDescent="0.25">
      <c r="A33498" s="2">
        <v>33493</v>
      </c>
      <c r="B33498" s="3" t="str">
        <f>"201510000426"</f>
        <v>201510000426</v>
      </c>
    </row>
    <row r="33499" spans="1:2" x14ac:dyDescent="0.25">
      <c r="A33499" s="2">
        <v>33494</v>
      </c>
      <c r="B33499" s="3" t="str">
        <f>"201510000449"</f>
        <v>201510000449</v>
      </c>
    </row>
    <row r="33500" spans="1:2" x14ac:dyDescent="0.25">
      <c r="A33500" s="2">
        <v>33495</v>
      </c>
      <c r="B33500" s="3" t="str">
        <f>"201510000457"</f>
        <v>201510000457</v>
      </c>
    </row>
    <row r="33501" spans="1:2" x14ac:dyDescent="0.25">
      <c r="A33501" s="2">
        <v>33496</v>
      </c>
      <c r="B33501" s="3" t="str">
        <f>"201510000463"</f>
        <v>201510000463</v>
      </c>
    </row>
    <row r="33502" spans="1:2" x14ac:dyDescent="0.25">
      <c r="A33502" s="2">
        <v>33497</v>
      </c>
      <c r="B33502" s="3" t="str">
        <f>"201510000475"</f>
        <v>201510000475</v>
      </c>
    </row>
    <row r="33503" spans="1:2" x14ac:dyDescent="0.25">
      <c r="A33503" s="2">
        <v>33498</v>
      </c>
      <c r="B33503" s="3" t="str">
        <f>"201510000485"</f>
        <v>201510000485</v>
      </c>
    </row>
    <row r="33504" spans="1:2" x14ac:dyDescent="0.25">
      <c r="A33504" s="2">
        <v>33499</v>
      </c>
      <c r="B33504" s="3" t="str">
        <f>"201510000526"</f>
        <v>201510000526</v>
      </c>
    </row>
    <row r="33505" spans="1:2" x14ac:dyDescent="0.25">
      <c r="A33505" s="2">
        <v>33500</v>
      </c>
      <c r="B33505" s="3" t="str">
        <f>"201510000618"</f>
        <v>201510000618</v>
      </c>
    </row>
    <row r="33506" spans="1:2" x14ac:dyDescent="0.25">
      <c r="A33506" s="2">
        <v>33501</v>
      </c>
      <c r="B33506" s="3" t="str">
        <f>"201510000630"</f>
        <v>201510000630</v>
      </c>
    </row>
    <row r="33507" spans="1:2" x14ac:dyDescent="0.25">
      <c r="A33507" s="2">
        <v>33502</v>
      </c>
      <c r="B33507" s="3" t="str">
        <f>"201510000641"</f>
        <v>201510000641</v>
      </c>
    </row>
    <row r="33508" spans="1:2" x14ac:dyDescent="0.25">
      <c r="A33508" s="2">
        <v>33503</v>
      </c>
      <c r="B33508" s="3" t="str">
        <f>"201510000644"</f>
        <v>201510000644</v>
      </c>
    </row>
    <row r="33509" spans="1:2" x14ac:dyDescent="0.25">
      <c r="A33509" s="2">
        <v>33504</v>
      </c>
      <c r="B33509" s="3" t="str">
        <f>"201510000658"</f>
        <v>201510000658</v>
      </c>
    </row>
    <row r="33510" spans="1:2" x14ac:dyDescent="0.25">
      <c r="A33510" s="2">
        <v>33505</v>
      </c>
      <c r="B33510" s="3" t="str">
        <f>"201510000676"</f>
        <v>201510000676</v>
      </c>
    </row>
    <row r="33511" spans="1:2" x14ac:dyDescent="0.25">
      <c r="A33511" s="2">
        <v>33506</v>
      </c>
      <c r="B33511" s="3" t="str">
        <f>"201510000677"</f>
        <v>201510000677</v>
      </c>
    </row>
    <row r="33512" spans="1:2" x14ac:dyDescent="0.25">
      <c r="A33512" s="2">
        <v>33507</v>
      </c>
      <c r="B33512" s="3" t="str">
        <f>"201510000681"</f>
        <v>201510000681</v>
      </c>
    </row>
    <row r="33513" spans="1:2" x14ac:dyDescent="0.25">
      <c r="A33513" s="2">
        <v>33508</v>
      </c>
      <c r="B33513" s="3" t="str">
        <f>"201510000689"</f>
        <v>201510000689</v>
      </c>
    </row>
    <row r="33514" spans="1:2" x14ac:dyDescent="0.25">
      <c r="A33514" s="2">
        <v>33509</v>
      </c>
      <c r="B33514" s="3" t="str">
        <f>"201510000725"</f>
        <v>201510000725</v>
      </c>
    </row>
    <row r="33515" spans="1:2" x14ac:dyDescent="0.25">
      <c r="A33515" s="2">
        <v>33510</v>
      </c>
      <c r="B33515" s="3" t="str">
        <f>"201510000740"</f>
        <v>201510000740</v>
      </c>
    </row>
    <row r="33516" spans="1:2" x14ac:dyDescent="0.25">
      <c r="A33516" s="2">
        <v>33511</v>
      </c>
      <c r="B33516" s="3" t="str">
        <f>"201510000758"</f>
        <v>201510000758</v>
      </c>
    </row>
    <row r="33517" spans="1:2" x14ac:dyDescent="0.25">
      <c r="A33517" s="2">
        <v>33512</v>
      </c>
      <c r="B33517" s="3" t="str">
        <f>"201510000766"</f>
        <v>201510000766</v>
      </c>
    </row>
    <row r="33518" spans="1:2" x14ac:dyDescent="0.25">
      <c r="A33518" s="2">
        <v>33513</v>
      </c>
      <c r="B33518" s="3" t="str">
        <f>"201510000782"</f>
        <v>201510000782</v>
      </c>
    </row>
    <row r="33519" spans="1:2" x14ac:dyDescent="0.25">
      <c r="A33519" s="2">
        <v>33514</v>
      </c>
      <c r="B33519" s="3" t="str">
        <f>"201510000812"</f>
        <v>201510000812</v>
      </c>
    </row>
    <row r="33520" spans="1:2" x14ac:dyDescent="0.25">
      <c r="A33520" s="2">
        <v>33515</v>
      </c>
      <c r="B33520" s="3" t="str">
        <f>"201510000825"</f>
        <v>201510000825</v>
      </c>
    </row>
    <row r="33521" spans="1:2" x14ac:dyDescent="0.25">
      <c r="A33521" s="2">
        <v>33516</v>
      </c>
      <c r="B33521" s="3" t="str">
        <f>"201510000864"</f>
        <v>201510000864</v>
      </c>
    </row>
    <row r="33522" spans="1:2" x14ac:dyDescent="0.25">
      <c r="A33522" s="2">
        <v>33517</v>
      </c>
      <c r="B33522" s="3" t="str">
        <f>"201510000885"</f>
        <v>201510000885</v>
      </c>
    </row>
    <row r="33523" spans="1:2" x14ac:dyDescent="0.25">
      <c r="A33523" s="2">
        <v>33518</v>
      </c>
      <c r="B33523" s="3" t="str">
        <f>"201510000889"</f>
        <v>201510000889</v>
      </c>
    </row>
    <row r="33524" spans="1:2" x14ac:dyDescent="0.25">
      <c r="A33524" s="2">
        <v>33519</v>
      </c>
      <c r="B33524" s="3" t="str">
        <f>"201510000928"</f>
        <v>201510000928</v>
      </c>
    </row>
    <row r="33525" spans="1:2" x14ac:dyDescent="0.25">
      <c r="A33525" s="2">
        <v>33520</v>
      </c>
      <c r="B33525" s="3" t="str">
        <f>"201510000950"</f>
        <v>201510000950</v>
      </c>
    </row>
    <row r="33526" spans="1:2" x14ac:dyDescent="0.25">
      <c r="A33526" s="2">
        <v>33521</v>
      </c>
      <c r="B33526" s="3" t="str">
        <f>"201510001007"</f>
        <v>201510001007</v>
      </c>
    </row>
    <row r="33527" spans="1:2" x14ac:dyDescent="0.25">
      <c r="A33527" s="2">
        <v>33522</v>
      </c>
      <c r="B33527" s="3" t="str">
        <f>"201510001037"</f>
        <v>201510001037</v>
      </c>
    </row>
    <row r="33528" spans="1:2" x14ac:dyDescent="0.25">
      <c r="A33528" s="2">
        <v>33523</v>
      </c>
      <c r="B33528" s="3" t="str">
        <f>"201510001045"</f>
        <v>201510001045</v>
      </c>
    </row>
    <row r="33529" spans="1:2" x14ac:dyDescent="0.25">
      <c r="A33529" s="2">
        <v>33524</v>
      </c>
      <c r="B33529" s="3" t="str">
        <f>"201510001057"</f>
        <v>201510001057</v>
      </c>
    </row>
    <row r="33530" spans="1:2" x14ac:dyDescent="0.25">
      <c r="A33530" s="2">
        <v>33525</v>
      </c>
      <c r="B33530" s="3" t="str">
        <f>"201510001059"</f>
        <v>201510001059</v>
      </c>
    </row>
    <row r="33531" spans="1:2" x14ac:dyDescent="0.25">
      <c r="A33531" s="2">
        <v>33526</v>
      </c>
      <c r="B33531" s="3" t="str">
        <f>"201510001120"</f>
        <v>201510001120</v>
      </c>
    </row>
    <row r="33532" spans="1:2" x14ac:dyDescent="0.25">
      <c r="A33532" s="2">
        <v>33527</v>
      </c>
      <c r="B33532" s="3" t="str">
        <f>"201510001132"</f>
        <v>201510001132</v>
      </c>
    </row>
    <row r="33533" spans="1:2" x14ac:dyDescent="0.25">
      <c r="A33533" s="2">
        <v>33528</v>
      </c>
      <c r="B33533" s="3" t="str">
        <f>"201510001142"</f>
        <v>201510001142</v>
      </c>
    </row>
    <row r="33534" spans="1:2" x14ac:dyDescent="0.25">
      <c r="A33534" s="2">
        <v>33529</v>
      </c>
      <c r="B33534" s="3" t="str">
        <f>"201510001244"</f>
        <v>201510001244</v>
      </c>
    </row>
    <row r="33535" spans="1:2" x14ac:dyDescent="0.25">
      <c r="A33535" s="2">
        <v>33530</v>
      </c>
      <c r="B33535" s="3" t="str">
        <f>"201510001255"</f>
        <v>201510001255</v>
      </c>
    </row>
    <row r="33536" spans="1:2" x14ac:dyDescent="0.25">
      <c r="A33536" s="2">
        <v>33531</v>
      </c>
      <c r="B33536" s="3" t="str">
        <f>"201510001294"</f>
        <v>201510001294</v>
      </c>
    </row>
    <row r="33537" spans="1:2" x14ac:dyDescent="0.25">
      <c r="A33537" s="2">
        <v>33532</v>
      </c>
      <c r="B33537" s="3" t="str">
        <f>"201510001311"</f>
        <v>201510001311</v>
      </c>
    </row>
    <row r="33538" spans="1:2" x14ac:dyDescent="0.25">
      <c r="A33538" s="2">
        <v>33533</v>
      </c>
      <c r="B33538" s="3" t="str">
        <f>"201510001348"</f>
        <v>201510001348</v>
      </c>
    </row>
    <row r="33539" spans="1:2" x14ac:dyDescent="0.25">
      <c r="A33539" s="2">
        <v>33534</v>
      </c>
      <c r="B33539" s="3" t="str">
        <f>"201510001352"</f>
        <v>201510001352</v>
      </c>
    </row>
    <row r="33540" spans="1:2" x14ac:dyDescent="0.25">
      <c r="A33540" s="2">
        <v>33535</v>
      </c>
      <c r="B33540" s="3" t="str">
        <f>"201510001365"</f>
        <v>201510001365</v>
      </c>
    </row>
    <row r="33541" spans="1:2" x14ac:dyDescent="0.25">
      <c r="A33541" s="2">
        <v>33536</v>
      </c>
      <c r="B33541" s="3" t="str">
        <f>"201510001383"</f>
        <v>201510001383</v>
      </c>
    </row>
    <row r="33542" spans="1:2" x14ac:dyDescent="0.25">
      <c r="A33542" s="2">
        <v>33537</v>
      </c>
      <c r="B33542" s="3" t="str">
        <f>"201510001461"</f>
        <v>201510001461</v>
      </c>
    </row>
    <row r="33543" spans="1:2" x14ac:dyDescent="0.25">
      <c r="A33543" s="2">
        <v>33538</v>
      </c>
      <c r="B33543" s="3" t="str">
        <f>"201510001486"</f>
        <v>201510001486</v>
      </c>
    </row>
    <row r="33544" spans="1:2" x14ac:dyDescent="0.25">
      <c r="A33544" s="2">
        <v>33539</v>
      </c>
      <c r="B33544" s="3" t="str">
        <f>"201510001496"</f>
        <v>201510001496</v>
      </c>
    </row>
    <row r="33545" spans="1:2" x14ac:dyDescent="0.25">
      <c r="A33545" s="2">
        <v>33540</v>
      </c>
      <c r="B33545" s="3" t="str">
        <f>"201510001571"</f>
        <v>201510001571</v>
      </c>
    </row>
    <row r="33546" spans="1:2" x14ac:dyDescent="0.25">
      <c r="A33546" s="2">
        <v>33541</v>
      </c>
      <c r="B33546" s="3" t="str">
        <f>"201510001589"</f>
        <v>201510001589</v>
      </c>
    </row>
    <row r="33547" spans="1:2" x14ac:dyDescent="0.25">
      <c r="A33547" s="2">
        <v>33542</v>
      </c>
      <c r="B33547" s="3" t="str">
        <f>"201510001617"</f>
        <v>201510001617</v>
      </c>
    </row>
    <row r="33548" spans="1:2" x14ac:dyDescent="0.25">
      <c r="A33548" s="2">
        <v>33543</v>
      </c>
      <c r="B33548" s="3" t="str">
        <f>"201510001639"</f>
        <v>201510001639</v>
      </c>
    </row>
    <row r="33549" spans="1:2" x14ac:dyDescent="0.25">
      <c r="A33549" s="2">
        <v>33544</v>
      </c>
      <c r="B33549" s="3" t="str">
        <f>"201510001664"</f>
        <v>201510001664</v>
      </c>
    </row>
    <row r="33550" spans="1:2" x14ac:dyDescent="0.25">
      <c r="A33550" s="2">
        <v>33545</v>
      </c>
      <c r="B33550" s="3" t="str">
        <f>"201510001675"</f>
        <v>201510001675</v>
      </c>
    </row>
    <row r="33551" spans="1:2" x14ac:dyDescent="0.25">
      <c r="A33551" s="2">
        <v>33546</v>
      </c>
      <c r="B33551" s="3" t="str">
        <f>"201510001715"</f>
        <v>201510001715</v>
      </c>
    </row>
    <row r="33552" spans="1:2" x14ac:dyDescent="0.25">
      <c r="A33552" s="2">
        <v>33547</v>
      </c>
      <c r="B33552" s="3" t="str">
        <f>"201510001728"</f>
        <v>201510001728</v>
      </c>
    </row>
    <row r="33553" spans="1:2" x14ac:dyDescent="0.25">
      <c r="A33553" s="2">
        <v>33548</v>
      </c>
      <c r="B33553" s="3" t="str">
        <f>"201510001750"</f>
        <v>201510001750</v>
      </c>
    </row>
    <row r="33554" spans="1:2" x14ac:dyDescent="0.25">
      <c r="A33554" s="2">
        <v>33549</v>
      </c>
      <c r="B33554" s="3" t="str">
        <f>"201510001761"</f>
        <v>201510001761</v>
      </c>
    </row>
    <row r="33555" spans="1:2" x14ac:dyDescent="0.25">
      <c r="A33555" s="2">
        <v>33550</v>
      </c>
      <c r="B33555" s="3" t="str">
        <f>"201510001808"</f>
        <v>201510001808</v>
      </c>
    </row>
    <row r="33556" spans="1:2" x14ac:dyDescent="0.25">
      <c r="A33556" s="2">
        <v>33551</v>
      </c>
      <c r="B33556" s="3" t="str">
        <f>"201510001812"</f>
        <v>201510001812</v>
      </c>
    </row>
    <row r="33557" spans="1:2" x14ac:dyDescent="0.25">
      <c r="A33557" s="2">
        <v>33552</v>
      </c>
      <c r="B33557" s="3" t="str">
        <f>"201510001851"</f>
        <v>201510001851</v>
      </c>
    </row>
    <row r="33558" spans="1:2" x14ac:dyDescent="0.25">
      <c r="A33558" s="2">
        <v>33553</v>
      </c>
      <c r="B33558" s="3" t="str">
        <f>"201510001855"</f>
        <v>201510001855</v>
      </c>
    </row>
    <row r="33559" spans="1:2" x14ac:dyDescent="0.25">
      <c r="A33559" s="2">
        <v>33554</v>
      </c>
      <c r="B33559" s="3" t="str">
        <f>"201510001883"</f>
        <v>201510001883</v>
      </c>
    </row>
    <row r="33560" spans="1:2" x14ac:dyDescent="0.25">
      <c r="A33560" s="2">
        <v>33555</v>
      </c>
      <c r="B33560" s="3" t="str">
        <f>"201510001909"</f>
        <v>201510001909</v>
      </c>
    </row>
    <row r="33561" spans="1:2" x14ac:dyDescent="0.25">
      <c r="A33561" s="2">
        <v>33556</v>
      </c>
      <c r="B33561" s="3" t="str">
        <f>"201510001947"</f>
        <v>201510001947</v>
      </c>
    </row>
    <row r="33562" spans="1:2" x14ac:dyDescent="0.25">
      <c r="A33562" s="2">
        <v>33557</v>
      </c>
      <c r="B33562" s="3" t="str">
        <f>"201510001961"</f>
        <v>201510001961</v>
      </c>
    </row>
    <row r="33563" spans="1:2" x14ac:dyDescent="0.25">
      <c r="A33563" s="2">
        <v>33558</v>
      </c>
      <c r="B33563" s="3" t="str">
        <f>"201510001979"</f>
        <v>201510001979</v>
      </c>
    </row>
    <row r="33564" spans="1:2" x14ac:dyDescent="0.25">
      <c r="A33564" s="2">
        <v>33559</v>
      </c>
      <c r="B33564" s="3" t="str">
        <f>"201510001988"</f>
        <v>201510001988</v>
      </c>
    </row>
    <row r="33565" spans="1:2" x14ac:dyDescent="0.25">
      <c r="A33565" s="2">
        <v>33560</v>
      </c>
      <c r="B33565" s="3" t="str">
        <f>"201510002017"</f>
        <v>201510002017</v>
      </c>
    </row>
    <row r="33566" spans="1:2" x14ac:dyDescent="0.25">
      <c r="A33566" s="2">
        <v>33561</v>
      </c>
      <c r="B33566" s="3" t="str">
        <f>"201510002056"</f>
        <v>201510002056</v>
      </c>
    </row>
    <row r="33567" spans="1:2" x14ac:dyDescent="0.25">
      <c r="A33567" s="2">
        <v>33562</v>
      </c>
      <c r="B33567" s="3" t="str">
        <f>"201510002063"</f>
        <v>201510002063</v>
      </c>
    </row>
    <row r="33568" spans="1:2" x14ac:dyDescent="0.25">
      <c r="A33568" s="2">
        <v>33563</v>
      </c>
      <c r="B33568" s="3" t="str">
        <f>"201510002128"</f>
        <v>201510002128</v>
      </c>
    </row>
    <row r="33569" spans="1:2" x14ac:dyDescent="0.25">
      <c r="A33569" s="2">
        <v>33564</v>
      </c>
      <c r="B33569" s="3" t="str">
        <f>"201510002160"</f>
        <v>201510002160</v>
      </c>
    </row>
    <row r="33570" spans="1:2" x14ac:dyDescent="0.25">
      <c r="A33570" s="2">
        <v>33565</v>
      </c>
      <c r="B33570" s="3" t="str">
        <f>"201510002187"</f>
        <v>201510002187</v>
      </c>
    </row>
    <row r="33571" spans="1:2" x14ac:dyDescent="0.25">
      <c r="A33571" s="2">
        <v>33566</v>
      </c>
      <c r="B33571" s="3" t="str">
        <f>"201510002193"</f>
        <v>201510002193</v>
      </c>
    </row>
    <row r="33572" spans="1:2" x14ac:dyDescent="0.25">
      <c r="A33572" s="2">
        <v>33567</v>
      </c>
      <c r="B33572" s="3" t="str">
        <f>"201510002195"</f>
        <v>201510002195</v>
      </c>
    </row>
    <row r="33573" spans="1:2" x14ac:dyDescent="0.25">
      <c r="A33573" s="2">
        <v>33568</v>
      </c>
      <c r="B33573" s="3" t="str">
        <f>"201510002218"</f>
        <v>201510002218</v>
      </c>
    </row>
    <row r="33574" spans="1:2" x14ac:dyDescent="0.25">
      <c r="A33574" s="2">
        <v>33569</v>
      </c>
      <c r="B33574" s="3" t="str">
        <f>"201510002273"</f>
        <v>201510002273</v>
      </c>
    </row>
    <row r="33575" spans="1:2" x14ac:dyDescent="0.25">
      <c r="A33575" s="2">
        <v>33570</v>
      </c>
      <c r="B33575" s="3" t="str">
        <f>"201510002309"</f>
        <v>201510002309</v>
      </c>
    </row>
    <row r="33576" spans="1:2" x14ac:dyDescent="0.25">
      <c r="A33576" s="2">
        <v>33571</v>
      </c>
      <c r="B33576" s="3" t="str">
        <f>"201510002315"</f>
        <v>201510002315</v>
      </c>
    </row>
    <row r="33577" spans="1:2" x14ac:dyDescent="0.25">
      <c r="A33577" s="2">
        <v>33572</v>
      </c>
      <c r="B33577" s="3" t="str">
        <f>"201510002326"</f>
        <v>201510002326</v>
      </c>
    </row>
    <row r="33578" spans="1:2" x14ac:dyDescent="0.25">
      <c r="A33578" s="2">
        <v>33573</v>
      </c>
      <c r="B33578" s="3" t="str">
        <f>"201510002362"</f>
        <v>201510002362</v>
      </c>
    </row>
    <row r="33579" spans="1:2" x14ac:dyDescent="0.25">
      <c r="A33579" s="2">
        <v>33574</v>
      </c>
      <c r="B33579" s="3" t="str">
        <f>"201510002404"</f>
        <v>201510002404</v>
      </c>
    </row>
    <row r="33580" spans="1:2" x14ac:dyDescent="0.25">
      <c r="A33580" s="2">
        <v>33575</v>
      </c>
      <c r="B33580" s="3" t="str">
        <f>"201510002405"</f>
        <v>201510002405</v>
      </c>
    </row>
    <row r="33581" spans="1:2" x14ac:dyDescent="0.25">
      <c r="A33581" s="2">
        <v>33576</v>
      </c>
      <c r="B33581" s="3" t="str">
        <f>"201510002433"</f>
        <v>201510002433</v>
      </c>
    </row>
    <row r="33582" spans="1:2" x14ac:dyDescent="0.25">
      <c r="A33582" s="2">
        <v>33577</v>
      </c>
      <c r="B33582" s="3" t="str">
        <f>"201510002503"</f>
        <v>201510002503</v>
      </c>
    </row>
    <row r="33583" spans="1:2" x14ac:dyDescent="0.25">
      <c r="A33583" s="2">
        <v>33578</v>
      </c>
      <c r="B33583" s="3" t="str">
        <f>"201510002551"</f>
        <v>201510002551</v>
      </c>
    </row>
    <row r="33584" spans="1:2" x14ac:dyDescent="0.25">
      <c r="A33584" s="2">
        <v>33579</v>
      </c>
      <c r="B33584" s="3" t="str">
        <f>"201510002566"</f>
        <v>201510002566</v>
      </c>
    </row>
    <row r="33585" spans="1:2" x14ac:dyDescent="0.25">
      <c r="A33585" s="2">
        <v>33580</v>
      </c>
      <c r="B33585" s="3" t="str">
        <f>"201510002578"</f>
        <v>201510002578</v>
      </c>
    </row>
    <row r="33586" spans="1:2" x14ac:dyDescent="0.25">
      <c r="A33586" s="2">
        <v>33581</v>
      </c>
      <c r="B33586" s="3" t="str">
        <f>"201510002655"</f>
        <v>201510002655</v>
      </c>
    </row>
    <row r="33587" spans="1:2" x14ac:dyDescent="0.25">
      <c r="A33587" s="2">
        <v>33582</v>
      </c>
      <c r="B33587" s="3" t="str">
        <f>"201510002663"</f>
        <v>201510002663</v>
      </c>
    </row>
    <row r="33588" spans="1:2" x14ac:dyDescent="0.25">
      <c r="A33588" s="2">
        <v>33583</v>
      </c>
      <c r="B33588" s="3" t="str">
        <f>"201510002681"</f>
        <v>201510002681</v>
      </c>
    </row>
    <row r="33589" spans="1:2" x14ac:dyDescent="0.25">
      <c r="A33589" s="2">
        <v>33584</v>
      </c>
      <c r="B33589" s="3" t="str">
        <f>"201510002714"</f>
        <v>201510002714</v>
      </c>
    </row>
    <row r="33590" spans="1:2" x14ac:dyDescent="0.25">
      <c r="A33590" s="2">
        <v>33585</v>
      </c>
      <c r="B33590" s="3" t="str">
        <f>"201510002748"</f>
        <v>201510002748</v>
      </c>
    </row>
    <row r="33591" spans="1:2" x14ac:dyDescent="0.25">
      <c r="A33591" s="2">
        <v>33586</v>
      </c>
      <c r="B33591" s="3" t="str">
        <f>"201510002776"</f>
        <v>201510002776</v>
      </c>
    </row>
    <row r="33592" spans="1:2" x14ac:dyDescent="0.25">
      <c r="A33592" s="2">
        <v>33587</v>
      </c>
      <c r="B33592" s="3" t="str">
        <f>"201510002854"</f>
        <v>201510002854</v>
      </c>
    </row>
    <row r="33593" spans="1:2" x14ac:dyDescent="0.25">
      <c r="A33593" s="2">
        <v>33588</v>
      </c>
      <c r="B33593" s="3" t="str">
        <f>"201510002883"</f>
        <v>201510002883</v>
      </c>
    </row>
    <row r="33594" spans="1:2" x14ac:dyDescent="0.25">
      <c r="A33594" s="2">
        <v>33589</v>
      </c>
      <c r="B33594" s="3" t="str">
        <f>"201510002968"</f>
        <v>201510002968</v>
      </c>
    </row>
    <row r="33595" spans="1:2" x14ac:dyDescent="0.25">
      <c r="A33595" s="2">
        <v>33590</v>
      </c>
      <c r="B33595" s="3" t="str">
        <f>"201510003066"</f>
        <v>201510003066</v>
      </c>
    </row>
    <row r="33596" spans="1:2" x14ac:dyDescent="0.25">
      <c r="A33596" s="2">
        <v>33591</v>
      </c>
      <c r="B33596" s="3" t="str">
        <f>"201510003076"</f>
        <v>201510003076</v>
      </c>
    </row>
    <row r="33597" spans="1:2" x14ac:dyDescent="0.25">
      <c r="A33597" s="2">
        <v>33592</v>
      </c>
      <c r="B33597" s="3" t="str">
        <f>"201510003134"</f>
        <v>201510003134</v>
      </c>
    </row>
    <row r="33598" spans="1:2" x14ac:dyDescent="0.25">
      <c r="A33598" s="2">
        <v>33593</v>
      </c>
      <c r="B33598" s="3" t="str">
        <f>"201510003213"</f>
        <v>201510003213</v>
      </c>
    </row>
    <row r="33599" spans="1:2" x14ac:dyDescent="0.25">
      <c r="A33599" s="2">
        <v>33594</v>
      </c>
      <c r="B33599" s="3" t="str">
        <f>"201510003233"</f>
        <v>201510003233</v>
      </c>
    </row>
    <row r="33600" spans="1:2" x14ac:dyDescent="0.25">
      <c r="A33600" s="2">
        <v>33595</v>
      </c>
      <c r="B33600" s="3" t="str">
        <f>"201510003314"</f>
        <v>201510003314</v>
      </c>
    </row>
    <row r="33601" spans="1:2" x14ac:dyDescent="0.25">
      <c r="A33601" s="2">
        <v>33596</v>
      </c>
      <c r="B33601" s="3" t="str">
        <f>"201510003340"</f>
        <v>201510003340</v>
      </c>
    </row>
    <row r="33602" spans="1:2" x14ac:dyDescent="0.25">
      <c r="A33602" s="2">
        <v>33597</v>
      </c>
      <c r="B33602" s="3" t="str">
        <f>"201510003380"</f>
        <v>201510003380</v>
      </c>
    </row>
    <row r="33603" spans="1:2" x14ac:dyDescent="0.25">
      <c r="A33603" s="2">
        <v>33598</v>
      </c>
      <c r="B33603" s="3" t="str">
        <f>"201510003443"</f>
        <v>201510003443</v>
      </c>
    </row>
    <row r="33604" spans="1:2" x14ac:dyDescent="0.25">
      <c r="A33604" s="2">
        <v>33599</v>
      </c>
      <c r="B33604" s="3" t="str">
        <f>"201510003471"</f>
        <v>201510003471</v>
      </c>
    </row>
    <row r="33605" spans="1:2" x14ac:dyDescent="0.25">
      <c r="A33605" s="2">
        <v>33600</v>
      </c>
      <c r="B33605" s="3" t="str">
        <f>"201510003475"</f>
        <v>201510003475</v>
      </c>
    </row>
    <row r="33606" spans="1:2" x14ac:dyDescent="0.25">
      <c r="A33606" s="2">
        <v>33601</v>
      </c>
      <c r="B33606" s="3" t="str">
        <f>"201510003486"</f>
        <v>201510003486</v>
      </c>
    </row>
    <row r="33607" spans="1:2" x14ac:dyDescent="0.25">
      <c r="A33607" s="2">
        <v>33602</v>
      </c>
      <c r="B33607" s="3" t="str">
        <f>"201510003502"</f>
        <v>201510003502</v>
      </c>
    </row>
    <row r="33608" spans="1:2" x14ac:dyDescent="0.25">
      <c r="A33608" s="2">
        <v>33603</v>
      </c>
      <c r="B33608" s="3" t="str">
        <f>"201510003517"</f>
        <v>201510003517</v>
      </c>
    </row>
    <row r="33609" spans="1:2" x14ac:dyDescent="0.25">
      <c r="A33609" s="2">
        <v>33604</v>
      </c>
      <c r="B33609" s="3" t="str">
        <f>"201510003530"</f>
        <v>201510003530</v>
      </c>
    </row>
    <row r="33610" spans="1:2" x14ac:dyDescent="0.25">
      <c r="A33610" s="2">
        <v>33605</v>
      </c>
      <c r="B33610" s="3" t="str">
        <f>"201510003541"</f>
        <v>201510003541</v>
      </c>
    </row>
    <row r="33611" spans="1:2" x14ac:dyDescent="0.25">
      <c r="A33611" s="2">
        <v>33606</v>
      </c>
      <c r="B33611" s="3" t="str">
        <f>"201510003546"</f>
        <v>201510003546</v>
      </c>
    </row>
    <row r="33612" spans="1:2" x14ac:dyDescent="0.25">
      <c r="A33612" s="2">
        <v>33607</v>
      </c>
      <c r="B33612" s="3" t="str">
        <f>"201510003602"</f>
        <v>201510003602</v>
      </c>
    </row>
    <row r="33613" spans="1:2" x14ac:dyDescent="0.25">
      <c r="A33613" s="2">
        <v>33608</v>
      </c>
      <c r="B33613" s="3" t="str">
        <f>"201510003610"</f>
        <v>201510003610</v>
      </c>
    </row>
    <row r="33614" spans="1:2" x14ac:dyDescent="0.25">
      <c r="A33614" s="2">
        <v>33609</v>
      </c>
      <c r="B33614" s="3" t="str">
        <f>"201510003615"</f>
        <v>201510003615</v>
      </c>
    </row>
    <row r="33615" spans="1:2" x14ac:dyDescent="0.25">
      <c r="A33615" s="2">
        <v>33610</v>
      </c>
      <c r="B33615" s="3" t="str">
        <f>"201510003618"</f>
        <v>201510003618</v>
      </c>
    </row>
    <row r="33616" spans="1:2" x14ac:dyDescent="0.25">
      <c r="A33616" s="2">
        <v>33611</v>
      </c>
      <c r="B33616" s="3" t="str">
        <f>"201510003701"</f>
        <v>201510003701</v>
      </c>
    </row>
    <row r="33617" spans="1:2" x14ac:dyDescent="0.25">
      <c r="A33617" s="2">
        <v>33612</v>
      </c>
      <c r="B33617" s="3" t="str">
        <f>"201510003719"</f>
        <v>201510003719</v>
      </c>
    </row>
    <row r="33618" spans="1:2" x14ac:dyDescent="0.25">
      <c r="A33618" s="2">
        <v>33613</v>
      </c>
      <c r="B33618" s="3" t="str">
        <f>"201510003721"</f>
        <v>201510003721</v>
      </c>
    </row>
    <row r="33619" spans="1:2" x14ac:dyDescent="0.25">
      <c r="A33619" s="2">
        <v>33614</v>
      </c>
      <c r="B33619" s="3" t="str">
        <f>"201510003789"</f>
        <v>201510003789</v>
      </c>
    </row>
    <row r="33620" spans="1:2" x14ac:dyDescent="0.25">
      <c r="A33620" s="2">
        <v>33615</v>
      </c>
      <c r="B33620" s="3" t="str">
        <f>"201510003810"</f>
        <v>201510003810</v>
      </c>
    </row>
    <row r="33621" spans="1:2" x14ac:dyDescent="0.25">
      <c r="A33621" s="2">
        <v>33616</v>
      </c>
      <c r="B33621" s="3" t="str">
        <f>"201510003907"</f>
        <v>201510003907</v>
      </c>
    </row>
    <row r="33622" spans="1:2" x14ac:dyDescent="0.25">
      <c r="A33622" s="2">
        <v>33617</v>
      </c>
      <c r="B33622" s="3" t="str">
        <f>"201510003970"</f>
        <v>201510003970</v>
      </c>
    </row>
    <row r="33623" spans="1:2" x14ac:dyDescent="0.25">
      <c r="A33623" s="2">
        <v>33618</v>
      </c>
      <c r="B33623" s="3" t="str">
        <f>"201510003973"</f>
        <v>201510003973</v>
      </c>
    </row>
    <row r="33624" spans="1:2" x14ac:dyDescent="0.25">
      <c r="A33624" s="2">
        <v>33619</v>
      </c>
      <c r="B33624" s="3" t="str">
        <f>"201510003988"</f>
        <v>201510003988</v>
      </c>
    </row>
    <row r="33625" spans="1:2" x14ac:dyDescent="0.25">
      <c r="A33625" s="2">
        <v>33620</v>
      </c>
      <c r="B33625" s="3" t="str">
        <f>"201510004038"</f>
        <v>201510004038</v>
      </c>
    </row>
    <row r="33626" spans="1:2" x14ac:dyDescent="0.25">
      <c r="A33626" s="2">
        <v>33621</v>
      </c>
      <c r="B33626" s="3" t="str">
        <f>"201510004090"</f>
        <v>201510004090</v>
      </c>
    </row>
    <row r="33627" spans="1:2" x14ac:dyDescent="0.25">
      <c r="A33627" s="2">
        <v>33622</v>
      </c>
      <c r="B33627" s="3" t="str">
        <f>"201510004113"</f>
        <v>201510004113</v>
      </c>
    </row>
    <row r="33628" spans="1:2" x14ac:dyDescent="0.25">
      <c r="A33628" s="2">
        <v>33623</v>
      </c>
      <c r="B33628" s="3" t="str">
        <f>"201510004116"</f>
        <v>201510004116</v>
      </c>
    </row>
    <row r="33629" spans="1:2" x14ac:dyDescent="0.25">
      <c r="A33629" s="2">
        <v>33624</v>
      </c>
      <c r="B33629" s="3" t="str">
        <f>"201510004155"</f>
        <v>201510004155</v>
      </c>
    </row>
    <row r="33630" spans="1:2" x14ac:dyDescent="0.25">
      <c r="A33630" s="2">
        <v>33625</v>
      </c>
      <c r="B33630" s="3" t="str">
        <f>"201510004167"</f>
        <v>201510004167</v>
      </c>
    </row>
    <row r="33631" spans="1:2" x14ac:dyDescent="0.25">
      <c r="A33631" s="2">
        <v>33626</v>
      </c>
      <c r="B33631" s="3" t="str">
        <f>"201510004195"</f>
        <v>201510004195</v>
      </c>
    </row>
    <row r="33632" spans="1:2" x14ac:dyDescent="0.25">
      <c r="A33632" s="2">
        <v>33627</v>
      </c>
      <c r="B33632" s="3" t="str">
        <f>"201510004198"</f>
        <v>201510004198</v>
      </c>
    </row>
    <row r="33633" spans="1:2" x14ac:dyDescent="0.25">
      <c r="A33633" s="2">
        <v>33628</v>
      </c>
      <c r="B33633" s="3" t="str">
        <f>"201510004199"</f>
        <v>201510004199</v>
      </c>
    </row>
    <row r="33634" spans="1:2" x14ac:dyDescent="0.25">
      <c r="A33634" s="2">
        <v>33629</v>
      </c>
      <c r="B33634" s="3" t="str">
        <f>"201510004249"</f>
        <v>201510004249</v>
      </c>
    </row>
    <row r="33635" spans="1:2" x14ac:dyDescent="0.25">
      <c r="A33635" s="2">
        <v>33630</v>
      </c>
      <c r="B33635" s="3" t="str">
        <f>"201510004262"</f>
        <v>201510004262</v>
      </c>
    </row>
    <row r="33636" spans="1:2" x14ac:dyDescent="0.25">
      <c r="A33636" s="2">
        <v>33631</v>
      </c>
      <c r="B33636" s="3" t="str">
        <f>"201510004273"</f>
        <v>201510004273</v>
      </c>
    </row>
    <row r="33637" spans="1:2" x14ac:dyDescent="0.25">
      <c r="A33637" s="2">
        <v>33632</v>
      </c>
      <c r="B33637" s="3" t="str">
        <f>"201510004336"</f>
        <v>201510004336</v>
      </c>
    </row>
    <row r="33638" spans="1:2" x14ac:dyDescent="0.25">
      <c r="A33638" s="2">
        <v>33633</v>
      </c>
      <c r="B33638" s="3" t="str">
        <f>"201510004344"</f>
        <v>201510004344</v>
      </c>
    </row>
    <row r="33639" spans="1:2" x14ac:dyDescent="0.25">
      <c r="A33639" s="2">
        <v>33634</v>
      </c>
      <c r="B33639" s="3" t="str">
        <f>"201510004422"</f>
        <v>201510004422</v>
      </c>
    </row>
    <row r="33640" spans="1:2" x14ac:dyDescent="0.25">
      <c r="A33640" s="2">
        <v>33635</v>
      </c>
      <c r="B33640" s="3" t="str">
        <f>"201510004425"</f>
        <v>201510004425</v>
      </c>
    </row>
    <row r="33641" spans="1:2" x14ac:dyDescent="0.25">
      <c r="A33641" s="2">
        <v>33636</v>
      </c>
      <c r="B33641" s="3" t="str">
        <f>"201510004458"</f>
        <v>201510004458</v>
      </c>
    </row>
    <row r="33642" spans="1:2" x14ac:dyDescent="0.25">
      <c r="A33642" s="2">
        <v>33637</v>
      </c>
      <c r="B33642" s="3" t="str">
        <f>"201510004487"</f>
        <v>201510004487</v>
      </c>
    </row>
    <row r="33643" spans="1:2" x14ac:dyDescent="0.25">
      <c r="A33643" s="2">
        <v>33638</v>
      </c>
      <c r="B33643" s="3" t="str">
        <f>"201510004518"</f>
        <v>201510004518</v>
      </c>
    </row>
    <row r="33644" spans="1:2" x14ac:dyDescent="0.25">
      <c r="A33644" s="2">
        <v>33639</v>
      </c>
      <c r="B33644" s="3" t="str">
        <f>"201510004538"</f>
        <v>201510004538</v>
      </c>
    </row>
    <row r="33645" spans="1:2" x14ac:dyDescent="0.25">
      <c r="A33645" s="2">
        <v>33640</v>
      </c>
      <c r="B33645" s="3" t="str">
        <f>"201510004539"</f>
        <v>201510004539</v>
      </c>
    </row>
    <row r="33646" spans="1:2" x14ac:dyDescent="0.25">
      <c r="A33646" s="2">
        <v>33641</v>
      </c>
      <c r="B33646" s="3" t="str">
        <f>"201510004543"</f>
        <v>201510004543</v>
      </c>
    </row>
    <row r="33647" spans="1:2" x14ac:dyDescent="0.25">
      <c r="A33647" s="2">
        <v>33642</v>
      </c>
      <c r="B33647" s="3" t="str">
        <f>"201510004564"</f>
        <v>201510004564</v>
      </c>
    </row>
    <row r="33648" spans="1:2" x14ac:dyDescent="0.25">
      <c r="A33648" s="2">
        <v>33643</v>
      </c>
      <c r="B33648" s="3" t="str">
        <f>"201510004576"</f>
        <v>201510004576</v>
      </c>
    </row>
    <row r="33649" spans="1:2" x14ac:dyDescent="0.25">
      <c r="A33649" s="2">
        <v>33644</v>
      </c>
      <c r="B33649" s="3" t="str">
        <f>"201510004609"</f>
        <v>201510004609</v>
      </c>
    </row>
    <row r="33650" spans="1:2" x14ac:dyDescent="0.25">
      <c r="A33650" s="2">
        <v>33645</v>
      </c>
      <c r="B33650" s="3" t="str">
        <f>"201510004618"</f>
        <v>201510004618</v>
      </c>
    </row>
    <row r="33651" spans="1:2" x14ac:dyDescent="0.25">
      <c r="A33651" s="2">
        <v>33646</v>
      </c>
      <c r="B33651" s="3" t="str">
        <f>"201510004645"</f>
        <v>201510004645</v>
      </c>
    </row>
    <row r="33652" spans="1:2" x14ac:dyDescent="0.25">
      <c r="A33652" s="2">
        <v>33647</v>
      </c>
      <c r="B33652" s="3" t="str">
        <f>"201510004656"</f>
        <v>201510004656</v>
      </c>
    </row>
    <row r="33653" spans="1:2" x14ac:dyDescent="0.25">
      <c r="A33653" s="2">
        <v>33648</v>
      </c>
      <c r="B33653" s="3" t="str">
        <f>"201510004659"</f>
        <v>201510004659</v>
      </c>
    </row>
    <row r="33654" spans="1:2" x14ac:dyDescent="0.25">
      <c r="A33654" s="2">
        <v>33649</v>
      </c>
      <c r="B33654" s="3" t="str">
        <f>"201510004688"</f>
        <v>201510004688</v>
      </c>
    </row>
    <row r="33655" spans="1:2" x14ac:dyDescent="0.25">
      <c r="A33655" s="2">
        <v>33650</v>
      </c>
      <c r="B33655" s="3" t="str">
        <f>"201510004764"</f>
        <v>201510004764</v>
      </c>
    </row>
    <row r="33656" spans="1:2" x14ac:dyDescent="0.25">
      <c r="A33656" s="2">
        <v>33651</v>
      </c>
      <c r="B33656" s="3" t="str">
        <f>"201510004769"</f>
        <v>201510004769</v>
      </c>
    </row>
    <row r="33657" spans="1:2" x14ac:dyDescent="0.25">
      <c r="A33657" s="2">
        <v>33652</v>
      </c>
      <c r="B33657" s="3" t="str">
        <f>"201510004775"</f>
        <v>201510004775</v>
      </c>
    </row>
    <row r="33658" spans="1:2" x14ac:dyDescent="0.25">
      <c r="A33658" s="2">
        <v>33653</v>
      </c>
      <c r="B33658" s="3" t="str">
        <f>"201510004780"</f>
        <v>201510004780</v>
      </c>
    </row>
    <row r="33659" spans="1:2" x14ac:dyDescent="0.25">
      <c r="A33659" s="2">
        <v>33654</v>
      </c>
      <c r="B33659" s="3" t="str">
        <f>"201510004802"</f>
        <v>201510004802</v>
      </c>
    </row>
    <row r="33660" spans="1:2" x14ac:dyDescent="0.25">
      <c r="A33660" s="2">
        <v>33655</v>
      </c>
      <c r="B33660" s="3" t="str">
        <f>"201510004813"</f>
        <v>201510004813</v>
      </c>
    </row>
    <row r="33661" spans="1:2" x14ac:dyDescent="0.25">
      <c r="A33661" s="2">
        <v>33656</v>
      </c>
      <c r="B33661" s="3" t="str">
        <f>"201510004827"</f>
        <v>201510004827</v>
      </c>
    </row>
    <row r="33662" spans="1:2" x14ac:dyDescent="0.25">
      <c r="A33662" s="2">
        <v>33657</v>
      </c>
      <c r="B33662" s="3" t="str">
        <f>"201510004836"</f>
        <v>201510004836</v>
      </c>
    </row>
    <row r="33663" spans="1:2" x14ac:dyDescent="0.25">
      <c r="A33663" s="2">
        <v>33658</v>
      </c>
      <c r="B33663" s="3" t="str">
        <f>"201510004840"</f>
        <v>201510004840</v>
      </c>
    </row>
    <row r="33664" spans="1:2" x14ac:dyDescent="0.25">
      <c r="A33664" s="2">
        <v>33659</v>
      </c>
      <c r="B33664" s="3" t="str">
        <f>"201510004865"</f>
        <v>201510004865</v>
      </c>
    </row>
    <row r="33665" spans="1:2" x14ac:dyDescent="0.25">
      <c r="A33665" s="2">
        <v>33660</v>
      </c>
      <c r="B33665" s="3" t="str">
        <f>"201510004878"</f>
        <v>201510004878</v>
      </c>
    </row>
    <row r="33666" spans="1:2" x14ac:dyDescent="0.25">
      <c r="A33666" s="2">
        <v>33661</v>
      </c>
      <c r="B33666" s="3" t="str">
        <f>"201510004895"</f>
        <v>201510004895</v>
      </c>
    </row>
    <row r="33667" spans="1:2" x14ac:dyDescent="0.25">
      <c r="A33667" s="2">
        <v>33662</v>
      </c>
      <c r="B33667" s="3" t="str">
        <f>"201510004969"</f>
        <v>201510004969</v>
      </c>
    </row>
    <row r="33668" spans="1:2" x14ac:dyDescent="0.25">
      <c r="A33668" s="2">
        <v>33663</v>
      </c>
      <c r="B33668" s="3" t="str">
        <f>"201510005061"</f>
        <v>201510005061</v>
      </c>
    </row>
    <row r="33669" spans="1:2" x14ac:dyDescent="0.25">
      <c r="A33669" s="2">
        <v>33664</v>
      </c>
      <c r="B33669" s="3" t="str">
        <f>"201510005065"</f>
        <v>201510005065</v>
      </c>
    </row>
    <row r="33670" spans="1:2" x14ac:dyDescent="0.25">
      <c r="A33670" s="2">
        <v>33665</v>
      </c>
      <c r="B33670" s="3" t="str">
        <f>"201510005081"</f>
        <v>201510005081</v>
      </c>
    </row>
    <row r="33671" spans="1:2" x14ac:dyDescent="0.25">
      <c r="A33671" s="2">
        <v>33666</v>
      </c>
      <c r="B33671" s="3" t="str">
        <f>"201510005088"</f>
        <v>201510005088</v>
      </c>
    </row>
    <row r="33672" spans="1:2" x14ac:dyDescent="0.25">
      <c r="A33672" s="2">
        <v>33667</v>
      </c>
      <c r="B33672" s="3" t="str">
        <f>"201510005099"</f>
        <v>201510005099</v>
      </c>
    </row>
    <row r="33673" spans="1:2" x14ac:dyDescent="0.25">
      <c r="A33673" s="2">
        <v>33668</v>
      </c>
      <c r="B33673" s="3" t="str">
        <f>"201510005110"</f>
        <v>201510005110</v>
      </c>
    </row>
    <row r="33674" spans="1:2" x14ac:dyDescent="0.25">
      <c r="A33674" s="2">
        <v>33669</v>
      </c>
      <c r="B33674" s="3" t="str">
        <f>"201510005113"</f>
        <v>201510005113</v>
      </c>
    </row>
    <row r="33675" spans="1:2" x14ac:dyDescent="0.25">
      <c r="A33675" s="2">
        <v>33670</v>
      </c>
      <c r="B33675" s="3" t="str">
        <f>"201510005139"</f>
        <v>201510005139</v>
      </c>
    </row>
    <row r="33676" spans="1:2" x14ac:dyDescent="0.25">
      <c r="A33676" s="2">
        <v>33671</v>
      </c>
      <c r="B33676" s="3" t="str">
        <f>"201511000005"</f>
        <v>201511000005</v>
      </c>
    </row>
    <row r="33677" spans="1:2" x14ac:dyDescent="0.25">
      <c r="A33677" s="2">
        <v>33672</v>
      </c>
      <c r="B33677" s="3" t="str">
        <f>"201511000014"</f>
        <v>201511000014</v>
      </c>
    </row>
    <row r="33678" spans="1:2" x14ac:dyDescent="0.25">
      <c r="A33678" s="2">
        <v>33673</v>
      </c>
      <c r="B33678" s="3" t="str">
        <f>"201511000047"</f>
        <v>201511000047</v>
      </c>
    </row>
    <row r="33679" spans="1:2" x14ac:dyDescent="0.25">
      <c r="A33679" s="2">
        <v>33674</v>
      </c>
      <c r="B33679" s="3" t="str">
        <f>"201511004406"</f>
        <v>201511004406</v>
      </c>
    </row>
    <row r="33680" spans="1:2" x14ac:dyDescent="0.25">
      <c r="A33680" s="2">
        <v>33675</v>
      </c>
      <c r="B33680" s="3" t="str">
        <f>"201511004474"</f>
        <v>201511004474</v>
      </c>
    </row>
    <row r="33681" spans="1:2" x14ac:dyDescent="0.25">
      <c r="A33681" s="2">
        <v>33676</v>
      </c>
      <c r="B33681" s="3" t="str">
        <f>"201511004490"</f>
        <v>201511004490</v>
      </c>
    </row>
    <row r="33682" spans="1:2" x14ac:dyDescent="0.25">
      <c r="A33682" s="2">
        <v>33677</v>
      </c>
      <c r="B33682" s="3" t="str">
        <f>"201511004496"</f>
        <v>201511004496</v>
      </c>
    </row>
    <row r="33683" spans="1:2" x14ac:dyDescent="0.25">
      <c r="A33683" s="2">
        <v>33678</v>
      </c>
      <c r="B33683" s="3" t="str">
        <f>"201511004518"</f>
        <v>201511004518</v>
      </c>
    </row>
    <row r="33684" spans="1:2" x14ac:dyDescent="0.25">
      <c r="A33684" s="2">
        <v>33679</v>
      </c>
      <c r="B33684" s="3" t="str">
        <f>"201511004672"</f>
        <v>201511004672</v>
      </c>
    </row>
    <row r="33685" spans="1:2" x14ac:dyDescent="0.25">
      <c r="A33685" s="2">
        <v>33680</v>
      </c>
      <c r="B33685" s="3" t="str">
        <f>"201511004683"</f>
        <v>201511004683</v>
      </c>
    </row>
    <row r="33686" spans="1:2" x14ac:dyDescent="0.25">
      <c r="A33686" s="2">
        <v>33681</v>
      </c>
      <c r="B33686" s="3" t="str">
        <f>"201511004694"</f>
        <v>201511004694</v>
      </c>
    </row>
    <row r="33687" spans="1:2" x14ac:dyDescent="0.25">
      <c r="A33687" s="2">
        <v>33682</v>
      </c>
      <c r="B33687" s="3" t="str">
        <f>"201511004719"</f>
        <v>201511004719</v>
      </c>
    </row>
    <row r="33688" spans="1:2" x14ac:dyDescent="0.25">
      <c r="A33688" s="2">
        <v>33683</v>
      </c>
      <c r="B33688" s="3" t="str">
        <f>"201511004724"</f>
        <v>201511004724</v>
      </c>
    </row>
    <row r="33689" spans="1:2" x14ac:dyDescent="0.25">
      <c r="A33689" s="2">
        <v>33684</v>
      </c>
      <c r="B33689" s="3" t="str">
        <f>"201511004812"</f>
        <v>201511004812</v>
      </c>
    </row>
    <row r="33690" spans="1:2" x14ac:dyDescent="0.25">
      <c r="A33690" s="2">
        <v>33685</v>
      </c>
      <c r="B33690" s="3" t="str">
        <f>"201511004831"</f>
        <v>201511004831</v>
      </c>
    </row>
    <row r="33691" spans="1:2" x14ac:dyDescent="0.25">
      <c r="A33691" s="2">
        <v>33686</v>
      </c>
      <c r="B33691" s="3" t="str">
        <f>"201511004834"</f>
        <v>201511004834</v>
      </c>
    </row>
    <row r="33692" spans="1:2" x14ac:dyDescent="0.25">
      <c r="A33692" s="2">
        <v>33687</v>
      </c>
      <c r="B33692" s="3" t="str">
        <f>"201511004844"</f>
        <v>201511004844</v>
      </c>
    </row>
    <row r="33693" spans="1:2" x14ac:dyDescent="0.25">
      <c r="A33693" s="2">
        <v>33688</v>
      </c>
      <c r="B33693" s="3" t="str">
        <f>"201511004863"</f>
        <v>201511004863</v>
      </c>
    </row>
    <row r="33694" spans="1:2" x14ac:dyDescent="0.25">
      <c r="A33694" s="2">
        <v>33689</v>
      </c>
      <c r="B33694" s="3" t="str">
        <f>"201511004870"</f>
        <v>201511004870</v>
      </c>
    </row>
    <row r="33695" spans="1:2" x14ac:dyDescent="0.25">
      <c r="A33695" s="2">
        <v>33690</v>
      </c>
      <c r="B33695" s="3" t="str">
        <f>"201511004872"</f>
        <v>201511004872</v>
      </c>
    </row>
    <row r="33696" spans="1:2" x14ac:dyDescent="0.25">
      <c r="A33696" s="2">
        <v>33691</v>
      </c>
      <c r="B33696" s="3" t="str">
        <f>"201511004891"</f>
        <v>201511004891</v>
      </c>
    </row>
    <row r="33697" spans="1:2" x14ac:dyDescent="0.25">
      <c r="A33697" s="2">
        <v>33692</v>
      </c>
      <c r="B33697" s="3" t="str">
        <f>"201511004901"</f>
        <v>201511004901</v>
      </c>
    </row>
    <row r="33698" spans="1:2" x14ac:dyDescent="0.25">
      <c r="A33698" s="2">
        <v>33693</v>
      </c>
      <c r="B33698" s="3" t="str">
        <f>"201511004910"</f>
        <v>201511004910</v>
      </c>
    </row>
    <row r="33699" spans="1:2" x14ac:dyDescent="0.25">
      <c r="A33699" s="2">
        <v>33694</v>
      </c>
      <c r="B33699" s="3" t="str">
        <f>"201511004933"</f>
        <v>201511004933</v>
      </c>
    </row>
    <row r="33700" spans="1:2" x14ac:dyDescent="0.25">
      <c r="A33700" s="2">
        <v>33695</v>
      </c>
      <c r="B33700" s="3" t="str">
        <f>"201511004942"</f>
        <v>201511004942</v>
      </c>
    </row>
    <row r="33701" spans="1:2" x14ac:dyDescent="0.25">
      <c r="A33701" s="2">
        <v>33696</v>
      </c>
      <c r="B33701" s="3" t="str">
        <f>"201511004963"</f>
        <v>201511004963</v>
      </c>
    </row>
    <row r="33702" spans="1:2" x14ac:dyDescent="0.25">
      <c r="A33702" s="2">
        <v>33697</v>
      </c>
      <c r="B33702" s="3" t="str">
        <f>"201511004965"</f>
        <v>201511004965</v>
      </c>
    </row>
    <row r="33703" spans="1:2" x14ac:dyDescent="0.25">
      <c r="A33703" s="2">
        <v>33698</v>
      </c>
      <c r="B33703" s="3" t="str">
        <f>"201511004969"</f>
        <v>201511004969</v>
      </c>
    </row>
    <row r="33704" spans="1:2" x14ac:dyDescent="0.25">
      <c r="A33704" s="2">
        <v>33699</v>
      </c>
      <c r="B33704" s="3" t="str">
        <f>"201511004993"</f>
        <v>201511004993</v>
      </c>
    </row>
    <row r="33705" spans="1:2" x14ac:dyDescent="0.25">
      <c r="A33705" s="2">
        <v>33700</v>
      </c>
      <c r="B33705" s="3" t="str">
        <f>"201511005017"</f>
        <v>201511005017</v>
      </c>
    </row>
    <row r="33706" spans="1:2" x14ac:dyDescent="0.25">
      <c r="A33706" s="2">
        <v>33701</v>
      </c>
      <c r="B33706" s="3" t="str">
        <f>"201511005050"</f>
        <v>201511005050</v>
      </c>
    </row>
    <row r="33707" spans="1:2" x14ac:dyDescent="0.25">
      <c r="A33707" s="2">
        <v>33702</v>
      </c>
      <c r="B33707" s="3" t="str">
        <f>"201511005058"</f>
        <v>201511005058</v>
      </c>
    </row>
    <row r="33708" spans="1:2" x14ac:dyDescent="0.25">
      <c r="A33708" s="2">
        <v>33703</v>
      </c>
      <c r="B33708" s="3" t="str">
        <f>"201511005062"</f>
        <v>201511005062</v>
      </c>
    </row>
    <row r="33709" spans="1:2" x14ac:dyDescent="0.25">
      <c r="A33709" s="2">
        <v>33704</v>
      </c>
      <c r="B33709" s="3" t="str">
        <f>"201511005077"</f>
        <v>201511005077</v>
      </c>
    </row>
    <row r="33710" spans="1:2" x14ac:dyDescent="0.25">
      <c r="A33710" s="2">
        <v>33705</v>
      </c>
      <c r="B33710" s="3" t="str">
        <f>"201511005135"</f>
        <v>201511005135</v>
      </c>
    </row>
    <row r="33711" spans="1:2" x14ac:dyDescent="0.25">
      <c r="A33711" s="2">
        <v>33706</v>
      </c>
      <c r="B33711" s="3" t="str">
        <f>"201511005161"</f>
        <v>201511005161</v>
      </c>
    </row>
    <row r="33712" spans="1:2" x14ac:dyDescent="0.25">
      <c r="A33712" s="2">
        <v>33707</v>
      </c>
      <c r="B33712" s="3" t="str">
        <f>"201511005172"</f>
        <v>201511005172</v>
      </c>
    </row>
    <row r="33713" spans="1:2" x14ac:dyDescent="0.25">
      <c r="A33713" s="2">
        <v>33708</v>
      </c>
      <c r="B33713" s="3" t="str">
        <f>"201511005191"</f>
        <v>201511005191</v>
      </c>
    </row>
    <row r="33714" spans="1:2" x14ac:dyDescent="0.25">
      <c r="A33714" s="2">
        <v>33709</v>
      </c>
      <c r="B33714" s="3" t="str">
        <f>"201511005208"</f>
        <v>201511005208</v>
      </c>
    </row>
    <row r="33715" spans="1:2" x14ac:dyDescent="0.25">
      <c r="A33715" s="2">
        <v>33710</v>
      </c>
      <c r="B33715" s="3" t="str">
        <f>"201511005209"</f>
        <v>201511005209</v>
      </c>
    </row>
    <row r="33716" spans="1:2" x14ac:dyDescent="0.25">
      <c r="A33716" s="2">
        <v>33711</v>
      </c>
      <c r="B33716" s="3" t="str">
        <f>"201511005223"</f>
        <v>201511005223</v>
      </c>
    </row>
    <row r="33717" spans="1:2" x14ac:dyDescent="0.25">
      <c r="A33717" s="2">
        <v>33712</v>
      </c>
      <c r="B33717" s="3" t="str">
        <f>"201511005228"</f>
        <v>201511005228</v>
      </c>
    </row>
    <row r="33718" spans="1:2" x14ac:dyDescent="0.25">
      <c r="A33718" s="2">
        <v>33713</v>
      </c>
      <c r="B33718" s="3" t="str">
        <f>"201511005235"</f>
        <v>201511005235</v>
      </c>
    </row>
    <row r="33719" spans="1:2" x14ac:dyDescent="0.25">
      <c r="A33719" s="2">
        <v>33714</v>
      </c>
      <c r="B33719" s="3" t="str">
        <f>"201511005236"</f>
        <v>201511005236</v>
      </c>
    </row>
    <row r="33720" spans="1:2" x14ac:dyDescent="0.25">
      <c r="A33720" s="2">
        <v>33715</v>
      </c>
      <c r="B33720" s="3" t="str">
        <f>"201511005239"</f>
        <v>201511005239</v>
      </c>
    </row>
    <row r="33721" spans="1:2" x14ac:dyDescent="0.25">
      <c r="A33721" s="2">
        <v>33716</v>
      </c>
      <c r="B33721" s="3" t="str">
        <f>"201511005305"</f>
        <v>201511005305</v>
      </c>
    </row>
    <row r="33722" spans="1:2" x14ac:dyDescent="0.25">
      <c r="A33722" s="2">
        <v>33717</v>
      </c>
      <c r="B33722" s="3" t="str">
        <f>"201511005322"</f>
        <v>201511005322</v>
      </c>
    </row>
    <row r="33723" spans="1:2" x14ac:dyDescent="0.25">
      <c r="A33723" s="2">
        <v>33718</v>
      </c>
      <c r="B33723" s="3" t="str">
        <f>"201511005331"</f>
        <v>201511005331</v>
      </c>
    </row>
    <row r="33724" spans="1:2" x14ac:dyDescent="0.25">
      <c r="A33724" s="2">
        <v>33719</v>
      </c>
      <c r="B33724" s="3" t="str">
        <f>"201511005359"</f>
        <v>201511005359</v>
      </c>
    </row>
    <row r="33725" spans="1:2" x14ac:dyDescent="0.25">
      <c r="A33725" s="2">
        <v>33720</v>
      </c>
      <c r="B33725" s="3" t="str">
        <f>"201511005360"</f>
        <v>201511005360</v>
      </c>
    </row>
    <row r="33726" spans="1:2" x14ac:dyDescent="0.25">
      <c r="A33726" s="2">
        <v>33721</v>
      </c>
      <c r="B33726" s="3" t="str">
        <f>"201511005468"</f>
        <v>201511005468</v>
      </c>
    </row>
    <row r="33727" spans="1:2" x14ac:dyDescent="0.25">
      <c r="A33727" s="2">
        <v>33722</v>
      </c>
      <c r="B33727" s="3" t="str">
        <f>"201511005571"</f>
        <v>201511005571</v>
      </c>
    </row>
    <row r="33728" spans="1:2" x14ac:dyDescent="0.25">
      <c r="A33728" s="2">
        <v>33723</v>
      </c>
      <c r="B33728" s="3" t="str">
        <f>"201511005574"</f>
        <v>201511005574</v>
      </c>
    </row>
    <row r="33729" spans="1:2" x14ac:dyDescent="0.25">
      <c r="A33729" s="2">
        <v>33724</v>
      </c>
      <c r="B33729" s="3" t="str">
        <f>"201511005575"</f>
        <v>201511005575</v>
      </c>
    </row>
    <row r="33730" spans="1:2" x14ac:dyDescent="0.25">
      <c r="A33730" s="2">
        <v>33725</v>
      </c>
      <c r="B33730" s="3" t="str">
        <f>"201511005598"</f>
        <v>201511005598</v>
      </c>
    </row>
    <row r="33731" spans="1:2" x14ac:dyDescent="0.25">
      <c r="A33731" s="2">
        <v>33726</v>
      </c>
      <c r="B33731" s="3" t="str">
        <f>"201511005617"</f>
        <v>201511005617</v>
      </c>
    </row>
    <row r="33732" spans="1:2" x14ac:dyDescent="0.25">
      <c r="A33732" s="2">
        <v>33727</v>
      </c>
      <c r="B33732" s="3" t="str">
        <f>"201511005646"</f>
        <v>201511005646</v>
      </c>
    </row>
    <row r="33733" spans="1:2" x14ac:dyDescent="0.25">
      <c r="A33733" s="2">
        <v>33728</v>
      </c>
      <c r="B33733" s="3" t="str">
        <f>"201511005676"</f>
        <v>201511005676</v>
      </c>
    </row>
    <row r="33734" spans="1:2" x14ac:dyDescent="0.25">
      <c r="A33734" s="2">
        <v>33729</v>
      </c>
      <c r="B33734" s="3" t="str">
        <f>"201511005680"</f>
        <v>201511005680</v>
      </c>
    </row>
    <row r="33735" spans="1:2" x14ac:dyDescent="0.25">
      <c r="A33735" s="2">
        <v>33730</v>
      </c>
      <c r="B33735" s="3" t="str">
        <f>"201511005687"</f>
        <v>201511005687</v>
      </c>
    </row>
    <row r="33736" spans="1:2" x14ac:dyDescent="0.25">
      <c r="A33736" s="2">
        <v>33731</v>
      </c>
      <c r="B33736" s="3" t="str">
        <f>"201511005707"</f>
        <v>201511005707</v>
      </c>
    </row>
    <row r="33737" spans="1:2" x14ac:dyDescent="0.25">
      <c r="A33737" s="2">
        <v>33732</v>
      </c>
      <c r="B33737" s="3" t="str">
        <f>"201511005746"</f>
        <v>201511005746</v>
      </c>
    </row>
    <row r="33738" spans="1:2" x14ac:dyDescent="0.25">
      <c r="A33738" s="2">
        <v>33733</v>
      </c>
      <c r="B33738" s="3" t="str">
        <f>"201511005755"</f>
        <v>201511005755</v>
      </c>
    </row>
    <row r="33739" spans="1:2" x14ac:dyDescent="0.25">
      <c r="A33739" s="2">
        <v>33734</v>
      </c>
      <c r="B33739" s="3" t="str">
        <f>"201511005790"</f>
        <v>201511005790</v>
      </c>
    </row>
    <row r="33740" spans="1:2" x14ac:dyDescent="0.25">
      <c r="A33740" s="2">
        <v>33735</v>
      </c>
      <c r="B33740" s="3" t="str">
        <f>"201511005795"</f>
        <v>201511005795</v>
      </c>
    </row>
    <row r="33741" spans="1:2" x14ac:dyDescent="0.25">
      <c r="A33741" s="2">
        <v>33736</v>
      </c>
      <c r="B33741" s="3" t="str">
        <f>"201511005835"</f>
        <v>201511005835</v>
      </c>
    </row>
    <row r="33742" spans="1:2" x14ac:dyDescent="0.25">
      <c r="A33742" s="2">
        <v>33737</v>
      </c>
      <c r="B33742" s="3" t="str">
        <f>"201511005911"</f>
        <v>201511005911</v>
      </c>
    </row>
    <row r="33743" spans="1:2" x14ac:dyDescent="0.25">
      <c r="A33743" s="2">
        <v>33738</v>
      </c>
      <c r="B33743" s="3" t="str">
        <f>"201511005929"</f>
        <v>201511005929</v>
      </c>
    </row>
    <row r="33744" spans="1:2" x14ac:dyDescent="0.25">
      <c r="A33744" s="2">
        <v>33739</v>
      </c>
      <c r="B33744" s="3" t="str">
        <f>"201511005958"</f>
        <v>201511005958</v>
      </c>
    </row>
    <row r="33745" spans="1:2" x14ac:dyDescent="0.25">
      <c r="A33745" s="2">
        <v>33740</v>
      </c>
      <c r="B33745" s="3" t="str">
        <f>"201511005964"</f>
        <v>201511005964</v>
      </c>
    </row>
    <row r="33746" spans="1:2" x14ac:dyDescent="0.25">
      <c r="A33746" s="2">
        <v>33741</v>
      </c>
      <c r="B33746" s="3" t="str">
        <f>"201511005975"</f>
        <v>201511005975</v>
      </c>
    </row>
    <row r="33747" spans="1:2" x14ac:dyDescent="0.25">
      <c r="A33747" s="2">
        <v>33742</v>
      </c>
      <c r="B33747" s="3" t="str">
        <f>"201511005991"</f>
        <v>201511005991</v>
      </c>
    </row>
    <row r="33748" spans="1:2" x14ac:dyDescent="0.25">
      <c r="A33748" s="2">
        <v>33743</v>
      </c>
      <c r="B33748" s="3" t="str">
        <f>"201511006012"</f>
        <v>201511006012</v>
      </c>
    </row>
    <row r="33749" spans="1:2" x14ac:dyDescent="0.25">
      <c r="A33749" s="2">
        <v>33744</v>
      </c>
      <c r="B33749" s="3" t="str">
        <f>"201511006129"</f>
        <v>201511006129</v>
      </c>
    </row>
    <row r="33750" spans="1:2" x14ac:dyDescent="0.25">
      <c r="A33750" s="2">
        <v>33745</v>
      </c>
      <c r="B33750" s="3" t="str">
        <f>"201511006164"</f>
        <v>201511006164</v>
      </c>
    </row>
    <row r="33751" spans="1:2" x14ac:dyDescent="0.25">
      <c r="A33751" s="2">
        <v>33746</v>
      </c>
      <c r="B33751" s="3" t="str">
        <f>"201511006173"</f>
        <v>201511006173</v>
      </c>
    </row>
    <row r="33752" spans="1:2" x14ac:dyDescent="0.25">
      <c r="A33752" s="2">
        <v>33747</v>
      </c>
      <c r="B33752" s="3" t="str">
        <f>"201511006206"</f>
        <v>201511006206</v>
      </c>
    </row>
    <row r="33753" spans="1:2" x14ac:dyDescent="0.25">
      <c r="A33753" s="2">
        <v>33748</v>
      </c>
      <c r="B33753" s="3" t="str">
        <f>"201511006227"</f>
        <v>201511006227</v>
      </c>
    </row>
    <row r="33754" spans="1:2" x14ac:dyDescent="0.25">
      <c r="A33754" s="2">
        <v>33749</v>
      </c>
      <c r="B33754" s="3" t="str">
        <f>"201511006260"</f>
        <v>201511006260</v>
      </c>
    </row>
    <row r="33755" spans="1:2" x14ac:dyDescent="0.25">
      <c r="A33755" s="2">
        <v>33750</v>
      </c>
      <c r="B33755" s="3" t="str">
        <f>"201511006282"</f>
        <v>201511006282</v>
      </c>
    </row>
    <row r="33756" spans="1:2" x14ac:dyDescent="0.25">
      <c r="A33756" s="2">
        <v>33751</v>
      </c>
      <c r="B33756" s="3" t="str">
        <f>"201511006306"</f>
        <v>201511006306</v>
      </c>
    </row>
    <row r="33757" spans="1:2" x14ac:dyDescent="0.25">
      <c r="A33757" s="2">
        <v>33752</v>
      </c>
      <c r="B33757" s="3" t="str">
        <f>"201511006327"</f>
        <v>201511006327</v>
      </c>
    </row>
    <row r="33758" spans="1:2" x14ac:dyDescent="0.25">
      <c r="A33758" s="2">
        <v>33753</v>
      </c>
      <c r="B33758" s="3" t="str">
        <f>"201511006331"</f>
        <v>201511006331</v>
      </c>
    </row>
    <row r="33759" spans="1:2" x14ac:dyDescent="0.25">
      <c r="A33759" s="2">
        <v>33754</v>
      </c>
      <c r="B33759" s="3" t="str">
        <f>"201511006342"</f>
        <v>201511006342</v>
      </c>
    </row>
    <row r="33760" spans="1:2" x14ac:dyDescent="0.25">
      <c r="A33760" s="2">
        <v>33755</v>
      </c>
      <c r="B33760" s="3" t="str">
        <f>"201511006374"</f>
        <v>201511006374</v>
      </c>
    </row>
    <row r="33761" spans="1:2" x14ac:dyDescent="0.25">
      <c r="A33761" s="2">
        <v>33756</v>
      </c>
      <c r="B33761" s="3" t="str">
        <f>"201511006391"</f>
        <v>201511006391</v>
      </c>
    </row>
    <row r="33762" spans="1:2" x14ac:dyDescent="0.25">
      <c r="A33762" s="2">
        <v>33757</v>
      </c>
      <c r="B33762" s="3" t="str">
        <f>"201511006451"</f>
        <v>201511006451</v>
      </c>
    </row>
    <row r="33763" spans="1:2" x14ac:dyDescent="0.25">
      <c r="A33763" s="2">
        <v>33758</v>
      </c>
      <c r="B33763" s="3" t="str">
        <f>"201511006457"</f>
        <v>201511006457</v>
      </c>
    </row>
    <row r="33764" spans="1:2" x14ac:dyDescent="0.25">
      <c r="A33764" s="2">
        <v>33759</v>
      </c>
      <c r="B33764" s="3" t="str">
        <f>"201511006464"</f>
        <v>201511006464</v>
      </c>
    </row>
    <row r="33765" spans="1:2" x14ac:dyDescent="0.25">
      <c r="A33765" s="2">
        <v>33760</v>
      </c>
      <c r="B33765" s="3" t="str">
        <f>"201511006480"</f>
        <v>201511006480</v>
      </c>
    </row>
    <row r="33766" spans="1:2" x14ac:dyDescent="0.25">
      <c r="A33766" s="2">
        <v>33761</v>
      </c>
      <c r="B33766" s="3" t="str">
        <f>"201511006515"</f>
        <v>201511006515</v>
      </c>
    </row>
    <row r="33767" spans="1:2" x14ac:dyDescent="0.25">
      <c r="A33767" s="2">
        <v>33762</v>
      </c>
      <c r="B33767" s="3" t="str">
        <f>"201511006517"</f>
        <v>201511006517</v>
      </c>
    </row>
    <row r="33768" spans="1:2" x14ac:dyDescent="0.25">
      <c r="A33768" s="2">
        <v>33763</v>
      </c>
      <c r="B33768" s="3" t="str">
        <f>"201511006521"</f>
        <v>201511006521</v>
      </c>
    </row>
    <row r="33769" spans="1:2" x14ac:dyDescent="0.25">
      <c r="A33769" s="2">
        <v>33764</v>
      </c>
      <c r="B33769" s="3" t="str">
        <f>"201511006558"</f>
        <v>201511006558</v>
      </c>
    </row>
    <row r="33770" spans="1:2" x14ac:dyDescent="0.25">
      <c r="A33770" s="2">
        <v>33765</v>
      </c>
      <c r="B33770" s="3" t="str">
        <f>"201511006571"</f>
        <v>201511006571</v>
      </c>
    </row>
    <row r="33771" spans="1:2" x14ac:dyDescent="0.25">
      <c r="A33771" s="2">
        <v>33766</v>
      </c>
      <c r="B33771" s="3" t="str">
        <f>"201511006586"</f>
        <v>201511006586</v>
      </c>
    </row>
    <row r="33772" spans="1:2" x14ac:dyDescent="0.25">
      <c r="A33772" s="2">
        <v>33767</v>
      </c>
      <c r="B33772" s="3" t="str">
        <f>"201511006609"</f>
        <v>201511006609</v>
      </c>
    </row>
    <row r="33773" spans="1:2" x14ac:dyDescent="0.25">
      <c r="A33773" s="2">
        <v>33768</v>
      </c>
      <c r="B33773" s="3" t="str">
        <f>"201511006630"</f>
        <v>201511006630</v>
      </c>
    </row>
    <row r="33774" spans="1:2" x14ac:dyDescent="0.25">
      <c r="A33774" s="2">
        <v>33769</v>
      </c>
      <c r="B33774" s="3" t="str">
        <f>"201511006648"</f>
        <v>201511006648</v>
      </c>
    </row>
    <row r="33775" spans="1:2" x14ac:dyDescent="0.25">
      <c r="A33775" s="2">
        <v>33770</v>
      </c>
      <c r="B33775" s="3" t="str">
        <f>"201511006653"</f>
        <v>201511006653</v>
      </c>
    </row>
    <row r="33776" spans="1:2" x14ac:dyDescent="0.25">
      <c r="A33776" s="2">
        <v>33771</v>
      </c>
      <c r="B33776" s="3" t="str">
        <f>"201511006672"</f>
        <v>201511006672</v>
      </c>
    </row>
    <row r="33777" spans="1:2" x14ac:dyDescent="0.25">
      <c r="A33777" s="2">
        <v>33772</v>
      </c>
      <c r="B33777" s="3" t="str">
        <f>"201511006693"</f>
        <v>201511006693</v>
      </c>
    </row>
    <row r="33778" spans="1:2" x14ac:dyDescent="0.25">
      <c r="A33778" s="2">
        <v>33773</v>
      </c>
      <c r="B33778" s="3" t="str">
        <f>"201511006699"</f>
        <v>201511006699</v>
      </c>
    </row>
    <row r="33779" spans="1:2" x14ac:dyDescent="0.25">
      <c r="A33779" s="2">
        <v>33774</v>
      </c>
      <c r="B33779" s="3" t="str">
        <f>"201511006706"</f>
        <v>201511006706</v>
      </c>
    </row>
    <row r="33780" spans="1:2" x14ac:dyDescent="0.25">
      <c r="A33780" s="2">
        <v>33775</v>
      </c>
      <c r="B33780" s="3" t="str">
        <f>"201511006707"</f>
        <v>201511006707</v>
      </c>
    </row>
    <row r="33781" spans="1:2" x14ac:dyDescent="0.25">
      <c r="A33781" s="2">
        <v>33776</v>
      </c>
      <c r="B33781" s="3" t="str">
        <f>"201511006719"</f>
        <v>201511006719</v>
      </c>
    </row>
    <row r="33782" spans="1:2" x14ac:dyDescent="0.25">
      <c r="A33782" s="2">
        <v>33777</v>
      </c>
      <c r="B33782" s="3" t="str">
        <f>"201511006728"</f>
        <v>201511006728</v>
      </c>
    </row>
    <row r="33783" spans="1:2" x14ac:dyDescent="0.25">
      <c r="A33783" s="2">
        <v>33778</v>
      </c>
      <c r="B33783" s="3" t="str">
        <f>"201511006760"</f>
        <v>201511006760</v>
      </c>
    </row>
    <row r="33784" spans="1:2" x14ac:dyDescent="0.25">
      <c r="A33784" s="2">
        <v>33779</v>
      </c>
      <c r="B33784" s="3" t="str">
        <f>"201511006798"</f>
        <v>201511006798</v>
      </c>
    </row>
    <row r="33785" spans="1:2" x14ac:dyDescent="0.25">
      <c r="A33785" s="2">
        <v>33780</v>
      </c>
      <c r="B33785" s="3" t="str">
        <f>"201511006830"</f>
        <v>201511006830</v>
      </c>
    </row>
    <row r="33786" spans="1:2" x14ac:dyDescent="0.25">
      <c r="A33786" s="2">
        <v>33781</v>
      </c>
      <c r="B33786" s="3" t="str">
        <f>"201511006847"</f>
        <v>201511006847</v>
      </c>
    </row>
    <row r="33787" spans="1:2" x14ac:dyDescent="0.25">
      <c r="A33787" s="2">
        <v>33782</v>
      </c>
      <c r="B33787" s="3" t="str">
        <f>"201511006875"</f>
        <v>201511006875</v>
      </c>
    </row>
    <row r="33788" spans="1:2" x14ac:dyDescent="0.25">
      <c r="A33788" s="2">
        <v>33783</v>
      </c>
      <c r="B33788" s="3" t="str">
        <f>"201511006877"</f>
        <v>201511006877</v>
      </c>
    </row>
    <row r="33789" spans="1:2" x14ac:dyDescent="0.25">
      <c r="A33789" s="2">
        <v>33784</v>
      </c>
      <c r="B33789" s="3" t="str">
        <f>"201511006882"</f>
        <v>201511006882</v>
      </c>
    </row>
    <row r="33790" spans="1:2" x14ac:dyDescent="0.25">
      <c r="A33790" s="2">
        <v>33785</v>
      </c>
      <c r="B33790" s="3" t="str">
        <f>"201511006941"</f>
        <v>201511006941</v>
      </c>
    </row>
    <row r="33791" spans="1:2" x14ac:dyDescent="0.25">
      <c r="A33791" s="2">
        <v>33786</v>
      </c>
      <c r="B33791" s="3" t="str">
        <f>"201511006947"</f>
        <v>201511006947</v>
      </c>
    </row>
    <row r="33792" spans="1:2" x14ac:dyDescent="0.25">
      <c r="A33792" s="2">
        <v>33787</v>
      </c>
      <c r="B33792" s="3" t="str">
        <f>"201511006952"</f>
        <v>201511006952</v>
      </c>
    </row>
    <row r="33793" spans="1:2" x14ac:dyDescent="0.25">
      <c r="A33793" s="2">
        <v>33788</v>
      </c>
      <c r="B33793" s="3" t="str">
        <f>"201511006977"</f>
        <v>201511006977</v>
      </c>
    </row>
    <row r="33794" spans="1:2" x14ac:dyDescent="0.25">
      <c r="A33794" s="2">
        <v>33789</v>
      </c>
      <c r="B33794" s="3" t="str">
        <f>"201511007009"</f>
        <v>201511007009</v>
      </c>
    </row>
    <row r="33795" spans="1:2" x14ac:dyDescent="0.25">
      <c r="A33795" s="2">
        <v>33790</v>
      </c>
      <c r="B33795" s="3" t="str">
        <f>"201511007069"</f>
        <v>201511007069</v>
      </c>
    </row>
    <row r="33796" spans="1:2" x14ac:dyDescent="0.25">
      <c r="A33796" s="2">
        <v>33791</v>
      </c>
      <c r="B33796" s="3" t="str">
        <f>"201511007075"</f>
        <v>201511007075</v>
      </c>
    </row>
    <row r="33797" spans="1:2" x14ac:dyDescent="0.25">
      <c r="A33797" s="2">
        <v>33792</v>
      </c>
      <c r="B33797" s="3" t="str">
        <f>"201511007105"</f>
        <v>201511007105</v>
      </c>
    </row>
    <row r="33798" spans="1:2" x14ac:dyDescent="0.25">
      <c r="A33798" s="2">
        <v>33793</v>
      </c>
      <c r="B33798" s="3" t="str">
        <f>"201511007155"</f>
        <v>201511007155</v>
      </c>
    </row>
    <row r="33799" spans="1:2" x14ac:dyDescent="0.25">
      <c r="A33799" s="2">
        <v>33794</v>
      </c>
      <c r="B33799" s="3" t="str">
        <f>"201511007164"</f>
        <v>201511007164</v>
      </c>
    </row>
    <row r="33800" spans="1:2" x14ac:dyDescent="0.25">
      <c r="A33800" s="2">
        <v>33795</v>
      </c>
      <c r="B33800" s="3" t="str">
        <f>"201511007190"</f>
        <v>201511007190</v>
      </c>
    </row>
    <row r="33801" spans="1:2" x14ac:dyDescent="0.25">
      <c r="A33801" s="2">
        <v>33796</v>
      </c>
      <c r="B33801" s="3" t="str">
        <f>"201511007192"</f>
        <v>201511007192</v>
      </c>
    </row>
    <row r="33802" spans="1:2" x14ac:dyDescent="0.25">
      <c r="A33802" s="2">
        <v>33797</v>
      </c>
      <c r="B33802" s="3" t="str">
        <f>"201511007200"</f>
        <v>201511007200</v>
      </c>
    </row>
    <row r="33803" spans="1:2" x14ac:dyDescent="0.25">
      <c r="A33803" s="2">
        <v>33798</v>
      </c>
      <c r="B33803" s="3" t="str">
        <f>"201511007209"</f>
        <v>201511007209</v>
      </c>
    </row>
    <row r="33804" spans="1:2" x14ac:dyDescent="0.25">
      <c r="A33804" s="2">
        <v>33799</v>
      </c>
      <c r="B33804" s="3" t="str">
        <f>"201511007291"</f>
        <v>201511007291</v>
      </c>
    </row>
    <row r="33805" spans="1:2" x14ac:dyDescent="0.25">
      <c r="A33805" s="2">
        <v>33800</v>
      </c>
      <c r="B33805" s="3" t="str">
        <f>"201511007299"</f>
        <v>201511007299</v>
      </c>
    </row>
    <row r="33806" spans="1:2" x14ac:dyDescent="0.25">
      <c r="A33806" s="2">
        <v>33801</v>
      </c>
      <c r="B33806" s="3" t="str">
        <f>"201511007349"</f>
        <v>201511007349</v>
      </c>
    </row>
    <row r="33807" spans="1:2" x14ac:dyDescent="0.25">
      <c r="A33807" s="2">
        <v>33802</v>
      </c>
      <c r="B33807" s="3" t="str">
        <f>"201511007366"</f>
        <v>201511007366</v>
      </c>
    </row>
    <row r="33808" spans="1:2" x14ac:dyDescent="0.25">
      <c r="A33808" s="2">
        <v>33803</v>
      </c>
      <c r="B33808" s="3" t="str">
        <f>"201511007391"</f>
        <v>201511007391</v>
      </c>
    </row>
    <row r="33809" spans="1:2" x14ac:dyDescent="0.25">
      <c r="A33809" s="2">
        <v>33804</v>
      </c>
      <c r="B33809" s="3" t="str">
        <f>"201511007416"</f>
        <v>201511007416</v>
      </c>
    </row>
    <row r="33810" spans="1:2" x14ac:dyDescent="0.25">
      <c r="A33810" s="2">
        <v>33805</v>
      </c>
      <c r="B33810" s="3" t="str">
        <f>"201511007421"</f>
        <v>201511007421</v>
      </c>
    </row>
    <row r="33811" spans="1:2" x14ac:dyDescent="0.25">
      <c r="A33811" s="2">
        <v>33806</v>
      </c>
      <c r="B33811" s="3" t="str">
        <f>"201511007477"</f>
        <v>201511007477</v>
      </c>
    </row>
    <row r="33812" spans="1:2" x14ac:dyDescent="0.25">
      <c r="A33812" s="2">
        <v>33807</v>
      </c>
      <c r="B33812" s="3" t="str">
        <f>"201511007498"</f>
        <v>201511007498</v>
      </c>
    </row>
    <row r="33813" spans="1:2" x14ac:dyDescent="0.25">
      <c r="A33813" s="2">
        <v>33808</v>
      </c>
      <c r="B33813" s="3" t="str">
        <f>"201511007517"</f>
        <v>201511007517</v>
      </c>
    </row>
    <row r="33814" spans="1:2" x14ac:dyDescent="0.25">
      <c r="A33814" s="2">
        <v>33809</v>
      </c>
      <c r="B33814" s="3" t="str">
        <f>"201511007559"</f>
        <v>201511007559</v>
      </c>
    </row>
    <row r="33815" spans="1:2" x14ac:dyDescent="0.25">
      <c r="A33815" s="2">
        <v>33810</v>
      </c>
      <c r="B33815" s="3" t="str">
        <f>"201511007588"</f>
        <v>201511007588</v>
      </c>
    </row>
    <row r="33816" spans="1:2" x14ac:dyDescent="0.25">
      <c r="A33816" s="2">
        <v>33811</v>
      </c>
      <c r="B33816" s="3" t="str">
        <f>"201511007652"</f>
        <v>201511007652</v>
      </c>
    </row>
    <row r="33817" spans="1:2" x14ac:dyDescent="0.25">
      <c r="A33817" s="2">
        <v>33812</v>
      </c>
      <c r="B33817" s="3" t="str">
        <f>"201511007662"</f>
        <v>201511007662</v>
      </c>
    </row>
    <row r="33818" spans="1:2" x14ac:dyDescent="0.25">
      <c r="A33818" s="2">
        <v>33813</v>
      </c>
      <c r="B33818" s="3" t="str">
        <f>"201511007676"</f>
        <v>201511007676</v>
      </c>
    </row>
    <row r="33819" spans="1:2" x14ac:dyDescent="0.25">
      <c r="A33819" s="2">
        <v>33814</v>
      </c>
      <c r="B33819" s="3" t="str">
        <f>"201511007682"</f>
        <v>201511007682</v>
      </c>
    </row>
    <row r="33820" spans="1:2" x14ac:dyDescent="0.25">
      <c r="A33820" s="2">
        <v>33815</v>
      </c>
      <c r="B33820" s="3" t="str">
        <f>"201511007704"</f>
        <v>201511007704</v>
      </c>
    </row>
    <row r="33821" spans="1:2" x14ac:dyDescent="0.25">
      <c r="A33821" s="2">
        <v>33816</v>
      </c>
      <c r="B33821" s="3" t="str">
        <f>"201511007724"</f>
        <v>201511007724</v>
      </c>
    </row>
    <row r="33822" spans="1:2" x14ac:dyDescent="0.25">
      <c r="A33822" s="2">
        <v>33817</v>
      </c>
      <c r="B33822" s="3" t="str">
        <f>"201511007732"</f>
        <v>201511007732</v>
      </c>
    </row>
    <row r="33823" spans="1:2" x14ac:dyDescent="0.25">
      <c r="A33823" s="2">
        <v>33818</v>
      </c>
      <c r="B33823" s="3" t="str">
        <f>"201511007753"</f>
        <v>201511007753</v>
      </c>
    </row>
    <row r="33824" spans="1:2" x14ac:dyDescent="0.25">
      <c r="A33824" s="2">
        <v>33819</v>
      </c>
      <c r="B33824" s="3" t="str">
        <f>"201511007754"</f>
        <v>201511007754</v>
      </c>
    </row>
    <row r="33825" spans="1:2" x14ac:dyDescent="0.25">
      <c r="A33825" s="2">
        <v>33820</v>
      </c>
      <c r="B33825" s="3" t="str">
        <f>"201511007781"</f>
        <v>201511007781</v>
      </c>
    </row>
    <row r="33826" spans="1:2" x14ac:dyDescent="0.25">
      <c r="A33826" s="2">
        <v>33821</v>
      </c>
      <c r="B33826" s="3" t="str">
        <f>"201511007814"</f>
        <v>201511007814</v>
      </c>
    </row>
    <row r="33827" spans="1:2" x14ac:dyDescent="0.25">
      <c r="A33827" s="2">
        <v>33822</v>
      </c>
      <c r="B33827" s="3" t="str">
        <f>"201511007830"</f>
        <v>201511007830</v>
      </c>
    </row>
    <row r="33828" spans="1:2" x14ac:dyDescent="0.25">
      <c r="A33828" s="2">
        <v>33823</v>
      </c>
      <c r="B33828" s="3" t="str">
        <f>"201511007844"</f>
        <v>201511007844</v>
      </c>
    </row>
    <row r="33829" spans="1:2" x14ac:dyDescent="0.25">
      <c r="A33829" s="2">
        <v>33824</v>
      </c>
      <c r="B33829" s="3" t="str">
        <f>"201511007863"</f>
        <v>201511007863</v>
      </c>
    </row>
    <row r="33830" spans="1:2" x14ac:dyDescent="0.25">
      <c r="A33830" s="2">
        <v>33825</v>
      </c>
      <c r="B33830" s="3" t="str">
        <f>"201511007868"</f>
        <v>201511007868</v>
      </c>
    </row>
    <row r="33831" spans="1:2" x14ac:dyDescent="0.25">
      <c r="A33831" s="2">
        <v>33826</v>
      </c>
      <c r="B33831" s="3" t="str">
        <f>"201511007884"</f>
        <v>201511007884</v>
      </c>
    </row>
    <row r="33832" spans="1:2" x14ac:dyDescent="0.25">
      <c r="A33832" s="2">
        <v>33827</v>
      </c>
      <c r="B33832" s="3" t="str">
        <f>"201511007912"</f>
        <v>201511007912</v>
      </c>
    </row>
    <row r="33833" spans="1:2" x14ac:dyDescent="0.25">
      <c r="A33833" s="2">
        <v>33828</v>
      </c>
      <c r="B33833" s="3" t="str">
        <f>"201511007915"</f>
        <v>201511007915</v>
      </c>
    </row>
    <row r="33834" spans="1:2" x14ac:dyDescent="0.25">
      <c r="A33834" s="2">
        <v>33829</v>
      </c>
      <c r="B33834" s="3" t="str">
        <f>"201511007934"</f>
        <v>201511007934</v>
      </c>
    </row>
    <row r="33835" spans="1:2" x14ac:dyDescent="0.25">
      <c r="A33835" s="2">
        <v>33830</v>
      </c>
      <c r="B33835" s="3" t="str">
        <f>"201511007940"</f>
        <v>201511007940</v>
      </c>
    </row>
    <row r="33836" spans="1:2" x14ac:dyDescent="0.25">
      <c r="A33836" s="2">
        <v>33831</v>
      </c>
      <c r="B33836" s="3" t="str">
        <f>"201511007950"</f>
        <v>201511007950</v>
      </c>
    </row>
    <row r="33837" spans="1:2" x14ac:dyDescent="0.25">
      <c r="A33837" s="2">
        <v>33832</v>
      </c>
      <c r="B33837" s="3" t="str">
        <f>"201511007964"</f>
        <v>201511007964</v>
      </c>
    </row>
    <row r="33838" spans="1:2" x14ac:dyDescent="0.25">
      <c r="A33838" s="2">
        <v>33833</v>
      </c>
      <c r="B33838" s="3" t="str">
        <f>"201511007973"</f>
        <v>201511007973</v>
      </c>
    </row>
    <row r="33839" spans="1:2" x14ac:dyDescent="0.25">
      <c r="A33839" s="2">
        <v>33834</v>
      </c>
      <c r="B33839" s="3" t="str">
        <f>"201511008077"</f>
        <v>201511008077</v>
      </c>
    </row>
    <row r="33840" spans="1:2" x14ac:dyDescent="0.25">
      <c r="A33840" s="2">
        <v>33835</v>
      </c>
      <c r="B33840" s="3" t="str">
        <f>"201511008080"</f>
        <v>201511008080</v>
      </c>
    </row>
    <row r="33841" spans="1:2" x14ac:dyDescent="0.25">
      <c r="A33841" s="2">
        <v>33836</v>
      </c>
      <c r="B33841" s="3" t="str">
        <f>"201511008092"</f>
        <v>201511008092</v>
      </c>
    </row>
    <row r="33842" spans="1:2" x14ac:dyDescent="0.25">
      <c r="A33842" s="2">
        <v>33837</v>
      </c>
      <c r="B33842" s="3" t="str">
        <f>"201511008100"</f>
        <v>201511008100</v>
      </c>
    </row>
    <row r="33843" spans="1:2" x14ac:dyDescent="0.25">
      <c r="A33843" s="2">
        <v>33838</v>
      </c>
      <c r="B33843" s="3" t="str">
        <f>"201511008135"</f>
        <v>201511008135</v>
      </c>
    </row>
    <row r="33844" spans="1:2" x14ac:dyDescent="0.25">
      <c r="A33844" s="2">
        <v>33839</v>
      </c>
      <c r="B33844" s="3" t="str">
        <f>"201511008137"</f>
        <v>201511008137</v>
      </c>
    </row>
    <row r="33845" spans="1:2" x14ac:dyDescent="0.25">
      <c r="A33845" s="2">
        <v>33840</v>
      </c>
      <c r="B33845" s="3" t="str">
        <f>"201511008155"</f>
        <v>201511008155</v>
      </c>
    </row>
    <row r="33846" spans="1:2" x14ac:dyDescent="0.25">
      <c r="A33846" s="2">
        <v>33841</v>
      </c>
      <c r="B33846" s="3" t="str">
        <f>"201511008171"</f>
        <v>201511008171</v>
      </c>
    </row>
    <row r="33847" spans="1:2" x14ac:dyDescent="0.25">
      <c r="A33847" s="2">
        <v>33842</v>
      </c>
      <c r="B33847" s="3" t="str">
        <f>"201511008182"</f>
        <v>201511008182</v>
      </c>
    </row>
    <row r="33848" spans="1:2" x14ac:dyDescent="0.25">
      <c r="A33848" s="2">
        <v>33843</v>
      </c>
      <c r="B33848" s="3" t="str">
        <f>"201511008189"</f>
        <v>201511008189</v>
      </c>
    </row>
    <row r="33849" spans="1:2" x14ac:dyDescent="0.25">
      <c r="A33849" s="2">
        <v>33844</v>
      </c>
      <c r="B33849" s="3" t="str">
        <f>"201511008253"</f>
        <v>201511008253</v>
      </c>
    </row>
    <row r="33850" spans="1:2" x14ac:dyDescent="0.25">
      <c r="A33850" s="2">
        <v>33845</v>
      </c>
      <c r="B33850" s="3" t="str">
        <f>"201511008286"</f>
        <v>201511008286</v>
      </c>
    </row>
    <row r="33851" spans="1:2" x14ac:dyDescent="0.25">
      <c r="A33851" s="2">
        <v>33846</v>
      </c>
      <c r="B33851" s="3" t="str">
        <f>"201511008293"</f>
        <v>201511008293</v>
      </c>
    </row>
    <row r="33852" spans="1:2" x14ac:dyDescent="0.25">
      <c r="A33852" s="2">
        <v>33847</v>
      </c>
      <c r="B33852" s="3" t="str">
        <f>"201511008311"</f>
        <v>201511008311</v>
      </c>
    </row>
    <row r="33853" spans="1:2" x14ac:dyDescent="0.25">
      <c r="A33853" s="2">
        <v>33848</v>
      </c>
      <c r="B33853" s="3" t="str">
        <f>"201511008312"</f>
        <v>201511008312</v>
      </c>
    </row>
    <row r="33854" spans="1:2" x14ac:dyDescent="0.25">
      <c r="A33854" s="2">
        <v>33849</v>
      </c>
      <c r="B33854" s="3" t="str">
        <f>"201511008321"</f>
        <v>201511008321</v>
      </c>
    </row>
    <row r="33855" spans="1:2" x14ac:dyDescent="0.25">
      <c r="A33855" s="2">
        <v>33850</v>
      </c>
      <c r="B33855" s="3" t="str">
        <f>"201511008352"</f>
        <v>201511008352</v>
      </c>
    </row>
    <row r="33856" spans="1:2" x14ac:dyDescent="0.25">
      <c r="A33856" s="2">
        <v>33851</v>
      </c>
      <c r="B33856" s="3" t="str">
        <f>"201511008368"</f>
        <v>201511008368</v>
      </c>
    </row>
    <row r="33857" spans="1:2" x14ac:dyDescent="0.25">
      <c r="A33857" s="2">
        <v>33852</v>
      </c>
      <c r="B33857" s="3" t="str">
        <f>"201511008376"</f>
        <v>201511008376</v>
      </c>
    </row>
    <row r="33858" spans="1:2" x14ac:dyDescent="0.25">
      <c r="A33858" s="2">
        <v>33853</v>
      </c>
      <c r="B33858" s="3" t="str">
        <f>"201511008442"</f>
        <v>201511008442</v>
      </c>
    </row>
    <row r="33859" spans="1:2" x14ac:dyDescent="0.25">
      <c r="A33859" s="2">
        <v>33854</v>
      </c>
      <c r="B33859" s="3" t="str">
        <f>"201511008522"</f>
        <v>201511008522</v>
      </c>
    </row>
    <row r="33860" spans="1:2" x14ac:dyDescent="0.25">
      <c r="A33860" s="2">
        <v>33855</v>
      </c>
      <c r="B33860" s="3" t="str">
        <f>"201511008532"</f>
        <v>201511008532</v>
      </c>
    </row>
    <row r="33861" spans="1:2" x14ac:dyDescent="0.25">
      <c r="A33861" s="2">
        <v>33856</v>
      </c>
      <c r="B33861" s="3" t="str">
        <f>"201511008543"</f>
        <v>201511008543</v>
      </c>
    </row>
    <row r="33862" spans="1:2" x14ac:dyDescent="0.25">
      <c r="A33862" s="2">
        <v>33857</v>
      </c>
      <c r="B33862" s="3" t="str">
        <f>"201511008545"</f>
        <v>201511008545</v>
      </c>
    </row>
    <row r="33863" spans="1:2" x14ac:dyDescent="0.25">
      <c r="A33863" s="2">
        <v>33858</v>
      </c>
      <c r="B33863" s="3" t="str">
        <f>"201511008589"</f>
        <v>201511008589</v>
      </c>
    </row>
    <row r="33864" spans="1:2" x14ac:dyDescent="0.25">
      <c r="A33864" s="2">
        <v>33859</v>
      </c>
      <c r="B33864" s="3" t="str">
        <f>"201511008603"</f>
        <v>201511008603</v>
      </c>
    </row>
    <row r="33865" spans="1:2" x14ac:dyDescent="0.25">
      <c r="A33865" s="2">
        <v>33860</v>
      </c>
      <c r="B33865" s="3" t="str">
        <f>"201511008610"</f>
        <v>201511008610</v>
      </c>
    </row>
    <row r="33866" spans="1:2" x14ac:dyDescent="0.25">
      <c r="A33866" s="2">
        <v>33861</v>
      </c>
      <c r="B33866" s="3" t="str">
        <f>"201511008619"</f>
        <v>201511008619</v>
      </c>
    </row>
    <row r="33867" spans="1:2" x14ac:dyDescent="0.25">
      <c r="A33867" s="2">
        <v>33862</v>
      </c>
      <c r="B33867" s="3" t="str">
        <f>"201511008620"</f>
        <v>201511008620</v>
      </c>
    </row>
    <row r="33868" spans="1:2" x14ac:dyDescent="0.25">
      <c r="A33868" s="2">
        <v>33863</v>
      </c>
      <c r="B33868" s="3" t="str">
        <f>"201511008633"</f>
        <v>201511008633</v>
      </c>
    </row>
    <row r="33869" spans="1:2" x14ac:dyDescent="0.25">
      <c r="A33869" s="2">
        <v>33864</v>
      </c>
      <c r="B33869" s="3" t="str">
        <f>"201511008635"</f>
        <v>201511008635</v>
      </c>
    </row>
    <row r="33870" spans="1:2" x14ac:dyDescent="0.25">
      <c r="A33870" s="2">
        <v>33865</v>
      </c>
      <c r="B33870" s="3" t="str">
        <f>"201511008649"</f>
        <v>201511008649</v>
      </c>
    </row>
    <row r="33871" spans="1:2" x14ac:dyDescent="0.25">
      <c r="A33871" s="2">
        <v>33866</v>
      </c>
      <c r="B33871" s="3" t="str">
        <f>"201511008652"</f>
        <v>201511008652</v>
      </c>
    </row>
    <row r="33872" spans="1:2" x14ac:dyDescent="0.25">
      <c r="A33872" s="2">
        <v>33867</v>
      </c>
      <c r="B33872" s="3" t="str">
        <f>"201511008685"</f>
        <v>201511008685</v>
      </c>
    </row>
    <row r="33873" spans="1:2" x14ac:dyDescent="0.25">
      <c r="A33873" s="2">
        <v>33868</v>
      </c>
      <c r="B33873" s="3" t="str">
        <f>"201511008735"</f>
        <v>201511008735</v>
      </c>
    </row>
    <row r="33874" spans="1:2" x14ac:dyDescent="0.25">
      <c r="A33874" s="2">
        <v>33869</v>
      </c>
      <c r="B33874" s="3" t="str">
        <f>"201511008747"</f>
        <v>201511008747</v>
      </c>
    </row>
    <row r="33875" spans="1:2" x14ac:dyDescent="0.25">
      <c r="A33875" s="2">
        <v>33870</v>
      </c>
      <c r="B33875" s="3" t="str">
        <f>"201511008760"</f>
        <v>201511008760</v>
      </c>
    </row>
    <row r="33876" spans="1:2" x14ac:dyDescent="0.25">
      <c r="A33876" s="2">
        <v>33871</v>
      </c>
      <c r="B33876" s="3" t="str">
        <f>"201511008780"</f>
        <v>201511008780</v>
      </c>
    </row>
    <row r="33877" spans="1:2" x14ac:dyDescent="0.25">
      <c r="A33877" s="2">
        <v>33872</v>
      </c>
      <c r="B33877" s="3" t="str">
        <f>"201511008786"</f>
        <v>201511008786</v>
      </c>
    </row>
    <row r="33878" spans="1:2" x14ac:dyDescent="0.25">
      <c r="A33878" s="2">
        <v>33873</v>
      </c>
      <c r="B33878" s="3" t="str">
        <f>"201511008789"</f>
        <v>201511008789</v>
      </c>
    </row>
    <row r="33879" spans="1:2" x14ac:dyDescent="0.25">
      <c r="A33879" s="2">
        <v>33874</v>
      </c>
      <c r="B33879" s="3" t="str">
        <f>"201511008805"</f>
        <v>201511008805</v>
      </c>
    </row>
    <row r="33880" spans="1:2" x14ac:dyDescent="0.25">
      <c r="A33880" s="2">
        <v>33875</v>
      </c>
      <c r="B33880" s="3" t="str">
        <f>"201511008813"</f>
        <v>201511008813</v>
      </c>
    </row>
    <row r="33881" spans="1:2" x14ac:dyDescent="0.25">
      <c r="A33881" s="2">
        <v>33876</v>
      </c>
      <c r="B33881" s="3" t="str">
        <f>"201511008829"</f>
        <v>201511008829</v>
      </c>
    </row>
    <row r="33882" spans="1:2" x14ac:dyDescent="0.25">
      <c r="A33882" s="2">
        <v>33877</v>
      </c>
      <c r="B33882" s="3" t="str">
        <f>"201511008847"</f>
        <v>201511008847</v>
      </c>
    </row>
    <row r="33883" spans="1:2" x14ac:dyDescent="0.25">
      <c r="A33883" s="2">
        <v>33878</v>
      </c>
      <c r="B33883" s="3" t="str">
        <f>"201511008858"</f>
        <v>201511008858</v>
      </c>
    </row>
    <row r="33884" spans="1:2" x14ac:dyDescent="0.25">
      <c r="A33884" s="2">
        <v>33879</v>
      </c>
      <c r="B33884" s="3" t="str">
        <f>"201511008864"</f>
        <v>201511008864</v>
      </c>
    </row>
    <row r="33885" spans="1:2" x14ac:dyDescent="0.25">
      <c r="A33885" s="2">
        <v>33880</v>
      </c>
      <c r="B33885" s="3" t="str">
        <f>"201511008902"</f>
        <v>201511008902</v>
      </c>
    </row>
    <row r="33886" spans="1:2" x14ac:dyDescent="0.25">
      <c r="A33886" s="2">
        <v>33881</v>
      </c>
      <c r="B33886" s="3" t="str">
        <f>"201511008905"</f>
        <v>201511008905</v>
      </c>
    </row>
    <row r="33887" spans="1:2" x14ac:dyDescent="0.25">
      <c r="A33887" s="2">
        <v>33882</v>
      </c>
      <c r="B33887" s="3" t="str">
        <f>"201511008922"</f>
        <v>201511008922</v>
      </c>
    </row>
    <row r="33888" spans="1:2" x14ac:dyDescent="0.25">
      <c r="A33888" s="2">
        <v>33883</v>
      </c>
      <c r="B33888" s="3" t="str">
        <f>"201511008943"</f>
        <v>201511008943</v>
      </c>
    </row>
    <row r="33889" spans="1:2" x14ac:dyDescent="0.25">
      <c r="A33889" s="2">
        <v>33884</v>
      </c>
      <c r="B33889" s="3" t="str">
        <f>"201511008959"</f>
        <v>201511008959</v>
      </c>
    </row>
    <row r="33890" spans="1:2" x14ac:dyDescent="0.25">
      <c r="A33890" s="2">
        <v>33885</v>
      </c>
      <c r="B33890" s="3" t="str">
        <f>"201511008960"</f>
        <v>201511008960</v>
      </c>
    </row>
    <row r="33891" spans="1:2" x14ac:dyDescent="0.25">
      <c r="A33891" s="2">
        <v>33886</v>
      </c>
      <c r="B33891" s="3" t="str">
        <f>"201511009002"</f>
        <v>201511009002</v>
      </c>
    </row>
    <row r="33892" spans="1:2" x14ac:dyDescent="0.25">
      <c r="A33892" s="2">
        <v>33887</v>
      </c>
      <c r="B33892" s="3" t="str">
        <f>"201511009032"</f>
        <v>201511009032</v>
      </c>
    </row>
    <row r="33893" spans="1:2" x14ac:dyDescent="0.25">
      <c r="A33893" s="2">
        <v>33888</v>
      </c>
      <c r="B33893" s="3" t="str">
        <f>"201511009064"</f>
        <v>201511009064</v>
      </c>
    </row>
    <row r="33894" spans="1:2" x14ac:dyDescent="0.25">
      <c r="A33894" s="2">
        <v>33889</v>
      </c>
      <c r="B33894" s="3" t="str">
        <f>"201511009077"</f>
        <v>201511009077</v>
      </c>
    </row>
    <row r="33895" spans="1:2" x14ac:dyDescent="0.25">
      <c r="A33895" s="2">
        <v>33890</v>
      </c>
      <c r="B33895" s="3" t="str">
        <f>"201511009086"</f>
        <v>201511009086</v>
      </c>
    </row>
    <row r="33896" spans="1:2" x14ac:dyDescent="0.25">
      <c r="A33896" s="2">
        <v>33891</v>
      </c>
      <c r="B33896" s="3" t="str">
        <f>"201511009100"</f>
        <v>201511009100</v>
      </c>
    </row>
    <row r="33897" spans="1:2" x14ac:dyDescent="0.25">
      <c r="A33897" s="2">
        <v>33892</v>
      </c>
      <c r="B33897" s="3" t="str">
        <f>"201511009208"</f>
        <v>201511009208</v>
      </c>
    </row>
    <row r="33898" spans="1:2" x14ac:dyDescent="0.25">
      <c r="A33898" s="2">
        <v>33893</v>
      </c>
      <c r="B33898" s="3" t="str">
        <f>"201511009245"</f>
        <v>201511009245</v>
      </c>
    </row>
    <row r="33899" spans="1:2" x14ac:dyDescent="0.25">
      <c r="A33899" s="2">
        <v>33894</v>
      </c>
      <c r="B33899" s="3" t="str">
        <f>"201511009266"</f>
        <v>201511009266</v>
      </c>
    </row>
    <row r="33900" spans="1:2" x14ac:dyDescent="0.25">
      <c r="A33900" s="2">
        <v>33895</v>
      </c>
      <c r="B33900" s="3" t="str">
        <f>"201511009268"</f>
        <v>201511009268</v>
      </c>
    </row>
    <row r="33901" spans="1:2" x14ac:dyDescent="0.25">
      <c r="A33901" s="2">
        <v>33896</v>
      </c>
      <c r="B33901" s="3" t="str">
        <f>"201511009298"</f>
        <v>201511009298</v>
      </c>
    </row>
    <row r="33902" spans="1:2" x14ac:dyDescent="0.25">
      <c r="A33902" s="2">
        <v>33897</v>
      </c>
      <c r="B33902" s="3" t="str">
        <f>"201511009391"</f>
        <v>201511009391</v>
      </c>
    </row>
    <row r="33903" spans="1:2" x14ac:dyDescent="0.25">
      <c r="A33903" s="2">
        <v>33898</v>
      </c>
      <c r="B33903" s="3" t="str">
        <f>"201511009399"</f>
        <v>201511009399</v>
      </c>
    </row>
    <row r="33904" spans="1:2" x14ac:dyDescent="0.25">
      <c r="A33904" s="2">
        <v>33899</v>
      </c>
      <c r="B33904" s="3" t="str">
        <f>"201511009460"</f>
        <v>201511009460</v>
      </c>
    </row>
    <row r="33905" spans="1:2" x14ac:dyDescent="0.25">
      <c r="A33905" s="2">
        <v>33900</v>
      </c>
      <c r="B33905" s="3" t="str">
        <f>"201511009462"</f>
        <v>201511009462</v>
      </c>
    </row>
    <row r="33906" spans="1:2" x14ac:dyDescent="0.25">
      <c r="A33906" s="2">
        <v>33901</v>
      </c>
      <c r="B33906" s="3" t="str">
        <f>"201511009469"</f>
        <v>201511009469</v>
      </c>
    </row>
    <row r="33907" spans="1:2" x14ac:dyDescent="0.25">
      <c r="A33907" s="2">
        <v>33902</v>
      </c>
      <c r="B33907" s="3" t="str">
        <f>"201511009489"</f>
        <v>201511009489</v>
      </c>
    </row>
    <row r="33908" spans="1:2" x14ac:dyDescent="0.25">
      <c r="A33908" s="2">
        <v>33903</v>
      </c>
      <c r="B33908" s="3" t="str">
        <f>"201511009497"</f>
        <v>201511009497</v>
      </c>
    </row>
    <row r="33909" spans="1:2" x14ac:dyDescent="0.25">
      <c r="A33909" s="2">
        <v>33904</v>
      </c>
      <c r="B33909" s="3" t="str">
        <f>"201511009525"</f>
        <v>201511009525</v>
      </c>
    </row>
    <row r="33910" spans="1:2" x14ac:dyDescent="0.25">
      <c r="A33910" s="2">
        <v>33905</v>
      </c>
      <c r="B33910" s="3" t="str">
        <f>"201511009560"</f>
        <v>201511009560</v>
      </c>
    </row>
    <row r="33911" spans="1:2" x14ac:dyDescent="0.25">
      <c r="A33911" s="2">
        <v>33906</v>
      </c>
      <c r="B33911" s="3" t="str">
        <f>"201511009580"</f>
        <v>201511009580</v>
      </c>
    </row>
    <row r="33912" spans="1:2" x14ac:dyDescent="0.25">
      <c r="A33912" s="2">
        <v>33907</v>
      </c>
      <c r="B33912" s="3" t="str">
        <f>"201511009583"</f>
        <v>201511009583</v>
      </c>
    </row>
    <row r="33913" spans="1:2" x14ac:dyDescent="0.25">
      <c r="A33913" s="2">
        <v>33908</v>
      </c>
      <c r="B33913" s="3" t="str">
        <f>"201511009588"</f>
        <v>201511009588</v>
      </c>
    </row>
    <row r="33914" spans="1:2" x14ac:dyDescent="0.25">
      <c r="A33914" s="2">
        <v>33909</v>
      </c>
      <c r="B33914" s="3" t="str">
        <f>"201511009613"</f>
        <v>201511009613</v>
      </c>
    </row>
    <row r="33915" spans="1:2" x14ac:dyDescent="0.25">
      <c r="A33915" s="2">
        <v>33910</v>
      </c>
      <c r="B33915" s="3" t="str">
        <f>"201511009621"</f>
        <v>201511009621</v>
      </c>
    </row>
    <row r="33916" spans="1:2" x14ac:dyDescent="0.25">
      <c r="A33916" s="2">
        <v>33911</v>
      </c>
      <c r="B33916" s="3" t="str">
        <f>"201511009650"</f>
        <v>201511009650</v>
      </c>
    </row>
    <row r="33917" spans="1:2" x14ac:dyDescent="0.25">
      <c r="A33917" s="2">
        <v>33912</v>
      </c>
      <c r="B33917" s="3" t="str">
        <f>"201511009690"</f>
        <v>201511009690</v>
      </c>
    </row>
    <row r="33918" spans="1:2" x14ac:dyDescent="0.25">
      <c r="A33918" s="2">
        <v>33913</v>
      </c>
      <c r="B33918" s="3" t="str">
        <f>"201511009696"</f>
        <v>201511009696</v>
      </c>
    </row>
    <row r="33919" spans="1:2" x14ac:dyDescent="0.25">
      <c r="A33919" s="2">
        <v>33914</v>
      </c>
      <c r="B33919" s="3" t="str">
        <f>"201511009724"</f>
        <v>201511009724</v>
      </c>
    </row>
    <row r="33920" spans="1:2" x14ac:dyDescent="0.25">
      <c r="A33920" s="2">
        <v>33915</v>
      </c>
      <c r="B33920" s="3" t="str">
        <f>"201511009734"</f>
        <v>201511009734</v>
      </c>
    </row>
    <row r="33921" spans="1:2" x14ac:dyDescent="0.25">
      <c r="A33921" s="2">
        <v>33916</v>
      </c>
      <c r="B33921" s="3" t="str">
        <f>"201511009749"</f>
        <v>201511009749</v>
      </c>
    </row>
    <row r="33922" spans="1:2" x14ac:dyDescent="0.25">
      <c r="A33922" s="2">
        <v>33917</v>
      </c>
      <c r="B33922" s="3" t="str">
        <f>"201511009758"</f>
        <v>201511009758</v>
      </c>
    </row>
    <row r="33923" spans="1:2" x14ac:dyDescent="0.25">
      <c r="A33923" s="2">
        <v>33918</v>
      </c>
      <c r="B33923" s="3" t="str">
        <f>"201511009766"</f>
        <v>201511009766</v>
      </c>
    </row>
    <row r="33924" spans="1:2" x14ac:dyDescent="0.25">
      <c r="A33924" s="2">
        <v>33919</v>
      </c>
      <c r="B33924" s="3" t="str">
        <f>"201511009767"</f>
        <v>201511009767</v>
      </c>
    </row>
    <row r="33925" spans="1:2" x14ac:dyDescent="0.25">
      <c r="A33925" s="2">
        <v>33920</v>
      </c>
      <c r="B33925" s="3" t="str">
        <f>"201511009797"</f>
        <v>201511009797</v>
      </c>
    </row>
    <row r="33926" spans="1:2" x14ac:dyDescent="0.25">
      <c r="A33926" s="2">
        <v>33921</v>
      </c>
      <c r="B33926" s="3" t="str">
        <f>"201511009821"</f>
        <v>201511009821</v>
      </c>
    </row>
    <row r="33927" spans="1:2" x14ac:dyDescent="0.25">
      <c r="A33927" s="2">
        <v>33922</v>
      </c>
      <c r="B33927" s="3" t="str">
        <f>"201511009838"</f>
        <v>201511009838</v>
      </c>
    </row>
    <row r="33928" spans="1:2" x14ac:dyDescent="0.25">
      <c r="A33928" s="2">
        <v>33923</v>
      </c>
      <c r="B33928" s="3" t="str">
        <f>"201511009846"</f>
        <v>201511009846</v>
      </c>
    </row>
    <row r="33929" spans="1:2" x14ac:dyDescent="0.25">
      <c r="A33929" s="2">
        <v>33924</v>
      </c>
      <c r="B33929" s="3" t="str">
        <f>"201511009864"</f>
        <v>201511009864</v>
      </c>
    </row>
    <row r="33930" spans="1:2" x14ac:dyDescent="0.25">
      <c r="A33930" s="2">
        <v>33925</v>
      </c>
      <c r="B33930" s="3" t="str">
        <f>"201511009869"</f>
        <v>201511009869</v>
      </c>
    </row>
    <row r="33931" spans="1:2" x14ac:dyDescent="0.25">
      <c r="A33931" s="2">
        <v>33926</v>
      </c>
      <c r="B33931" s="3" t="str">
        <f>"201511009871"</f>
        <v>201511009871</v>
      </c>
    </row>
    <row r="33932" spans="1:2" x14ac:dyDescent="0.25">
      <c r="A33932" s="2">
        <v>33927</v>
      </c>
      <c r="B33932" s="3" t="str">
        <f>"201511009930"</f>
        <v>201511009930</v>
      </c>
    </row>
    <row r="33933" spans="1:2" x14ac:dyDescent="0.25">
      <c r="A33933" s="2">
        <v>33928</v>
      </c>
      <c r="B33933" s="3" t="str">
        <f>"201511009940"</f>
        <v>201511009940</v>
      </c>
    </row>
    <row r="33934" spans="1:2" x14ac:dyDescent="0.25">
      <c r="A33934" s="2">
        <v>33929</v>
      </c>
      <c r="B33934" s="3" t="str">
        <f>"201511009967"</f>
        <v>201511009967</v>
      </c>
    </row>
    <row r="33935" spans="1:2" x14ac:dyDescent="0.25">
      <c r="A33935" s="2">
        <v>33930</v>
      </c>
      <c r="B33935" s="3" t="str">
        <f>"201511010007"</f>
        <v>201511010007</v>
      </c>
    </row>
    <row r="33936" spans="1:2" x14ac:dyDescent="0.25">
      <c r="A33936" s="2">
        <v>33931</v>
      </c>
      <c r="B33936" s="3" t="str">
        <f>"201511010024"</f>
        <v>201511010024</v>
      </c>
    </row>
    <row r="33937" spans="1:2" x14ac:dyDescent="0.25">
      <c r="A33937" s="2">
        <v>33932</v>
      </c>
      <c r="B33937" s="3" t="str">
        <f>"201511010031"</f>
        <v>201511010031</v>
      </c>
    </row>
    <row r="33938" spans="1:2" x14ac:dyDescent="0.25">
      <c r="A33938" s="2">
        <v>33933</v>
      </c>
      <c r="B33938" s="3" t="str">
        <f>"201511010032"</f>
        <v>201511010032</v>
      </c>
    </row>
    <row r="33939" spans="1:2" x14ac:dyDescent="0.25">
      <c r="A33939" s="2">
        <v>33934</v>
      </c>
      <c r="B33939" s="3" t="str">
        <f>"201511010034"</f>
        <v>201511010034</v>
      </c>
    </row>
    <row r="33940" spans="1:2" x14ac:dyDescent="0.25">
      <c r="A33940" s="2">
        <v>33935</v>
      </c>
      <c r="B33940" s="3" t="str">
        <f>"201511010052"</f>
        <v>201511010052</v>
      </c>
    </row>
    <row r="33941" spans="1:2" x14ac:dyDescent="0.25">
      <c r="A33941" s="2">
        <v>33936</v>
      </c>
      <c r="B33941" s="3" t="str">
        <f>"201511010055"</f>
        <v>201511010055</v>
      </c>
    </row>
    <row r="33942" spans="1:2" x14ac:dyDescent="0.25">
      <c r="A33942" s="2">
        <v>33937</v>
      </c>
      <c r="B33942" s="3" t="str">
        <f>"201511010064"</f>
        <v>201511010064</v>
      </c>
    </row>
    <row r="33943" spans="1:2" x14ac:dyDescent="0.25">
      <c r="A33943" s="2">
        <v>33938</v>
      </c>
      <c r="B33943" s="3" t="str">
        <f>"201511010096"</f>
        <v>201511010096</v>
      </c>
    </row>
    <row r="33944" spans="1:2" x14ac:dyDescent="0.25">
      <c r="A33944" s="2">
        <v>33939</v>
      </c>
      <c r="B33944" s="3" t="str">
        <f>"201511010105"</f>
        <v>201511010105</v>
      </c>
    </row>
    <row r="33945" spans="1:2" x14ac:dyDescent="0.25">
      <c r="A33945" s="2">
        <v>33940</v>
      </c>
      <c r="B33945" s="3" t="str">
        <f>"201511010115"</f>
        <v>201511010115</v>
      </c>
    </row>
    <row r="33946" spans="1:2" x14ac:dyDescent="0.25">
      <c r="A33946" s="2">
        <v>33941</v>
      </c>
      <c r="B33946" s="3" t="str">
        <f>"201511010122"</f>
        <v>201511010122</v>
      </c>
    </row>
    <row r="33947" spans="1:2" x14ac:dyDescent="0.25">
      <c r="A33947" s="2">
        <v>33942</v>
      </c>
      <c r="B33947" s="3" t="str">
        <f>"201511010134"</f>
        <v>201511010134</v>
      </c>
    </row>
    <row r="33948" spans="1:2" x14ac:dyDescent="0.25">
      <c r="A33948" s="2">
        <v>33943</v>
      </c>
      <c r="B33948" s="3" t="str">
        <f>"201511010147"</f>
        <v>201511010147</v>
      </c>
    </row>
    <row r="33949" spans="1:2" x14ac:dyDescent="0.25">
      <c r="A33949" s="2">
        <v>33944</v>
      </c>
      <c r="B33949" s="3" t="str">
        <f>"201511010155"</f>
        <v>201511010155</v>
      </c>
    </row>
    <row r="33950" spans="1:2" x14ac:dyDescent="0.25">
      <c r="A33950" s="2">
        <v>33945</v>
      </c>
      <c r="B33950" s="3" t="str">
        <f>"201511010156"</f>
        <v>201511010156</v>
      </c>
    </row>
    <row r="33951" spans="1:2" x14ac:dyDescent="0.25">
      <c r="A33951" s="2">
        <v>33946</v>
      </c>
      <c r="B33951" s="3" t="str">
        <f>"201511010162"</f>
        <v>201511010162</v>
      </c>
    </row>
    <row r="33952" spans="1:2" x14ac:dyDescent="0.25">
      <c r="A33952" s="2">
        <v>33947</v>
      </c>
      <c r="B33952" s="3" t="str">
        <f>"201511010276"</f>
        <v>201511010276</v>
      </c>
    </row>
    <row r="33953" spans="1:2" x14ac:dyDescent="0.25">
      <c r="A33953" s="2">
        <v>33948</v>
      </c>
      <c r="B33953" s="3" t="str">
        <f>"201511010277"</f>
        <v>201511010277</v>
      </c>
    </row>
    <row r="33954" spans="1:2" x14ac:dyDescent="0.25">
      <c r="A33954" s="2">
        <v>33949</v>
      </c>
      <c r="B33954" s="3" t="str">
        <f>"201511010284"</f>
        <v>201511010284</v>
      </c>
    </row>
    <row r="33955" spans="1:2" x14ac:dyDescent="0.25">
      <c r="A33955" s="2">
        <v>33950</v>
      </c>
      <c r="B33955" s="3" t="str">
        <f>"201511010342"</f>
        <v>201511010342</v>
      </c>
    </row>
    <row r="33956" spans="1:2" x14ac:dyDescent="0.25">
      <c r="A33956" s="2">
        <v>33951</v>
      </c>
      <c r="B33956" s="3" t="str">
        <f>"201511010367"</f>
        <v>201511010367</v>
      </c>
    </row>
    <row r="33957" spans="1:2" x14ac:dyDescent="0.25">
      <c r="A33957" s="2">
        <v>33952</v>
      </c>
      <c r="B33957" s="3" t="str">
        <f>"201511010371"</f>
        <v>201511010371</v>
      </c>
    </row>
    <row r="33958" spans="1:2" x14ac:dyDescent="0.25">
      <c r="A33958" s="2">
        <v>33953</v>
      </c>
      <c r="B33958" s="3" t="str">
        <f>"201511010403"</f>
        <v>201511010403</v>
      </c>
    </row>
    <row r="33959" spans="1:2" x14ac:dyDescent="0.25">
      <c r="A33959" s="2">
        <v>33954</v>
      </c>
      <c r="B33959" s="3" t="str">
        <f>"201511010445"</f>
        <v>201511010445</v>
      </c>
    </row>
    <row r="33960" spans="1:2" x14ac:dyDescent="0.25">
      <c r="A33960" s="2">
        <v>33955</v>
      </c>
      <c r="B33960" s="3" t="str">
        <f>"201511010462"</f>
        <v>201511010462</v>
      </c>
    </row>
    <row r="33961" spans="1:2" x14ac:dyDescent="0.25">
      <c r="A33961" s="2">
        <v>33956</v>
      </c>
      <c r="B33961" s="3" t="str">
        <f>"201511010466"</f>
        <v>201511010466</v>
      </c>
    </row>
    <row r="33962" spans="1:2" x14ac:dyDescent="0.25">
      <c r="A33962" s="2">
        <v>33957</v>
      </c>
      <c r="B33962" s="3" t="str">
        <f>"201511010521"</f>
        <v>201511010521</v>
      </c>
    </row>
    <row r="33963" spans="1:2" x14ac:dyDescent="0.25">
      <c r="A33963" s="2">
        <v>33958</v>
      </c>
      <c r="B33963" s="3" t="str">
        <f>"201511010527"</f>
        <v>201511010527</v>
      </c>
    </row>
    <row r="33964" spans="1:2" x14ac:dyDescent="0.25">
      <c r="A33964" s="2">
        <v>33959</v>
      </c>
      <c r="B33964" s="3" t="str">
        <f>"201511010531"</f>
        <v>201511010531</v>
      </c>
    </row>
    <row r="33965" spans="1:2" x14ac:dyDescent="0.25">
      <c r="A33965" s="2">
        <v>33960</v>
      </c>
      <c r="B33965" s="3" t="str">
        <f>"201511010574"</f>
        <v>201511010574</v>
      </c>
    </row>
    <row r="33966" spans="1:2" x14ac:dyDescent="0.25">
      <c r="A33966" s="2">
        <v>33961</v>
      </c>
      <c r="B33966" s="3" t="str">
        <f>"201511010579"</f>
        <v>201511010579</v>
      </c>
    </row>
    <row r="33967" spans="1:2" x14ac:dyDescent="0.25">
      <c r="A33967" s="2">
        <v>33962</v>
      </c>
      <c r="B33967" s="3" t="str">
        <f>"201511010604"</f>
        <v>201511010604</v>
      </c>
    </row>
    <row r="33968" spans="1:2" x14ac:dyDescent="0.25">
      <c r="A33968" s="2">
        <v>33963</v>
      </c>
      <c r="B33968" s="3" t="str">
        <f>"201511010616"</f>
        <v>201511010616</v>
      </c>
    </row>
    <row r="33969" spans="1:2" x14ac:dyDescent="0.25">
      <c r="A33969" s="2">
        <v>33964</v>
      </c>
      <c r="B33969" s="3" t="str">
        <f>"201511010627"</f>
        <v>201511010627</v>
      </c>
    </row>
    <row r="33970" spans="1:2" x14ac:dyDescent="0.25">
      <c r="A33970" s="2">
        <v>33965</v>
      </c>
      <c r="B33970" s="3" t="str">
        <f>"201511010650"</f>
        <v>201511010650</v>
      </c>
    </row>
    <row r="33971" spans="1:2" x14ac:dyDescent="0.25">
      <c r="A33971" s="2">
        <v>33966</v>
      </c>
      <c r="B33971" s="3" t="str">
        <f>"201511010655"</f>
        <v>201511010655</v>
      </c>
    </row>
    <row r="33972" spans="1:2" x14ac:dyDescent="0.25">
      <c r="A33972" s="2">
        <v>33967</v>
      </c>
      <c r="B33972" s="3" t="str">
        <f>"201511010672"</f>
        <v>201511010672</v>
      </c>
    </row>
    <row r="33973" spans="1:2" x14ac:dyDescent="0.25">
      <c r="A33973" s="2">
        <v>33968</v>
      </c>
      <c r="B33973" s="3" t="str">
        <f>"201511010676"</f>
        <v>201511010676</v>
      </c>
    </row>
    <row r="33974" spans="1:2" x14ac:dyDescent="0.25">
      <c r="A33974" s="2">
        <v>33969</v>
      </c>
      <c r="B33974" s="3" t="str">
        <f>"201511010684"</f>
        <v>201511010684</v>
      </c>
    </row>
    <row r="33975" spans="1:2" x14ac:dyDescent="0.25">
      <c r="A33975" s="2">
        <v>33970</v>
      </c>
      <c r="B33975" s="3" t="str">
        <f>"201511010720"</f>
        <v>201511010720</v>
      </c>
    </row>
    <row r="33976" spans="1:2" x14ac:dyDescent="0.25">
      <c r="A33976" s="2">
        <v>33971</v>
      </c>
      <c r="B33976" s="3" t="str">
        <f>"201511010725"</f>
        <v>201511010725</v>
      </c>
    </row>
    <row r="33977" spans="1:2" x14ac:dyDescent="0.25">
      <c r="A33977" s="2">
        <v>33972</v>
      </c>
      <c r="B33977" s="3" t="str">
        <f>"201511010727"</f>
        <v>201511010727</v>
      </c>
    </row>
    <row r="33978" spans="1:2" x14ac:dyDescent="0.25">
      <c r="A33978" s="2">
        <v>33973</v>
      </c>
      <c r="B33978" s="3" t="str">
        <f>"201511010728"</f>
        <v>201511010728</v>
      </c>
    </row>
    <row r="33979" spans="1:2" x14ac:dyDescent="0.25">
      <c r="A33979" s="2">
        <v>33974</v>
      </c>
      <c r="B33979" s="3" t="str">
        <f>"201511010740"</f>
        <v>201511010740</v>
      </c>
    </row>
    <row r="33980" spans="1:2" x14ac:dyDescent="0.25">
      <c r="A33980" s="2">
        <v>33975</v>
      </c>
      <c r="B33980" s="3" t="str">
        <f>"201511010833"</f>
        <v>201511010833</v>
      </c>
    </row>
    <row r="33981" spans="1:2" x14ac:dyDescent="0.25">
      <c r="A33981" s="2">
        <v>33976</v>
      </c>
      <c r="B33981" s="3" t="str">
        <f>"201511010873"</f>
        <v>201511010873</v>
      </c>
    </row>
    <row r="33982" spans="1:2" x14ac:dyDescent="0.25">
      <c r="A33982" s="2">
        <v>33977</v>
      </c>
      <c r="B33982" s="3" t="str">
        <f>"201511010884"</f>
        <v>201511010884</v>
      </c>
    </row>
    <row r="33983" spans="1:2" x14ac:dyDescent="0.25">
      <c r="A33983" s="2">
        <v>33978</v>
      </c>
      <c r="B33983" s="3" t="str">
        <f>"201511010903"</f>
        <v>201511010903</v>
      </c>
    </row>
    <row r="33984" spans="1:2" x14ac:dyDescent="0.25">
      <c r="A33984" s="2">
        <v>33979</v>
      </c>
      <c r="B33984" s="3" t="str">
        <f>"201511011010"</f>
        <v>201511011010</v>
      </c>
    </row>
    <row r="33985" spans="1:2" x14ac:dyDescent="0.25">
      <c r="A33985" s="2">
        <v>33980</v>
      </c>
      <c r="B33985" s="3" t="str">
        <f>"201511011011"</f>
        <v>201511011011</v>
      </c>
    </row>
    <row r="33986" spans="1:2" x14ac:dyDescent="0.25">
      <c r="A33986" s="2">
        <v>33981</v>
      </c>
      <c r="B33986" s="3" t="str">
        <f>"201511011051"</f>
        <v>201511011051</v>
      </c>
    </row>
    <row r="33987" spans="1:2" x14ac:dyDescent="0.25">
      <c r="A33987" s="2">
        <v>33982</v>
      </c>
      <c r="B33987" s="3" t="str">
        <f>"201511011054"</f>
        <v>201511011054</v>
      </c>
    </row>
    <row r="33988" spans="1:2" x14ac:dyDescent="0.25">
      <c r="A33988" s="2">
        <v>33983</v>
      </c>
      <c r="B33988" s="3" t="str">
        <f>"201511011074"</f>
        <v>201511011074</v>
      </c>
    </row>
    <row r="33989" spans="1:2" x14ac:dyDescent="0.25">
      <c r="A33989" s="2">
        <v>33984</v>
      </c>
      <c r="B33989" s="3" t="str">
        <f>"201511011085"</f>
        <v>201511011085</v>
      </c>
    </row>
    <row r="33990" spans="1:2" x14ac:dyDescent="0.25">
      <c r="A33990" s="2">
        <v>33985</v>
      </c>
      <c r="B33990" s="3" t="str">
        <f>"201511011123"</f>
        <v>201511011123</v>
      </c>
    </row>
    <row r="33991" spans="1:2" x14ac:dyDescent="0.25">
      <c r="A33991" s="2">
        <v>33986</v>
      </c>
      <c r="B33991" s="3" t="str">
        <f>"201511011135"</f>
        <v>201511011135</v>
      </c>
    </row>
    <row r="33992" spans="1:2" x14ac:dyDescent="0.25">
      <c r="A33992" s="2">
        <v>33987</v>
      </c>
      <c r="B33992" s="3" t="str">
        <f>"201511011155"</f>
        <v>201511011155</v>
      </c>
    </row>
    <row r="33993" spans="1:2" x14ac:dyDescent="0.25">
      <c r="A33993" s="2">
        <v>33988</v>
      </c>
      <c r="B33993" s="3" t="str">
        <f>"201511011161"</f>
        <v>201511011161</v>
      </c>
    </row>
    <row r="33994" spans="1:2" x14ac:dyDescent="0.25">
      <c r="A33994" s="2">
        <v>33989</v>
      </c>
      <c r="B33994" s="3" t="str">
        <f>"201511011192"</f>
        <v>201511011192</v>
      </c>
    </row>
    <row r="33995" spans="1:2" x14ac:dyDescent="0.25">
      <c r="A33995" s="2">
        <v>33990</v>
      </c>
      <c r="B33995" s="3" t="str">
        <f>"201511011203"</f>
        <v>201511011203</v>
      </c>
    </row>
    <row r="33996" spans="1:2" x14ac:dyDescent="0.25">
      <c r="A33996" s="2">
        <v>33991</v>
      </c>
      <c r="B33996" s="3" t="str">
        <f>"201511011249"</f>
        <v>201511011249</v>
      </c>
    </row>
    <row r="33997" spans="1:2" x14ac:dyDescent="0.25">
      <c r="A33997" s="2">
        <v>33992</v>
      </c>
      <c r="B33997" s="3" t="str">
        <f>"201511011258"</f>
        <v>201511011258</v>
      </c>
    </row>
    <row r="33998" spans="1:2" x14ac:dyDescent="0.25">
      <c r="A33998" s="2">
        <v>33993</v>
      </c>
      <c r="B33998" s="3" t="str">
        <f>"201511011303"</f>
        <v>201511011303</v>
      </c>
    </row>
    <row r="33999" spans="1:2" x14ac:dyDescent="0.25">
      <c r="A33999" s="2">
        <v>33994</v>
      </c>
      <c r="B33999" s="3" t="str">
        <f>"201511011329"</f>
        <v>201511011329</v>
      </c>
    </row>
    <row r="34000" spans="1:2" x14ac:dyDescent="0.25">
      <c r="A34000" s="2">
        <v>33995</v>
      </c>
      <c r="B34000" s="3" t="str">
        <f>"201511011338"</f>
        <v>201511011338</v>
      </c>
    </row>
    <row r="34001" spans="1:2" x14ac:dyDescent="0.25">
      <c r="A34001" s="2">
        <v>33996</v>
      </c>
      <c r="B34001" s="3" t="str">
        <f>"201511011341"</f>
        <v>201511011341</v>
      </c>
    </row>
    <row r="34002" spans="1:2" x14ac:dyDescent="0.25">
      <c r="A34002" s="2">
        <v>33997</v>
      </c>
      <c r="B34002" s="3" t="str">
        <f>"201511011365"</f>
        <v>201511011365</v>
      </c>
    </row>
    <row r="34003" spans="1:2" x14ac:dyDescent="0.25">
      <c r="A34003" s="2">
        <v>33998</v>
      </c>
      <c r="B34003" s="3" t="str">
        <f>"201511011391"</f>
        <v>201511011391</v>
      </c>
    </row>
    <row r="34004" spans="1:2" x14ac:dyDescent="0.25">
      <c r="A34004" s="2">
        <v>33999</v>
      </c>
      <c r="B34004" s="3" t="str">
        <f>"201511011393"</f>
        <v>201511011393</v>
      </c>
    </row>
    <row r="34005" spans="1:2" x14ac:dyDescent="0.25">
      <c r="A34005" s="2">
        <v>34000</v>
      </c>
      <c r="B34005" s="3" t="str">
        <f>"201511011400"</f>
        <v>201511011400</v>
      </c>
    </row>
    <row r="34006" spans="1:2" x14ac:dyDescent="0.25">
      <c r="A34006" s="2">
        <v>34001</v>
      </c>
      <c r="B34006" s="3" t="str">
        <f>"201511011447"</f>
        <v>201511011447</v>
      </c>
    </row>
    <row r="34007" spans="1:2" x14ac:dyDescent="0.25">
      <c r="A34007" s="2">
        <v>34002</v>
      </c>
      <c r="B34007" s="3" t="str">
        <f>"201511011495"</f>
        <v>201511011495</v>
      </c>
    </row>
    <row r="34008" spans="1:2" x14ac:dyDescent="0.25">
      <c r="A34008" s="2">
        <v>34003</v>
      </c>
      <c r="B34008" s="3" t="str">
        <f>"201511011500"</f>
        <v>201511011500</v>
      </c>
    </row>
    <row r="34009" spans="1:2" x14ac:dyDescent="0.25">
      <c r="A34009" s="2">
        <v>34004</v>
      </c>
      <c r="B34009" s="3" t="str">
        <f>"201511011544"</f>
        <v>201511011544</v>
      </c>
    </row>
    <row r="34010" spans="1:2" x14ac:dyDescent="0.25">
      <c r="A34010" s="2">
        <v>34005</v>
      </c>
      <c r="B34010" s="3" t="str">
        <f>"201511011565"</f>
        <v>201511011565</v>
      </c>
    </row>
    <row r="34011" spans="1:2" x14ac:dyDescent="0.25">
      <c r="A34011" s="2">
        <v>34006</v>
      </c>
      <c r="B34011" s="3" t="str">
        <f>"201511011619"</f>
        <v>201511011619</v>
      </c>
    </row>
    <row r="34012" spans="1:2" x14ac:dyDescent="0.25">
      <c r="A34012" s="2">
        <v>34007</v>
      </c>
      <c r="B34012" s="3" t="str">
        <f>"201511011678"</f>
        <v>201511011678</v>
      </c>
    </row>
    <row r="34013" spans="1:2" x14ac:dyDescent="0.25">
      <c r="A34013" s="2">
        <v>34008</v>
      </c>
      <c r="B34013" s="3" t="str">
        <f>"201511011683"</f>
        <v>201511011683</v>
      </c>
    </row>
    <row r="34014" spans="1:2" x14ac:dyDescent="0.25">
      <c r="A34014" s="2">
        <v>34009</v>
      </c>
      <c r="B34014" s="3" t="str">
        <f>"201511011684"</f>
        <v>201511011684</v>
      </c>
    </row>
    <row r="34015" spans="1:2" x14ac:dyDescent="0.25">
      <c r="A34015" s="2">
        <v>34010</v>
      </c>
      <c r="B34015" s="3" t="str">
        <f>"201511011719"</f>
        <v>201511011719</v>
      </c>
    </row>
    <row r="34016" spans="1:2" x14ac:dyDescent="0.25">
      <c r="A34016" s="2">
        <v>34011</v>
      </c>
      <c r="B34016" s="3" t="str">
        <f>"201511011722"</f>
        <v>201511011722</v>
      </c>
    </row>
    <row r="34017" spans="1:2" x14ac:dyDescent="0.25">
      <c r="A34017" s="2">
        <v>34012</v>
      </c>
      <c r="B34017" s="3" t="str">
        <f>"201511011763"</f>
        <v>201511011763</v>
      </c>
    </row>
    <row r="34018" spans="1:2" x14ac:dyDescent="0.25">
      <c r="A34018" s="2">
        <v>34013</v>
      </c>
      <c r="B34018" s="3" t="str">
        <f>"201511011772"</f>
        <v>201511011772</v>
      </c>
    </row>
    <row r="34019" spans="1:2" x14ac:dyDescent="0.25">
      <c r="A34019" s="2">
        <v>34014</v>
      </c>
      <c r="B34019" s="3" t="str">
        <f>"201511011774"</f>
        <v>201511011774</v>
      </c>
    </row>
    <row r="34020" spans="1:2" x14ac:dyDescent="0.25">
      <c r="A34020" s="2">
        <v>34015</v>
      </c>
      <c r="B34020" s="3" t="str">
        <f>"201511011805"</f>
        <v>201511011805</v>
      </c>
    </row>
    <row r="34021" spans="1:2" x14ac:dyDescent="0.25">
      <c r="A34021" s="2">
        <v>34016</v>
      </c>
      <c r="B34021" s="3" t="str">
        <f>"201511011890"</f>
        <v>201511011890</v>
      </c>
    </row>
    <row r="34022" spans="1:2" x14ac:dyDescent="0.25">
      <c r="A34022" s="2">
        <v>34017</v>
      </c>
      <c r="B34022" s="3" t="str">
        <f>"201511011910"</f>
        <v>201511011910</v>
      </c>
    </row>
    <row r="34023" spans="1:2" x14ac:dyDescent="0.25">
      <c r="A34023" s="2">
        <v>34018</v>
      </c>
      <c r="B34023" s="3" t="str">
        <f>"201511011944"</f>
        <v>201511011944</v>
      </c>
    </row>
    <row r="34024" spans="1:2" x14ac:dyDescent="0.25">
      <c r="A34024" s="2">
        <v>34019</v>
      </c>
      <c r="B34024" s="3" t="str">
        <f>"201511011970"</f>
        <v>201511011970</v>
      </c>
    </row>
    <row r="34025" spans="1:2" x14ac:dyDescent="0.25">
      <c r="A34025" s="2">
        <v>34020</v>
      </c>
      <c r="B34025" s="3" t="str">
        <f>"201511011972"</f>
        <v>201511011972</v>
      </c>
    </row>
    <row r="34026" spans="1:2" x14ac:dyDescent="0.25">
      <c r="A34026" s="2">
        <v>34021</v>
      </c>
      <c r="B34026" s="3" t="str">
        <f>"201511012009"</f>
        <v>201511012009</v>
      </c>
    </row>
    <row r="34027" spans="1:2" x14ac:dyDescent="0.25">
      <c r="A34027" s="2">
        <v>34022</v>
      </c>
      <c r="B34027" s="3" t="str">
        <f>"201511012011"</f>
        <v>201511012011</v>
      </c>
    </row>
    <row r="34028" spans="1:2" x14ac:dyDescent="0.25">
      <c r="A34028" s="2">
        <v>34023</v>
      </c>
      <c r="B34028" s="3" t="str">
        <f>"201511012066"</f>
        <v>201511012066</v>
      </c>
    </row>
    <row r="34029" spans="1:2" x14ac:dyDescent="0.25">
      <c r="A34029" s="2">
        <v>34024</v>
      </c>
      <c r="B34029" s="3" t="str">
        <f>"201511012067"</f>
        <v>201511012067</v>
      </c>
    </row>
    <row r="34030" spans="1:2" x14ac:dyDescent="0.25">
      <c r="A34030" s="2">
        <v>34025</v>
      </c>
      <c r="B34030" s="3" t="str">
        <f>"201511012073"</f>
        <v>201511012073</v>
      </c>
    </row>
    <row r="34031" spans="1:2" x14ac:dyDescent="0.25">
      <c r="A34031" s="2">
        <v>34026</v>
      </c>
      <c r="B34031" s="3" t="str">
        <f>"201511012113"</f>
        <v>201511012113</v>
      </c>
    </row>
    <row r="34032" spans="1:2" x14ac:dyDescent="0.25">
      <c r="A34032" s="2">
        <v>34027</v>
      </c>
      <c r="B34032" s="3" t="str">
        <f>"201511012217"</f>
        <v>201511012217</v>
      </c>
    </row>
    <row r="34033" spans="1:2" x14ac:dyDescent="0.25">
      <c r="A34033" s="2">
        <v>34028</v>
      </c>
      <c r="B34033" s="3" t="str">
        <f>"201511012261"</f>
        <v>201511012261</v>
      </c>
    </row>
    <row r="34034" spans="1:2" x14ac:dyDescent="0.25">
      <c r="A34034" s="2">
        <v>34029</v>
      </c>
      <c r="B34034" s="3" t="str">
        <f>"201511012312"</f>
        <v>201511012312</v>
      </c>
    </row>
    <row r="34035" spans="1:2" x14ac:dyDescent="0.25">
      <c r="A34035" s="2">
        <v>34030</v>
      </c>
      <c r="B34035" s="3" t="str">
        <f>"201511012315"</f>
        <v>201511012315</v>
      </c>
    </row>
    <row r="34036" spans="1:2" x14ac:dyDescent="0.25">
      <c r="A34036" s="2">
        <v>34031</v>
      </c>
      <c r="B34036" s="3" t="str">
        <f>"201511012340"</f>
        <v>201511012340</v>
      </c>
    </row>
    <row r="34037" spans="1:2" x14ac:dyDescent="0.25">
      <c r="A34037" s="2">
        <v>34032</v>
      </c>
      <c r="B34037" s="3" t="str">
        <f>"201511012361"</f>
        <v>201511012361</v>
      </c>
    </row>
    <row r="34038" spans="1:2" x14ac:dyDescent="0.25">
      <c r="A34038" s="2">
        <v>34033</v>
      </c>
      <c r="B34038" s="3" t="str">
        <f>"201511012370"</f>
        <v>201511012370</v>
      </c>
    </row>
    <row r="34039" spans="1:2" x14ac:dyDescent="0.25">
      <c r="A34039" s="2">
        <v>34034</v>
      </c>
      <c r="B34039" s="3" t="str">
        <f>"201511012395"</f>
        <v>201511012395</v>
      </c>
    </row>
    <row r="34040" spans="1:2" x14ac:dyDescent="0.25">
      <c r="A34040" s="2">
        <v>34035</v>
      </c>
      <c r="B34040" s="3" t="str">
        <f>"201511012402"</f>
        <v>201511012402</v>
      </c>
    </row>
    <row r="34041" spans="1:2" x14ac:dyDescent="0.25">
      <c r="A34041" s="2">
        <v>34036</v>
      </c>
      <c r="B34041" s="3" t="str">
        <f>"201511012435"</f>
        <v>201511012435</v>
      </c>
    </row>
    <row r="34042" spans="1:2" x14ac:dyDescent="0.25">
      <c r="A34042" s="2">
        <v>34037</v>
      </c>
      <c r="B34042" s="3" t="str">
        <f>"201511012439"</f>
        <v>201511012439</v>
      </c>
    </row>
    <row r="34043" spans="1:2" x14ac:dyDescent="0.25">
      <c r="A34043" s="2">
        <v>34038</v>
      </c>
      <c r="B34043" s="3" t="str">
        <f>"201511012456"</f>
        <v>201511012456</v>
      </c>
    </row>
    <row r="34044" spans="1:2" x14ac:dyDescent="0.25">
      <c r="A34044" s="2">
        <v>34039</v>
      </c>
      <c r="B34044" s="3" t="str">
        <f>"201511012491"</f>
        <v>201511012491</v>
      </c>
    </row>
    <row r="34045" spans="1:2" x14ac:dyDescent="0.25">
      <c r="A34045" s="2">
        <v>34040</v>
      </c>
      <c r="B34045" s="3" t="str">
        <f>"201511012497"</f>
        <v>201511012497</v>
      </c>
    </row>
    <row r="34046" spans="1:2" x14ac:dyDescent="0.25">
      <c r="A34046" s="2">
        <v>34041</v>
      </c>
      <c r="B34046" s="3" t="str">
        <f>"201511012501"</f>
        <v>201511012501</v>
      </c>
    </row>
    <row r="34047" spans="1:2" x14ac:dyDescent="0.25">
      <c r="A34047" s="2">
        <v>34042</v>
      </c>
      <c r="B34047" s="3" t="str">
        <f>"201511012513"</f>
        <v>201511012513</v>
      </c>
    </row>
    <row r="34048" spans="1:2" x14ac:dyDescent="0.25">
      <c r="A34048" s="2">
        <v>34043</v>
      </c>
      <c r="B34048" s="3" t="str">
        <f>"201511012521"</f>
        <v>201511012521</v>
      </c>
    </row>
    <row r="34049" spans="1:2" x14ac:dyDescent="0.25">
      <c r="A34049" s="2">
        <v>34044</v>
      </c>
      <c r="B34049" s="3" t="str">
        <f>"201511012562"</f>
        <v>201511012562</v>
      </c>
    </row>
    <row r="34050" spans="1:2" x14ac:dyDescent="0.25">
      <c r="A34050" s="2">
        <v>34045</v>
      </c>
      <c r="B34050" s="3" t="str">
        <f>"201511012572"</f>
        <v>201511012572</v>
      </c>
    </row>
    <row r="34051" spans="1:2" x14ac:dyDescent="0.25">
      <c r="A34051" s="2">
        <v>34046</v>
      </c>
      <c r="B34051" s="3" t="str">
        <f>"201511012614"</f>
        <v>201511012614</v>
      </c>
    </row>
    <row r="34052" spans="1:2" x14ac:dyDescent="0.25">
      <c r="A34052" s="2">
        <v>34047</v>
      </c>
      <c r="B34052" s="3" t="str">
        <f>"201511012619"</f>
        <v>201511012619</v>
      </c>
    </row>
    <row r="34053" spans="1:2" x14ac:dyDescent="0.25">
      <c r="A34053" s="2">
        <v>34048</v>
      </c>
      <c r="B34053" s="3" t="str">
        <f>"201511012632"</f>
        <v>201511012632</v>
      </c>
    </row>
    <row r="34054" spans="1:2" x14ac:dyDescent="0.25">
      <c r="A34054" s="2">
        <v>34049</v>
      </c>
      <c r="B34054" s="3" t="str">
        <f>"201511012743"</f>
        <v>201511012743</v>
      </c>
    </row>
    <row r="34055" spans="1:2" x14ac:dyDescent="0.25">
      <c r="A34055" s="2">
        <v>34050</v>
      </c>
      <c r="B34055" s="3" t="str">
        <f>"201511012836"</f>
        <v>201511012836</v>
      </c>
    </row>
    <row r="34056" spans="1:2" x14ac:dyDescent="0.25">
      <c r="A34056" s="2">
        <v>34051</v>
      </c>
      <c r="B34056" s="3" t="str">
        <f>"201511012855"</f>
        <v>201511012855</v>
      </c>
    </row>
    <row r="34057" spans="1:2" x14ac:dyDescent="0.25">
      <c r="A34057" s="2">
        <v>34052</v>
      </c>
      <c r="B34057" s="3" t="str">
        <f>"201511012867"</f>
        <v>201511012867</v>
      </c>
    </row>
    <row r="34058" spans="1:2" x14ac:dyDescent="0.25">
      <c r="A34058" s="2">
        <v>34053</v>
      </c>
      <c r="B34058" s="3" t="str">
        <f>"201511012885"</f>
        <v>201511012885</v>
      </c>
    </row>
    <row r="34059" spans="1:2" x14ac:dyDescent="0.25">
      <c r="A34059" s="2">
        <v>34054</v>
      </c>
      <c r="B34059" s="3" t="str">
        <f>"201511012940"</f>
        <v>201511012940</v>
      </c>
    </row>
    <row r="34060" spans="1:2" x14ac:dyDescent="0.25">
      <c r="A34060" s="2">
        <v>34055</v>
      </c>
      <c r="B34060" s="3" t="str">
        <f>"201511012964"</f>
        <v>201511012964</v>
      </c>
    </row>
    <row r="34061" spans="1:2" x14ac:dyDescent="0.25">
      <c r="A34061" s="2">
        <v>34056</v>
      </c>
      <c r="B34061" s="3" t="str">
        <f>"201511012991"</f>
        <v>201511012991</v>
      </c>
    </row>
    <row r="34062" spans="1:2" x14ac:dyDescent="0.25">
      <c r="A34062" s="2">
        <v>34057</v>
      </c>
      <c r="B34062" s="3" t="str">
        <f>"201511013022"</f>
        <v>201511013022</v>
      </c>
    </row>
    <row r="34063" spans="1:2" x14ac:dyDescent="0.25">
      <c r="A34063" s="2">
        <v>34058</v>
      </c>
      <c r="B34063" s="3" t="str">
        <f>"201511013063"</f>
        <v>201511013063</v>
      </c>
    </row>
    <row r="34064" spans="1:2" x14ac:dyDescent="0.25">
      <c r="A34064" s="2">
        <v>34059</v>
      </c>
      <c r="B34064" s="3" t="str">
        <f>"201511013086"</f>
        <v>201511013086</v>
      </c>
    </row>
    <row r="34065" spans="1:2" x14ac:dyDescent="0.25">
      <c r="A34065" s="2">
        <v>34060</v>
      </c>
      <c r="B34065" s="3" t="str">
        <f>"201511013133"</f>
        <v>201511013133</v>
      </c>
    </row>
    <row r="34066" spans="1:2" x14ac:dyDescent="0.25">
      <c r="A34066" s="2">
        <v>34061</v>
      </c>
      <c r="B34066" s="3" t="str">
        <f>"201511013139"</f>
        <v>201511013139</v>
      </c>
    </row>
    <row r="34067" spans="1:2" x14ac:dyDescent="0.25">
      <c r="A34067" s="2">
        <v>34062</v>
      </c>
      <c r="B34067" s="3" t="str">
        <f>"201511013150"</f>
        <v>201511013150</v>
      </c>
    </row>
    <row r="34068" spans="1:2" x14ac:dyDescent="0.25">
      <c r="A34068" s="2">
        <v>34063</v>
      </c>
      <c r="B34068" s="3" t="str">
        <f>"201511013154"</f>
        <v>201511013154</v>
      </c>
    </row>
    <row r="34069" spans="1:2" x14ac:dyDescent="0.25">
      <c r="A34069" s="2">
        <v>34064</v>
      </c>
      <c r="B34069" s="3" t="str">
        <f>"201511013180"</f>
        <v>201511013180</v>
      </c>
    </row>
    <row r="34070" spans="1:2" x14ac:dyDescent="0.25">
      <c r="A34070" s="2">
        <v>34065</v>
      </c>
      <c r="B34070" s="3" t="str">
        <f>"201511013181"</f>
        <v>201511013181</v>
      </c>
    </row>
    <row r="34071" spans="1:2" x14ac:dyDescent="0.25">
      <c r="A34071" s="2">
        <v>34066</v>
      </c>
      <c r="B34071" s="3" t="str">
        <f>"201511013192"</f>
        <v>201511013192</v>
      </c>
    </row>
    <row r="34072" spans="1:2" x14ac:dyDescent="0.25">
      <c r="A34072" s="2">
        <v>34067</v>
      </c>
      <c r="B34072" s="3" t="str">
        <f>"201511013215"</f>
        <v>201511013215</v>
      </c>
    </row>
    <row r="34073" spans="1:2" x14ac:dyDescent="0.25">
      <c r="A34073" s="2">
        <v>34068</v>
      </c>
      <c r="B34073" s="3" t="str">
        <f>"201511013228"</f>
        <v>201511013228</v>
      </c>
    </row>
    <row r="34074" spans="1:2" x14ac:dyDescent="0.25">
      <c r="A34074" s="2">
        <v>34069</v>
      </c>
      <c r="B34074" s="3" t="str">
        <f>"201511013239"</f>
        <v>201511013239</v>
      </c>
    </row>
    <row r="34075" spans="1:2" x14ac:dyDescent="0.25">
      <c r="A34075" s="2">
        <v>34070</v>
      </c>
      <c r="B34075" s="3" t="str">
        <f>"201511013240"</f>
        <v>201511013240</v>
      </c>
    </row>
    <row r="34076" spans="1:2" x14ac:dyDescent="0.25">
      <c r="A34076" s="2">
        <v>34071</v>
      </c>
      <c r="B34076" s="3" t="str">
        <f>"201511013243"</f>
        <v>201511013243</v>
      </c>
    </row>
    <row r="34077" spans="1:2" x14ac:dyDescent="0.25">
      <c r="A34077" s="2">
        <v>34072</v>
      </c>
      <c r="B34077" s="3" t="str">
        <f>"201511013357"</f>
        <v>201511013357</v>
      </c>
    </row>
    <row r="34078" spans="1:2" x14ac:dyDescent="0.25">
      <c r="A34078" s="2">
        <v>34073</v>
      </c>
      <c r="B34078" s="3" t="str">
        <f>"201511013360"</f>
        <v>201511013360</v>
      </c>
    </row>
    <row r="34079" spans="1:2" x14ac:dyDescent="0.25">
      <c r="A34079" s="2">
        <v>34074</v>
      </c>
      <c r="B34079" s="3" t="str">
        <f>"201511013366"</f>
        <v>201511013366</v>
      </c>
    </row>
    <row r="34080" spans="1:2" x14ac:dyDescent="0.25">
      <c r="A34080" s="2">
        <v>34075</v>
      </c>
      <c r="B34080" s="3" t="str">
        <f>"201511013377"</f>
        <v>201511013377</v>
      </c>
    </row>
    <row r="34081" spans="1:2" x14ac:dyDescent="0.25">
      <c r="A34081" s="2">
        <v>34076</v>
      </c>
      <c r="B34081" s="3" t="str">
        <f>"201511013404"</f>
        <v>201511013404</v>
      </c>
    </row>
    <row r="34082" spans="1:2" x14ac:dyDescent="0.25">
      <c r="A34082" s="2">
        <v>34077</v>
      </c>
      <c r="B34082" s="3" t="str">
        <f>"201511013409"</f>
        <v>201511013409</v>
      </c>
    </row>
    <row r="34083" spans="1:2" x14ac:dyDescent="0.25">
      <c r="A34083" s="2">
        <v>34078</v>
      </c>
      <c r="B34083" s="3" t="str">
        <f>"201511013411"</f>
        <v>201511013411</v>
      </c>
    </row>
    <row r="34084" spans="1:2" x14ac:dyDescent="0.25">
      <c r="A34084" s="2">
        <v>34079</v>
      </c>
      <c r="B34084" s="3" t="str">
        <f>"201511013438"</f>
        <v>201511013438</v>
      </c>
    </row>
    <row r="34085" spans="1:2" x14ac:dyDescent="0.25">
      <c r="A34085" s="2">
        <v>34080</v>
      </c>
      <c r="B34085" s="3" t="str">
        <f>"201511013483"</f>
        <v>201511013483</v>
      </c>
    </row>
    <row r="34086" spans="1:2" x14ac:dyDescent="0.25">
      <c r="A34086" s="2">
        <v>34081</v>
      </c>
      <c r="B34086" s="3" t="str">
        <f>"201511013500"</f>
        <v>201511013500</v>
      </c>
    </row>
    <row r="34087" spans="1:2" x14ac:dyDescent="0.25">
      <c r="A34087" s="2">
        <v>34082</v>
      </c>
      <c r="B34087" s="3" t="str">
        <f>"201511013543"</f>
        <v>201511013543</v>
      </c>
    </row>
    <row r="34088" spans="1:2" x14ac:dyDescent="0.25">
      <c r="A34088" s="2">
        <v>34083</v>
      </c>
      <c r="B34088" s="3" t="str">
        <f>"201511013568"</f>
        <v>201511013568</v>
      </c>
    </row>
    <row r="34089" spans="1:2" x14ac:dyDescent="0.25">
      <c r="A34089" s="2">
        <v>34084</v>
      </c>
      <c r="B34089" s="3" t="str">
        <f>"201511013576"</f>
        <v>201511013576</v>
      </c>
    </row>
    <row r="34090" spans="1:2" x14ac:dyDescent="0.25">
      <c r="A34090" s="2">
        <v>34085</v>
      </c>
      <c r="B34090" s="3" t="str">
        <f>"201511013577"</f>
        <v>201511013577</v>
      </c>
    </row>
    <row r="34091" spans="1:2" x14ac:dyDescent="0.25">
      <c r="A34091" s="2">
        <v>34086</v>
      </c>
      <c r="B34091" s="3" t="str">
        <f>"201511013591"</f>
        <v>201511013591</v>
      </c>
    </row>
    <row r="34092" spans="1:2" x14ac:dyDescent="0.25">
      <c r="A34092" s="2">
        <v>34087</v>
      </c>
      <c r="B34092" s="3" t="str">
        <f>"201511013598"</f>
        <v>201511013598</v>
      </c>
    </row>
    <row r="34093" spans="1:2" x14ac:dyDescent="0.25">
      <c r="A34093" s="2">
        <v>34088</v>
      </c>
      <c r="B34093" s="3" t="str">
        <f>"201511013601"</f>
        <v>201511013601</v>
      </c>
    </row>
    <row r="34094" spans="1:2" x14ac:dyDescent="0.25">
      <c r="A34094" s="2">
        <v>34089</v>
      </c>
      <c r="B34094" s="3" t="str">
        <f>"201511013604"</f>
        <v>201511013604</v>
      </c>
    </row>
    <row r="34095" spans="1:2" x14ac:dyDescent="0.25">
      <c r="A34095" s="2">
        <v>34090</v>
      </c>
      <c r="B34095" s="3" t="str">
        <f>"201511013711"</f>
        <v>201511013711</v>
      </c>
    </row>
    <row r="34096" spans="1:2" x14ac:dyDescent="0.25">
      <c r="A34096" s="2">
        <v>34091</v>
      </c>
      <c r="B34096" s="3" t="str">
        <f>"201511013721"</f>
        <v>201511013721</v>
      </c>
    </row>
    <row r="34097" spans="1:2" x14ac:dyDescent="0.25">
      <c r="A34097" s="2">
        <v>34092</v>
      </c>
      <c r="B34097" s="3" t="str">
        <f>"201511013724"</f>
        <v>201511013724</v>
      </c>
    </row>
    <row r="34098" spans="1:2" x14ac:dyDescent="0.25">
      <c r="A34098" s="2">
        <v>34093</v>
      </c>
      <c r="B34098" s="3" t="str">
        <f>"201511013770"</f>
        <v>201511013770</v>
      </c>
    </row>
    <row r="34099" spans="1:2" x14ac:dyDescent="0.25">
      <c r="A34099" s="2">
        <v>34094</v>
      </c>
      <c r="B34099" s="3" t="str">
        <f>"201511013771"</f>
        <v>201511013771</v>
      </c>
    </row>
    <row r="34100" spans="1:2" x14ac:dyDescent="0.25">
      <c r="A34100" s="2">
        <v>34095</v>
      </c>
      <c r="B34100" s="3" t="str">
        <f>"201511013780"</f>
        <v>201511013780</v>
      </c>
    </row>
    <row r="34101" spans="1:2" x14ac:dyDescent="0.25">
      <c r="A34101" s="2">
        <v>34096</v>
      </c>
      <c r="B34101" s="3" t="str">
        <f>"201511013828"</f>
        <v>201511013828</v>
      </c>
    </row>
    <row r="34102" spans="1:2" x14ac:dyDescent="0.25">
      <c r="A34102" s="2">
        <v>34097</v>
      </c>
      <c r="B34102" s="3" t="str">
        <f>"201511013849"</f>
        <v>201511013849</v>
      </c>
    </row>
    <row r="34103" spans="1:2" x14ac:dyDescent="0.25">
      <c r="A34103" s="2">
        <v>34098</v>
      </c>
      <c r="B34103" s="3" t="str">
        <f>"201511013850"</f>
        <v>201511013850</v>
      </c>
    </row>
    <row r="34104" spans="1:2" x14ac:dyDescent="0.25">
      <c r="A34104" s="2">
        <v>34099</v>
      </c>
      <c r="B34104" s="3" t="str">
        <f>"201511013851"</f>
        <v>201511013851</v>
      </c>
    </row>
    <row r="34105" spans="1:2" x14ac:dyDescent="0.25">
      <c r="A34105" s="2">
        <v>34100</v>
      </c>
      <c r="B34105" s="3" t="str">
        <f>"201511013857"</f>
        <v>201511013857</v>
      </c>
    </row>
    <row r="34106" spans="1:2" x14ac:dyDescent="0.25">
      <c r="A34106" s="2">
        <v>34101</v>
      </c>
      <c r="B34106" s="3" t="str">
        <f>"201511013862"</f>
        <v>201511013862</v>
      </c>
    </row>
    <row r="34107" spans="1:2" x14ac:dyDescent="0.25">
      <c r="A34107" s="2">
        <v>34102</v>
      </c>
      <c r="B34107" s="3" t="str">
        <f>"201511013908"</f>
        <v>201511013908</v>
      </c>
    </row>
    <row r="34108" spans="1:2" x14ac:dyDescent="0.25">
      <c r="A34108" s="2">
        <v>34103</v>
      </c>
      <c r="B34108" s="3" t="str">
        <f>"201511013999"</f>
        <v>201511013999</v>
      </c>
    </row>
    <row r="34109" spans="1:2" x14ac:dyDescent="0.25">
      <c r="A34109" s="2">
        <v>34104</v>
      </c>
      <c r="B34109" s="3" t="str">
        <f>"201511014001"</f>
        <v>201511014001</v>
      </c>
    </row>
    <row r="34110" spans="1:2" x14ac:dyDescent="0.25">
      <c r="A34110" s="2">
        <v>34105</v>
      </c>
      <c r="B34110" s="3" t="str">
        <f>"201511014023"</f>
        <v>201511014023</v>
      </c>
    </row>
    <row r="34111" spans="1:2" x14ac:dyDescent="0.25">
      <c r="A34111" s="2">
        <v>34106</v>
      </c>
      <c r="B34111" s="3" t="str">
        <f>"201511014024"</f>
        <v>201511014024</v>
      </c>
    </row>
    <row r="34112" spans="1:2" x14ac:dyDescent="0.25">
      <c r="A34112" s="2">
        <v>34107</v>
      </c>
      <c r="B34112" s="3" t="str">
        <f>"201511014040"</f>
        <v>201511014040</v>
      </c>
    </row>
    <row r="34113" spans="1:2" x14ac:dyDescent="0.25">
      <c r="A34113" s="2">
        <v>34108</v>
      </c>
      <c r="B34113" s="3" t="str">
        <f>"201511014052"</f>
        <v>201511014052</v>
      </c>
    </row>
    <row r="34114" spans="1:2" x14ac:dyDescent="0.25">
      <c r="A34114" s="2">
        <v>34109</v>
      </c>
      <c r="B34114" s="3" t="str">
        <f>"201511014095"</f>
        <v>201511014095</v>
      </c>
    </row>
    <row r="34115" spans="1:2" x14ac:dyDescent="0.25">
      <c r="A34115" s="2">
        <v>34110</v>
      </c>
      <c r="B34115" s="3" t="str">
        <f>"201511014100"</f>
        <v>201511014100</v>
      </c>
    </row>
    <row r="34116" spans="1:2" x14ac:dyDescent="0.25">
      <c r="A34116" s="2">
        <v>34111</v>
      </c>
      <c r="B34116" s="3" t="str">
        <f>"201511014118"</f>
        <v>201511014118</v>
      </c>
    </row>
    <row r="34117" spans="1:2" x14ac:dyDescent="0.25">
      <c r="A34117" s="2">
        <v>34112</v>
      </c>
      <c r="B34117" s="3" t="str">
        <f>"201511014192"</f>
        <v>201511014192</v>
      </c>
    </row>
    <row r="34118" spans="1:2" x14ac:dyDescent="0.25">
      <c r="A34118" s="2">
        <v>34113</v>
      </c>
      <c r="B34118" s="3" t="str">
        <f>"201511014233"</f>
        <v>201511014233</v>
      </c>
    </row>
    <row r="34119" spans="1:2" x14ac:dyDescent="0.25">
      <c r="A34119" s="2">
        <v>34114</v>
      </c>
      <c r="B34119" s="3" t="str">
        <f>"201511014254"</f>
        <v>201511014254</v>
      </c>
    </row>
    <row r="34120" spans="1:2" x14ac:dyDescent="0.25">
      <c r="A34120" s="2">
        <v>34115</v>
      </c>
      <c r="B34120" s="3" t="str">
        <f>"201511014276"</f>
        <v>201511014276</v>
      </c>
    </row>
    <row r="34121" spans="1:2" x14ac:dyDescent="0.25">
      <c r="A34121" s="2">
        <v>34116</v>
      </c>
      <c r="B34121" s="3" t="str">
        <f>"201511014277"</f>
        <v>201511014277</v>
      </c>
    </row>
    <row r="34122" spans="1:2" x14ac:dyDescent="0.25">
      <c r="A34122" s="2">
        <v>34117</v>
      </c>
      <c r="B34122" s="3" t="str">
        <f>"201511014278"</f>
        <v>201511014278</v>
      </c>
    </row>
    <row r="34123" spans="1:2" x14ac:dyDescent="0.25">
      <c r="A34123" s="2">
        <v>34118</v>
      </c>
      <c r="B34123" s="3" t="str">
        <f>"201511014321"</f>
        <v>201511014321</v>
      </c>
    </row>
    <row r="34124" spans="1:2" x14ac:dyDescent="0.25">
      <c r="A34124" s="2">
        <v>34119</v>
      </c>
      <c r="B34124" s="3" t="str">
        <f>"201511014341"</f>
        <v>201511014341</v>
      </c>
    </row>
    <row r="34125" spans="1:2" x14ac:dyDescent="0.25">
      <c r="A34125" s="2">
        <v>34120</v>
      </c>
      <c r="B34125" s="3" t="str">
        <f>"201511014370"</f>
        <v>201511014370</v>
      </c>
    </row>
    <row r="34126" spans="1:2" x14ac:dyDescent="0.25">
      <c r="A34126" s="2">
        <v>34121</v>
      </c>
      <c r="B34126" s="3" t="str">
        <f>"201511014417"</f>
        <v>201511014417</v>
      </c>
    </row>
    <row r="34127" spans="1:2" x14ac:dyDescent="0.25">
      <c r="A34127" s="2">
        <v>34122</v>
      </c>
      <c r="B34127" s="3" t="str">
        <f>"201511014459"</f>
        <v>201511014459</v>
      </c>
    </row>
    <row r="34128" spans="1:2" x14ac:dyDescent="0.25">
      <c r="A34128" s="2">
        <v>34123</v>
      </c>
      <c r="B34128" s="3" t="str">
        <f>"201511014479"</f>
        <v>201511014479</v>
      </c>
    </row>
    <row r="34129" spans="1:2" x14ac:dyDescent="0.25">
      <c r="A34129" s="2">
        <v>34124</v>
      </c>
      <c r="B34129" s="3" t="str">
        <f>"201511014482"</f>
        <v>201511014482</v>
      </c>
    </row>
    <row r="34130" spans="1:2" x14ac:dyDescent="0.25">
      <c r="A34130" s="2">
        <v>34125</v>
      </c>
      <c r="B34130" s="3" t="str">
        <f>"201511014528"</f>
        <v>201511014528</v>
      </c>
    </row>
    <row r="34131" spans="1:2" x14ac:dyDescent="0.25">
      <c r="A34131" s="2">
        <v>34126</v>
      </c>
      <c r="B34131" s="3" t="str">
        <f>"201511014542"</f>
        <v>201511014542</v>
      </c>
    </row>
    <row r="34132" spans="1:2" x14ac:dyDescent="0.25">
      <c r="A34132" s="2">
        <v>34127</v>
      </c>
      <c r="B34132" s="3" t="str">
        <f>"201511014552"</f>
        <v>201511014552</v>
      </c>
    </row>
    <row r="34133" spans="1:2" x14ac:dyDescent="0.25">
      <c r="A34133" s="2">
        <v>34128</v>
      </c>
      <c r="B34133" s="3" t="str">
        <f>"201511014573"</f>
        <v>201511014573</v>
      </c>
    </row>
    <row r="34134" spans="1:2" x14ac:dyDescent="0.25">
      <c r="A34134" s="2">
        <v>34129</v>
      </c>
      <c r="B34134" s="3" t="str">
        <f>"201511014577"</f>
        <v>201511014577</v>
      </c>
    </row>
    <row r="34135" spans="1:2" x14ac:dyDescent="0.25">
      <c r="A34135" s="2">
        <v>34130</v>
      </c>
      <c r="B34135" s="3" t="str">
        <f>"201511014579"</f>
        <v>201511014579</v>
      </c>
    </row>
    <row r="34136" spans="1:2" x14ac:dyDescent="0.25">
      <c r="A34136" s="2">
        <v>34131</v>
      </c>
      <c r="B34136" s="3" t="str">
        <f>"201511014596"</f>
        <v>201511014596</v>
      </c>
    </row>
    <row r="34137" spans="1:2" x14ac:dyDescent="0.25">
      <c r="A34137" s="2">
        <v>34132</v>
      </c>
      <c r="B34137" s="3" t="str">
        <f>"201511014622"</f>
        <v>201511014622</v>
      </c>
    </row>
    <row r="34138" spans="1:2" x14ac:dyDescent="0.25">
      <c r="A34138" s="2">
        <v>34133</v>
      </c>
      <c r="B34138" s="3" t="str">
        <f>"201511014638"</f>
        <v>201511014638</v>
      </c>
    </row>
    <row r="34139" spans="1:2" x14ac:dyDescent="0.25">
      <c r="A34139" s="2">
        <v>34134</v>
      </c>
      <c r="B34139" s="3" t="str">
        <f>"201511014652"</f>
        <v>201511014652</v>
      </c>
    </row>
    <row r="34140" spans="1:2" x14ac:dyDescent="0.25">
      <c r="A34140" s="2">
        <v>34135</v>
      </c>
      <c r="B34140" s="3" t="str">
        <f>"201511014658"</f>
        <v>201511014658</v>
      </c>
    </row>
    <row r="34141" spans="1:2" x14ac:dyDescent="0.25">
      <c r="A34141" s="2">
        <v>34136</v>
      </c>
      <c r="B34141" s="3" t="str">
        <f>"201511014668"</f>
        <v>201511014668</v>
      </c>
    </row>
    <row r="34142" spans="1:2" x14ac:dyDescent="0.25">
      <c r="A34142" s="2">
        <v>34137</v>
      </c>
      <c r="B34142" s="3" t="str">
        <f>"201511014684"</f>
        <v>201511014684</v>
      </c>
    </row>
    <row r="34143" spans="1:2" x14ac:dyDescent="0.25">
      <c r="A34143" s="2">
        <v>34138</v>
      </c>
      <c r="B34143" s="3" t="str">
        <f>"201511014694"</f>
        <v>201511014694</v>
      </c>
    </row>
    <row r="34144" spans="1:2" x14ac:dyDescent="0.25">
      <c r="A34144" s="2">
        <v>34139</v>
      </c>
      <c r="B34144" s="3" t="str">
        <f>"201511014712"</f>
        <v>201511014712</v>
      </c>
    </row>
    <row r="34145" spans="1:2" x14ac:dyDescent="0.25">
      <c r="A34145" s="2">
        <v>34140</v>
      </c>
      <c r="B34145" s="3" t="str">
        <f>"201511014721"</f>
        <v>201511014721</v>
      </c>
    </row>
    <row r="34146" spans="1:2" x14ac:dyDescent="0.25">
      <c r="A34146" s="2">
        <v>34141</v>
      </c>
      <c r="B34146" s="3" t="str">
        <f>"201511014722"</f>
        <v>201511014722</v>
      </c>
    </row>
    <row r="34147" spans="1:2" x14ac:dyDescent="0.25">
      <c r="A34147" s="2">
        <v>34142</v>
      </c>
      <c r="B34147" s="3" t="str">
        <f>"201511014757"</f>
        <v>201511014757</v>
      </c>
    </row>
    <row r="34148" spans="1:2" x14ac:dyDescent="0.25">
      <c r="A34148" s="2">
        <v>34143</v>
      </c>
      <c r="B34148" s="3" t="str">
        <f>"201511014770"</f>
        <v>201511014770</v>
      </c>
    </row>
    <row r="34149" spans="1:2" x14ac:dyDescent="0.25">
      <c r="A34149" s="2">
        <v>34144</v>
      </c>
      <c r="B34149" s="3" t="str">
        <f>"201511014802"</f>
        <v>201511014802</v>
      </c>
    </row>
    <row r="34150" spans="1:2" x14ac:dyDescent="0.25">
      <c r="A34150" s="2">
        <v>34145</v>
      </c>
      <c r="B34150" s="3" t="str">
        <f>"201511014822"</f>
        <v>201511014822</v>
      </c>
    </row>
    <row r="34151" spans="1:2" x14ac:dyDescent="0.25">
      <c r="A34151" s="2">
        <v>34146</v>
      </c>
      <c r="B34151" s="3" t="str">
        <f>"201511014839"</f>
        <v>201511014839</v>
      </c>
    </row>
    <row r="34152" spans="1:2" x14ac:dyDescent="0.25">
      <c r="A34152" s="2">
        <v>34147</v>
      </c>
      <c r="B34152" s="3" t="str">
        <f>"201511014841"</f>
        <v>201511014841</v>
      </c>
    </row>
    <row r="34153" spans="1:2" x14ac:dyDescent="0.25">
      <c r="A34153" s="2">
        <v>34148</v>
      </c>
      <c r="B34153" s="3" t="str">
        <f>"201511014843"</f>
        <v>201511014843</v>
      </c>
    </row>
    <row r="34154" spans="1:2" x14ac:dyDescent="0.25">
      <c r="A34154" s="2">
        <v>34149</v>
      </c>
      <c r="B34154" s="3" t="str">
        <f>"201511014879"</f>
        <v>201511014879</v>
      </c>
    </row>
    <row r="34155" spans="1:2" x14ac:dyDescent="0.25">
      <c r="A34155" s="2">
        <v>34150</v>
      </c>
      <c r="B34155" s="3" t="str">
        <f>"201511014888"</f>
        <v>201511014888</v>
      </c>
    </row>
    <row r="34156" spans="1:2" x14ac:dyDescent="0.25">
      <c r="A34156" s="2">
        <v>34151</v>
      </c>
      <c r="B34156" s="3" t="str">
        <f>"201511014900"</f>
        <v>201511014900</v>
      </c>
    </row>
    <row r="34157" spans="1:2" x14ac:dyDescent="0.25">
      <c r="A34157" s="2">
        <v>34152</v>
      </c>
      <c r="B34157" s="3" t="str">
        <f>"201511014936"</f>
        <v>201511014936</v>
      </c>
    </row>
    <row r="34158" spans="1:2" x14ac:dyDescent="0.25">
      <c r="A34158" s="2">
        <v>34153</v>
      </c>
      <c r="B34158" s="3" t="str">
        <f>"201511014994"</f>
        <v>201511014994</v>
      </c>
    </row>
    <row r="34159" spans="1:2" x14ac:dyDescent="0.25">
      <c r="A34159" s="2">
        <v>34154</v>
      </c>
      <c r="B34159" s="3" t="str">
        <f>"201511015015"</f>
        <v>201511015015</v>
      </c>
    </row>
    <row r="34160" spans="1:2" x14ac:dyDescent="0.25">
      <c r="A34160" s="2">
        <v>34155</v>
      </c>
      <c r="B34160" s="3" t="str">
        <f>"201511015018"</f>
        <v>201511015018</v>
      </c>
    </row>
    <row r="34161" spans="1:2" x14ac:dyDescent="0.25">
      <c r="A34161" s="2">
        <v>34156</v>
      </c>
      <c r="B34161" s="3" t="str">
        <f>"201511015054"</f>
        <v>201511015054</v>
      </c>
    </row>
    <row r="34162" spans="1:2" x14ac:dyDescent="0.25">
      <c r="A34162" s="2">
        <v>34157</v>
      </c>
      <c r="B34162" s="3" t="str">
        <f>"201511015064"</f>
        <v>201511015064</v>
      </c>
    </row>
    <row r="34163" spans="1:2" x14ac:dyDescent="0.25">
      <c r="A34163" s="2">
        <v>34158</v>
      </c>
      <c r="B34163" s="3" t="str">
        <f>"201511015079"</f>
        <v>201511015079</v>
      </c>
    </row>
    <row r="34164" spans="1:2" x14ac:dyDescent="0.25">
      <c r="A34164" s="2">
        <v>34159</v>
      </c>
      <c r="B34164" s="3" t="str">
        <f>"201511015092"</f>
        <v>201511015092</v>
      </c>
    </row>
    <row r="34165" spans="1:2" x14ac:dyDescent="0.25">
      <c r="A34165" s="2">
        <v>34160</v>
      </c>
      <c r="B34165" s="3" t="str">
        <f>"201511015188"</f>
        <v>201511015188</v>
      </c>
    </row>
    <row r="34166" spans="1:2" x14ac:dyDescent="0.25">
      <c r="A34166" s="2">
        <v>34161</v>
      </c>
      <c r="B34166" s="3" t="str">
        <f>"201511015197"</f>
        <v>201511015197</v>
      </c>
    </row>
    <row r="34167" spans="1:2" x14ac:dyDescent="0.25">
      <c r="A34167" s="2">
        <v>34162</v>
      </c>
      <c r="B34167" s="3" t="str">
        <f>"201511015198"</f>
        <v>201511015198</v>
      </c>
    </row>
    <row r="34168" spans="1:2" x14ac:dyDescent="0.25">
      <c r="A34168" s="2">
        <v>34163</v>
      </c>
      <c r="B34168" s="3" t="str">
        <f>"201511015216"</f>
        <v>201511015216</v>
      </c>
    </row>
    <row r="34169" spans="1:2" x14ac:dyDescent="0.25">
      <c r="A34169" s="2">
        <v>34164</v>
      </c>
      <c r="B34169" s="3" t="str">
        <f>"201511015218"</f>
        <v>201511015218</v>
      </c>
    </row>
    <row r="34170" spans="1:2" x14ac:dyDescent="0.25">
      <c r="A34170" s="2">
        <v>34165</v>
      </c>
      <c r="B34170" s="3" t="str">
        <f>"201511015222"</f>
        <v>201511015222</v>
      </c>
    </row>
    <row r="34171" spans="1:2" x14ac:dyDescent="0.25">
      <c r="A34171" s="2">
        <v>34166</v>
      </c>
      <c r="B34171" s="3" t="str">
        <f>"201511015244"</f>
        <v>201511015244</v>
      </c>
    </row>
    <row r="34172" spans="1:2" x14ac:dyDescent="0.25">
      <c r="A34172" s="2">
        <v>34167</v>
      </c>
      <c r="B34172" s="3" t="str">
        <f>"201511015251"</f>
        <v>201511015251</v>
      </c>
    </row>
    <row r="34173" spans="1:2" x14ac:dyDescent="0.25">
      <c r="A34173" s="2">
        <v>34168</v>
      </c>
      <c r="B34173" s="3" t="str">
        <f>"201511015287"</f>
        <v>201511015287</v>
      </c>
    </row>
    <row r="34174" spans="1:2" x14ac:dyDescent="0.25">
      <c r="A34174" s="2">
        <v>34169</v>
      </c>
      <c r="B34174" s="3" t="str">
        <f>"201511015293"</f>
        <v>201511015293</v>
      </c>
    </row>
    <row r="34175" spans="1:2" x14ac:dyDescent="0.25">
      <c r="A34175" s="2">
        <v>34170</v>
      </c>
      <c r="B34175" s="3" t="str">
        <f>"201511015326"</f>
        <v>201511015326</v>
      </c>
    </row>
    <row r="34176" spans="1:2" x14ac:dyDescent="0.25">
      <c r="A34176" s="2">
        <v>34171</v>
      </c>
      <c r="B34176" s="3" t="str">
        <f>"201511015339"</f>
        <v>201511015339</v>
      </c>
    </row>
    <row r="34177" spans="1:2" x14ac:dyDescent="0.25">
      <c r="A34177" s="2">
        <v>34172</v>
      </c>
      <c r="B34177" s="3" t="str">
        <f>"201511015344"</f>
        <v>201511015344</v>
      </c>
    </row>
    <row r="34178" spans="1:2" x14ac:dyDescent="0.25">
      <c r="A34178" s="2">
        <v>34173</v>
      </c>
      <c r="B34178" s="3" t="str">
        <f>"201511015358"</f>
        <v>201511015358</v>
      </c>
    </row>
    <row r="34179" spans="1:2" x14ac:dyDescent="0.25">
      <c r="A34179" s="2">
        <v>34174</v>
      </c>
      <c r="B34179" s="3" t="str">
        <f>"201511015371"</f>
        <v>201511015371</v>
      </c>
    </row>
    <row r="34180" spans="1:2" x14ac:dyDescent="0.25">
      <c r="A34180" s="2">
        <v>34175</v>
      </c>
      <c r="B34180" s="3" t="str">
        <f>"201511015380"</f>
        <v>201511015380</v>
      </c>
    </row>
    <row r="34181" spans="1:2" x14ac:dyDescent="0.25">
      <c r="A34181" s="2">
        <v>34176</v>
      </c>
      <c r="B34181" s="3" t="str">
        <f>"201511015392"</f>
        <v>201511015392</v>
      </c>
    </row>
    <row r="34182" spans="1:2" x14ac:dyDescent="0.25">
      <c r="A34182" s="2">
        <v>34177</v>
      </c>
      <c r="B34182" s="3" t="str">
        <f>"201511015462"</f>
        <v>201511015462</v>
      </c>
    </row>
    <row r="34183" spans="1:2" x14ac:dyDescent="0.25">
      <c r="A34183" s="2">
        <v>34178</v>
      </c>
      <c r="B34183" s="3" t="str">
        <f>"201511015502"</f>
        <v>201511015502</v>
      </c>
    </row>
    <row r="34184" spans="1:2" x14ac:dyDescent="0.25">
      <c r="A34184" s="2">
        <v>34179</v>
      </c>
      <c r="B34184" s="3" t="str">
        <f>"201511015511"</f>
        <v>201511015511</v>
      </c>
    </row>
    <row r="34185" spans="1:2" x14ac:dyDescent="0.25">
      <c r="A34185" s="2">
        <v>34180</v>
      </c>
      <c r="B34185" s="3" t="str">
        <f>"201511015512"</f>
        <v>201511015512</v>
      </c>
    </row>
    <row r="34186" spans="1:2" x14ac:dyDescent="0.25">
      <c r="A34186" s="2">
        <v>34181</v>
      </c>
      <c r="B34186" s="3" t="str">
        <f>"201511015517"</f>
        <v>201511015517</v>
      </c>
    </row>
    <row r="34187" spans="1:2" x14ac:dyDescent="0.25">
      <c r="A34187" s="2">
        <v>34182</v>
      </c>
      <c r="B34187" s="3" t="str">
        <f>"201511015526"</f>
        <v>201511015526</v>
      </c>
    </row>
    <row r="34188" spans="1:2" x14ac:dyDescent="0.25">
      <c r="A34188" s="2">
        <v>34183</v>
      </c>
      <c r="B34188" s="3" t="str">
        <f>"201511015532"</f>
        <v>201511015532</v>
      </c>
    </row>
    <row r="34189" spans="1:2" x14ac:dyDescent="0.25">
      <c r="A34189" s="2">
        <v>34184</v>
      </c>
      <c r="B34189" s="3" t="str">
        <f>"201511015533"</f>
        <v>201511015533</v>
      </c>
    </row>
    <row r="34190" spans="1:2" x14ac:dyDescent="0.25">
      <c r="A34190" s="2">
        <v>34185</v>
      </c>
      <c r="B34190" s="3" t="str">
        <f>"201511015663"</f>
        <v>201511015663</v>
      </c>
    </row>
    <row r="34191" spans="1:2" x14ac:dyDescent="0.25">
      <c r="A34191" s="2">
        <v>34186</v>
      </c>
      <c r="B34191" s="3" t="str">
        <f>"201511015687"</f>
        <v>201511015687</v>
      </c>
    </row>
    <row r="34192" spans="1:2" x14ac:dyDescent="0.25">
      <c r="A34192" s="2">
        <v>34187</v>
      </c>
      <c r="B34192" s="3" t="str">
        <f>"201511015721"</f>
        <v>201511015721</v>
      </c>
    </row>
    <row r="34193" spans="1:2" x14ac:dyDescent="0.25">
      <c r="A34193" s="2">
        <v>34188</v>
      </c>
      <c r="B34193" s="3" t="str">
        <f>"201511015723"</f>
        <v>201511015723</v>
      </c>
    </row>
    <row r="34194" spans="1:2" x14ac:dyDescent="0.25">
      <c r="A34194" s="2">
        <v>34189</v>
      </c>
      <c r="B34194" s="3" t="str">
        <f>"201511015763"</f>
        <v>201511015763</v>
      </c>
    </row>
    <row r="34195" spans="1:2" x14ac:dyDescent="0.25">
      <c r="A34195" s="2">
        <v>34190</v>
      </c>
      <c r="B34195" s="3" t="str">
        <f>"201511015782"</f>
        <v>201511015782</v>
      </c>
    </row>
    <row r="34196" spans="1:2" x14ac:dyDescent="0.25">
      <c r="A34196" s="2">
        <v>34191</v>
      </c>
      <c r="B34196" s="3" t="str">
        <f>"201511015789"</f>
        <v>201511015789</v>
      </c>
    </row>
    <row r="34197" spans="1:2" x14ac:dyDescent="0.25">
      <c r="A34197" s="2">
        <v>34192</v>
      </c>
      <c r="B34197" s="3" t="str">
        <f>"201511015810"</f>
        <v>201511015810</v>
      </c>
    </row>
    <row r="34198" spans="1:2" x14ac:dyDescent="0.25">
      <c r="A34198" s="2">
        <v>34193</v>
      </c>
      <c r="B34198" s="3" t="str">
        <f>"201511015855"</f>
        <v>201511015855</v>
      </c>
    </row>
    <row r="34199" spans="1:2" x14ac:dyDescent="0.25">
      <c r="A34199" s="2">
        <v>34194</v>
      </c>
      <c r="B34199" s="3" t="str">
        <f>"201511015873"</f>
        <v>201511015873</v>
      </c>
    </row>
    <row r="34200" spans="1:2" x14ac:dyDescent="0.25">
      <c r="A34200" s="2">
        <v>34195</v>
      </c>
      <c r="B34200" s="3" t="str">
        <f>"201511015899"</f>
        <v>201511015899</v>
      </c>
    </row>
    <row r="34201" spans="1:2" x14ac:dyDescent="0.25">
      <c r="A34201" s="2">
        <v>34196</v>
      </c>
      <c r="B34201" s="3" t="str">
        <f>"201511015901"</f>
        <v>201511015901</v>
      </c>
    </row>
    <row r="34202" spans="1:2" x14ac:dyDescent="0.25">
      <c r="A34202" s="2">
        <v>34197</v>
      </c>
      <c r="B34202" s="3" t="str">
        <f>"201511015908"</f>
        <v>201511015908</v>
      </c>
    </row>
    <row r="34203" spans="1:2" x14ac:dyDescent="0.25">
      <c r="A34203" s="2">
        <v>34198</v>
      </c>
      <c r="B34203" s="3" t="str">
        <f>"201511015914"</f>
        <v>201511015914</v>
      </c>
    </row>
    <row r="34204" spans="1:2" x14ac:dyDescent="0.25">
      <c r="A34204" s="2">
        <v>34199</v>
      </c>
      <c r="B34204" s="3" t="str">
        <f>"201511015924"</f>
        <v>201511015924</v>
      </c>
    </row>
    <row r="34205" spans="1:2" x14ac:dyDescent="0.25">
      <c r="A34205" s="2">
        <v>34200</v>
      </c>
      <c r="B34205" s="3" t="str">
        <f>"201511015962"</f>
        <v>201511015962</v>
      </c>
    </row>
    <row r="34206" spans="1:2" x14ac:dyDescent="0.25">
      <c r="A34206" s="2">
        <v>34201</v>
      </c>
      <c r="B34206" s="3" t="str">
        <f>"201511015978"</f>
        <v>201511015978</v>
      </c>
    </row>
    <row r="34207" spans="1:2" x14ac:dyDescent="0.25">
      <c r="A34207" s="2">
        <v>34202</v>
      </c>
      <c r="B34207" s="3" t="str">
        <f>"201511016103"</f>
        <v>201511016103</v>
      </c>
    </row>
    <row r="34208" spans="1:2" x14ac:dyDescent="0.25">
      <c r="A34208" s="2">
        <v>34203</v>
      </c>
      <c r="B34208" s="3" t="str">
        <f>"201511016284"</f>
        <v>201511016284</v>
      </c>
    </row>
    <row r="34209" spans="1:2" x14ac:dyDescent="0.25">
      <c r="A34209" s="2">
        <v>34204</v>
      </c>
      <c r="B34209" s="3" t="str">
        <f>"201511016285"</f>
        <v>201511016285</v>
      </c>
    </row>
    <row r="34210" spans="1:2" x14ac:dyDescent="0.25">
      <c r="A34210" s="2">
        <v>34205</v>
      </c>
      <c r="B34210" s="3" t="str">
        <f>"201511016301"</f>
        <v>201511016301</v>
      </c>
    </row>
    <row r="34211" spans="1:2" x14ac:dyDescent="0.25">
      <c r="A34211" s="2">
        <v>34206</v>
      </c>
      <c r="B34211" s="3" t="str">
        <f>"201511016308"</f>
        <v>201511016308</v>
      </c>
    </row>
    <row r="34212" spans="1:2" x14ac:dyDescent="0.25">
      <c r="A34212" s="2">
        <v>34207</v>
      </c>
      <c r="B34212" s="3" t="str">
        <f>"201511016346"</f>
        <v>201511016346</v>
      </c>
    </row>
    <row r="34213" spans="1:2" x14ac:dyDescent="0.25">
      <c r="A34213" s="2">
        <v>34208</v>
      </c>
      <c r="B34213" s="3" t="str">
        <f>"201511016352"</f>
        <v>201511016352</v>
      </c>
    </row>
    <row r="34214" spans="1:2" x14ac:dyDescent="0.25">
      <c r="A34214" s="2">
        <v>34209</v>
      </c>
      <c r="B34214" s="3" t="str">
        <f>"201511016361"</f>
        <v>201511016361</v>
      </c>
    </row>
    <row r="34215" spans="1:2" x14ac:dyDescent="0.25">
      <c r="A34215" s="2">
        <v>34210</v>
      </c>
      <c r="B34215" s="3" t="str">
        <f>"201511016393"</f>
        <v>201511016393</v>
      </c>
    </row>
    <row r="34216" spans="1:2" x14ac:dyDescent="0.25">
      <c r="A34216" s="2">
        <v>34211</v>
      </c>
      <c r="B34216" s="3" t="str">
        <f>"201511016431"</f>
        <v>201511016431</v>
      </c>
    </row>
    <row r="34217" spans="1:2" x14ac:dyDescent="0.25">
      <c r="A34217" s="2">
        <v>34212</v>
      </c>
      <c r="B34217" s="3" t="str">
        <f>"201511016486"</f>
        <v>201511016486</v>
      </c>
    </row>
    <row r="34218" spans="1:2" x14ac:dyDescent="0.25">
      <c r="A34218" s="2">
        <v>34213</v>
      </c>
      <c r="B34218" s="3" t="str">
        <f>"201511016533"</f>
        <v>201511016533</v>
      </c>
    </row>
    <row r="34219" spans="1:2" x14ac:dyDescent="0.25">
      <c r="A34219" s="2">
        <v>34214</v>
      </c>
      <c r="B34219" s="3" t="str">
        <f>"201511016541"</f>
        <v>201511016541</v>
      </c>
    </row>
    <row r="34220" spans="1:2" x14ac:dyDescent="0.25">
      <c r="A34220" s="2">
        <v>34215</v>
      </c>
      <c r="B34220" s="3" t="str">
        <f>"201511016560"</f>
        <v>201511016560</v>
      </c>
    </row>
    <row r="34221" spans="1:2" x14ac:dyDescent="0.25">
      <c r="A34221" s="2">
        <v>34216</v>
      </c>
      <c r="B34221" s="3" t="str">
        <f>"201511016561"</f>
        <v>201511016561</v>
      </c>
    </row>
    <row r="34222" spans="1:2" x14ac:dyDescent="0.25">
      <c r="A34222" s="2">
        <v>34217</v>
      </c>
      <c r="B34222" s="3" t="str">
        <f>"201511016563"</f>
        <v>201511016563</v>
      </c>
    </row>
    <row r="34223" spans="1:2" x14ac:dyDescent="0.25">
      <c r="A34223" s="2">
        <v>34218</v>
      </c>
      <c r="B34223" s="3" t="str">
        <f>"201511016579"</f>
        <v>201511016579</v>
      </c>
    </row>
    <row r="34224" spans="1:2" x14ac:dyDescent="0.25">
      <c r="A34224" s="2">
        <v>34219</v>
      </c>
      <c r="B34224" s="3" t="str">
        <f>"201511016604"</f>
        <v>201511016604</v>
      </c>
    </row>
    <row r="34225" spans="1:2" x14ac:dyDescent="0.25">
      <c r="A34225" s="2">
        <v>34220</v>
      </c>
      <c r="B34225" s="3" t="str">
        <f>"201511016605"</f>
        <v>201511016605</v>
      </c>
    </row>
    <row r="34226" spans="1:2" x14ac:dyDescent="0.25">
      <c r="A34226" s="2">
        <v>34221</v>
      </c>
      <c r="B34226" s="3" t="str">
        <f>"201511016614"</f>
        <v>201511016614</v>
      </c>
    </row>
    <row r="34227" spans="1:2" x14ac:dyDescent="0.25">
      <c r="A34227" s="2">
        <v>34222</v>
      </c>
      <c r="B34227" s="3" t="str">
        <f>"201511016630"</f>
        <v>201511016630</v>
      </c>
    </row>
    <row r="34228" spans="1:2" x14ac:dyDescent="0.25">
      <c r="A34228" s="2">
        <v>34223</v>
      </c>
      <c r="B34228" s="3" t="str">
        <f>"201511016646"</f>
        <v>201511016646</v>
      </c>
    </row>
    <row r="34229" spans="1:2" x14ac:dyDescent="0.25">
      <c r="A34229" s="2">
        <v>34224</v>
      </c>
      <c r="B34229" s="3" t="str">
        <f>"201511016676"</f>
        <v>201511016676</v>
      </c>
    </row>
    <row r="34230" spans="1:2" x14ac:dyDescent="0.25">
      <c r="A34230" s="2">
        <v>34225</v>
      </c>
      <c r="B34230" s="3" t="str">
        <f>"201511016721"</f>
        <v>201511016721</v>
      </c>
    </row>
    <row r="34231" spans="1:2" x14ac:dyDescent="0.25">
      <c r="A34231" s="2">
        <v>34226</v>
      </c>
      <c r="B34231" s="3" t="str">
        <f>"201511016755"</f>
        <v>201511016755</v>
      </c>
    </row>
    <row r="34232" spans="1:2" x14ac:dyDescent="0.25">
      <c r="A34232" s="2">
        <v>34227</v>
      </c>
      <c r="B34232" s="3" t="str">
        <f>"201511016758"</f>
        <v>201511016758</v>
      </c>
    </row>
    <row r="34233" spans="1:2" x14ac:dyDescent="0.25">
      <c r="A34233" s="2">
        <v>34228</v>
      </c>
      <c r="B34233" s="3" t="str">
        <f>"201511016760"</f>
        <v>201511016760</v>
      </c>
    </row>
    <row r="34234" spans="1:2" x14ac:dyDescent="0.25">
      <c r="A34234" s="2">
        <v>34229</v>
      </c>
      <c r="B34234" s="3" t="str">
        <f>"201511016788"</f>
        <v>201511016788</v>
      </c>
    </row>
    <row r="34235" spans="1:2" x14ac:dyDescent="0.25">
      <c r="A34235" s="2">
        <v>34230</v>
      </c>
      <c r="B34235" s="3" t="str">
        <f>"201511016806"</f>
        <v>201511016806</v>
      </c>
    </row>
    <row r="34236" spans="1:2" x14ac:dyDescent="0.25">
      <c r="A34236" s="2">
        <v>34231</v>
      </c>
      <c r="B34236" s="3" t="str">
        <f>"201511016809"</f>
        <v>201511016809</v>
      </c>
    </row>
    <row r="34237" spans="1:2" x14ac:dyDescent="0.25">
      <c r="A34237" s="2">
        <v>34232</v>
      </c>
      <c r="B34237" s="3" t="str">
        <f>"201511016810"</f>
        <v>201511016810</v>
      </c>
    </row>
    <row r="34238" spans="1:2" x14ac:dyDescent="0.25">
      <c r="A34238" s="2">
        <v>34233</v>
      </c>
      <c r="B34238" s="3" t="str">
        <f>"201511016829"</f>
        <v>201511016829</v>
      </c>
    </row>
    <row r="34239" spans="1:2" x14ac:dyDescent="0.25">
      <c r="A34239" s="2">
        <v>34234</v>
      </c>
      <c r="B34239" s="3" t="str">
        <f>"201511016844"</f>
        <v>201511016844</v>
      </c>
    </row>
    <row r="34240" spans="1:2" x14ac:dyDescent="0.25">
      <c r="A34240" s="2">
        <v>34235</v>
      </c>
      <c r="B34240" s="3" t="str">
        <f>"201511016846"</f>
        <v>201511016846</v>
      </c>
    </row>
    <row r="34241" spans="1:2" x14ac:dyDescent="0.25">
      <c r="A34241" s="2">
        <v>34236</v>
      </c>
      <c r="B34241" s="3" t="str">
        <f>"201511016849"</f>
        <v>201511016849</v>
      </c>
    </row>
    <row r="34242" spans="1:2" x14ac:dyDescent="0.25">
      <c r="A34242" s="2">
        <v>34237</v>
      </c>
      <c r="B34242" s="3" t="str">
        <f>"201511016852"</f>
        <v>201511016852</v>
      </c>
    </row>
    <row r="34243" spans="1:2" x14ac:dyDescent="0.25">
      <c r="A34243" s="2">
        <v>34238</v>
      </c>
      <c r="B34243" s="3" t="str">
        <f>"201511016855"</f>
        <v>201511016855</v>
      </c>
    </row>
    <row r="34244" spans="1:2" x14ac:dyDescent="0.25">
      <c r="A34244" s="2">
        <v>34239</v>
      </c>
      <c r="B34244" s="3" t="str">
        <f>"201511016877"</f>
        <v>201511016877</v>
      </c>
    </row>
    <row r="34245" spans="1:2" x14ac:dyDescent="0.25">
      <c r="A34245" s="2">
        <v>34240</v>
      </c>
      <c r="B34245" s="3" t="str">
        <f>"201511016965"</f>
        <v>201511016965</v>
      </c>
    </row>
    <row r="34246" spans="1:2" x14ac:dyDescent="0.25">
      <c r="A34246" s="2">
        <v>34241</v>
      </c>
      <c r="B34246" s="3" t="str">
        <f>"201511017033"</f>
        <v>201511017033</v>
      </c>
    </row>
    <row r="34247" spans="1:2" x14ac:dyDescent="0.25">
      <c r="A34247" s="2">
        <v>34242</v>
      </c>
      <c r="B34247" s="3" t="str">
        <f>"201511017042"</f>
        <v>201511017042</v>
      </c>
    </row>
    <row r="34248" spans="1:2" x14ac:dyDescent="0.25">
      <c r="A34248" s="2">
        <v>34243</v>
      </c>
      <c r="B34248" s="3" t="str">
        <f>"201511017049"</f>
        <v>201511017049</v>
      </c>
    </row>
    <row r="34249" spans="1:2" x14ac:dyDescent="0.25">
      <c r="A34249" s="2">
        <v>34244</v>
      </c>
      <c r="B34249" s="3" t="str">
        <f>"201511017053"</f>
        <v>201511017053</v>
      </c>
    </row>
    <row r="34250" spans="1:2" x14ac:dyDescent="0.25">
      <c r="A34250" s="2">
        <v>34245</v>
      </c>
      <c r="B34250" s="3" t="str">
        <f>"201511017084"</f>
        <v>201511017084</v>
      </c>
    </row>
    <row r="34251" spans="1:2" x14ac:dyDescent="0.25">
      <c r="A34251" s="2">
        <v>34246</v>
      </c>
      <c r="B34251" s="3" t="str">
        <f>"201511017093"</f>
        <v>201511017093</v>
      </c>
    </row>
    <row r="34252" spans="1:2" x14ac:dyDescent="0.25">
      <c r="A34252" s="2">
        <v>34247</v>
      </c>
      <c r="B34252" s="3" t="str">
        <f>"201511017144"</f>
        <v>201511017144</v>
      </c>
    </row>
    <row r="34253" spans="1:2" x14ac:dyDescent="0.25">
      <c r="A34253" s="2">
        <v>34248</v>
      </c>
      <c r="B34253" s="3" t="str">
        <f>"201511017194"</f>
        <v>201511017194</v>
      </c>
    </row>
    <row r="34254" spans="1:2" x14ac:dyDescent="0.25">
      <c r="A34254" s="2">
        <v>34249</v>
      </c>
      <c r="B34254" s="3" t="str">
        <f>"201511017219"</f>
        <v>201511017219</v>
      </c>
    </row>
    <row r="34255" spans="1:2" x14ac:dyDescent="0.25">
      <c r="A34255" s="2">
        <v>34250</v>
      </c>
      <c r="B34255" s="3" t="str">
        <f>"201511017240"</f>
        <v>201511017240</v>
      </c>
    </row>
    <row r="34256" spans="1:2" x14ac:dyDescent="0.25">
      <c r="A34256" s="2">
        <v>34251</v>
      </c>
      <c r="B34256" s="3" t="str">
        <f>"201511017253"</f>
        <v>201511017253</v>
      </c>
    </row>
    <row r="34257" spans="1:2" x14ac:dyDescent="0.25">
      <c r="A34257" s="2">
        <v>34252</v>
      </c>
      <c r="B34257" s="3" t="str">
        <f>"201511017273"</f>
        <v>201511017273</v>
      </c>
    </row>
    <row r="34258" spans="1:2" x14ac:dyDescent="0.25">
      <c r="A34258" s="2">
        <v>34253</v>
      </c>
      <c r="B34258" s="3" t="str">
        <f>"201511017293"</f>
        <v>201511017293</v>
      </c>
    </row>
    <row r="34259" spans="1:2" x14ac:dyDescent="0.25">
      <c r="A34259" s="2">
        <v>34254</v>
      </c>
      <c r="B34259" s="3" t="str">
        <f>"201511017300"</f>
        <v>201511017300</v>
      </c>
    </row>
    <row r="34260" spans="1:2" x14ac:dyDescent="0.25">
      <c r="A34260" s="2">
        <v>34255</v>
      </c>
      <c r="B34260" s="3" t="str">
        <f>"201511017309"</f>
        <v>201511017309</v>
      </c>
    </row>
    <row r="34261" spans="1:2" x14ac:dyDescent="0.25">
      <c r="A34261" s="2">
        <v>34256</v>
      </c>
      <c r="B34261" s="3" t="str">
        <f>"201511017325"</f>
        <v>201511017325</v>
      </c>
    </row>
    <row r="34262" spans="1:2" x14ac:dyDescent="0.25">
      <c r="A34262" s="2">
        <v>34257</v>
      </c>
      <c r="B34262" s="3" t="str">
        <f>"201511017347"</f>
        <v>201511017347</v>
      </c>
    </row>
    <row r="34263" spans="1:2" x14ac:dyDescent="0.25">
      <c r="A34263" s="2">
        <v>34258</v>
      </c>
      <c r="B34263" s="3" t="str">
        <f>"201511017364"</f>
        <v>201511017364</v>
      </c>
    </row>
    <row r="34264" spans="1:2" x14ac:dyDescent="0.25">
      <c r="A34264" s="2">
        <v>34259</v>
      </c>
      <c r="B34264" s="3" t="str">
        <f>"201511017371"</f>
        <v>201511017371</v>
      </c>
    </row>
    <row r="34265" spans="1:2" x14ac:dyDescent="0.25">
      <c r="A34265" s="2">
        <v>34260</v>
      </c>
      <c r="B34265" s="3" t="str">
        <f>"201511017392"</f>
        <v>201511017392</v>
      </c>
    </row>
    <row r="34266" spans="1:2" x14ac:dyDescent="0.25">
      <c r="A34266" s="2">
        <v>34261</v>
      </c>
      <c r="B34266" s="3" t="str">
        <f>"201511017417"</f>
        <v>201511017417</v>
      </c>
    </row>
    <row r="34267" spans="1:2" x14ac:dyDescent="0.25">
      <c r="A34267" s="2">
        <v>34262</v>
      </c>
      <c r="B34267" s="3" t="str">
        <f>"201511017434"</f>
        <v>201511017434</v>
      </c>
    </row>
    <row r="34268" spans="1:2" x14ac:dyDescent="0.25">
      <c r="A34268" s="2">
        <v>34263</v>
      </c>
      <c r="B34268" s="3" t="str">
        <f>"201511017452"</f>
        <v>201511017452</v>
      </c>
    </row>
    <row r="34269" spans="1:2" x14ac:dyDescent="0.25">
      <c r="A34269" s="2">
        <v>34264</v>
      </c>
      <c r="B34269" s="3" t="str">
        <f>"201511017455"</f>
        <v>201511017455</v>
      </c>
    </row>
    <row r="34270" spans="1:2" x14ac:dyDescent="0.25">
      <c r="A34270" s="2">
        <v>34265</v>
      </c>
      <c r="B34270" s="3" t="str">
        <f>"201511017457"</f>
        <v>201511017457</v>
      </c>
    </row>
    <row r="34271" spans="1:2" x14ac:dyDescent="0.25">
      <c r="A34271" s="2">
        <v>34266</v>
      </c>
      <c r="B34271" s="3" t="str">
        <f>"201511017459"</f>
        <v>201511017459</v>
      </c>
    </row>
    <row r="34272" spans="1:2" x14ac:dyDescent="0.25">
      <c r="A34272" s="2">
        <v>34267</v>
      </c>
      <c r="B34272" s="3" t="str">
        <f>"201511017491"</f>
        <v>201511017491</v>
      </c>
    </row>
    <row r="34273" spans="1:2" x14ac:dyDescent="0.25">
      <c r="A34273" s="2">
        <v>34268</v>
      </c>
      <c r="B34273" s="3" t="str">
        <f>"201511017563"</f>
        <v>201511017563</v>
      </c>
    </row>
    <row r="34274" spans="1:2" x14ac:dyDescent="0.25">
      <c r="A34274" s="2">
        <v>34269</v>
      </c>
      <c r="B34274" s="3" t="str">
        <f>"201511017641"</f>
        <v>201511017641</v>
      </c>
    </row>
    <row r="34275" spans="1:2" x14ac:dyDescent="0.25">
      <c r="A34275" s="2">
        <v>34270</v>
      </c>
      <c r="B34275" s="3" t="str">
        <f>"201511017650"</f>
        <v>201511017650</v>
      </c>
    </row>
    <row r="34276" spans="1:2" x14ac:dyDescent="0.25">
      <c r="A34276" s="2">
        <v>34271</v>
      </c>
      <c r="B34276" s="3" t="str">
        <f>"201511017679"</f>
        <v>201511017679</v>
      </c>
    </row>
    <row r="34277" spans="1:2" x14ac:dyDescent="0.25">
      <c r="A34277" s="2">
        <v>34272</v>
      </c>
      <c r="B34277" s="3" t="str">
        <f>"201511017686"</f>
        <v>201511017686</v>
      </c>
    </row>
    <row r="34278" spans="1:2" x14ac:dyDescent="0.25">
      <c r="A34278" s="2">
        <v>34273</v>
      </c>
      <c r="B34278" s="3" t="str">
        <f>"201511017707"</f>
        <v>201511017707</v>
      </c>
    </row>
    <row r="34279" spans="1:2" x14ac:dyDescent="0.25">
      <c r="A34279" s="2">
        <v>34274</v>
      </c>
      <c r="B34279" s="3" t="str">
        <f>"201511017717"</f>
        <v>201511017717</v>
      </c>
    </row>
    <row r="34280" spans="1:2" x14ac:dyDescent="0.25">
      <c r="A34280" s="2">
        <v>34275</v>
      </c>
      <c r="B34280" s="3" t="str">
        <f>"201511017730"</f>
        <v>201511017730</v>
      </c>
    </row>
    <row r="34281" spans="1:2" x14ac:dyDescent="0.25">
      <c r="A34281" s="2">
        <v>34276</v>
      </c>
      <c r="B34281" s="3" t="str">
        <f>"201511017767"</f>
        <v>201511017767</v>
      </c>
    </row>
    <row r="34282" spans="1:2" x14ac:dyDescent="0.25">
      <c r="A34282" s="2">
        <v>34277</v>
      </c>
      <c r="B34282" s="3" t="str">
        <f>"201511017831"</f>
        <v>201511017831</v>
      </c>
    </row>
    <row r="34283" spans="1:2" x14ac:dyDescent="0.25">
      <c r="A34283" s="2">
        <v>34278</v>
      </c>
      <c r="B34283" s="3" t="str">
        <f>"201511017841"</f>
        <v>201511017841</v>
      </c>
    </row>
    <row r="34284" spans="1:2" x14ac:dyDescent="0.25">
      <c r="A34284" s="2">
        <v>34279</v>
      </c>
      <c r="B34284" s="3" t="str">
        <f>"201511017845"</f>
        <v>201511017845</v>
      </c>
    </row>
    <row r="34285" spans="1:2" x14ac:dyDescent="0.25">
      <c r="A34285" s="2">
        <v>34280</v>
      </c>
      <c r="B34285" s="3" t="str">
        <f>"201511017913"</f>
        <v>201511017913</v>
      </c>
    </row>
    <row r="34286" spans="1:2" x14ac:dyDescent="0.25">
      <c r="A34286" s="2">
        <v>34281</v>
      </c>
      <c r="B34286" s="3" t="str">
        <f>"201511017916"</f>
        <v>201511017916</v>
      </c>
    </row>
    <row r="34287" spans="1:2" x14ac:dyDescent="0.25">
      <c r="A34287" s="2">
        <v>34282</v>
      </c>
      <c r="B34287" s="3" t="str">
        <f>"201511017959"</f>
        <v>201511017959</v>
      </c>
    </row>
    <row r="34288" spans="1:2" x14ac:dyDescent="0.25">
      <c r="A34288" s="2">
        <v>34283</v>
      </c>
      <c r="B34288" s="3" t="str">
        <f>"201511017976"</f>
        <v>201511017976</v>
      </c>
    </row>
    <row r="34289" spans="1:2" x14ac:dyDescent="0.25">
      <c r="A34289" s="2">
        <v>34284</v>
      </c>
      <c r="B34289" s="3" t="str">
        <f>"201511018010"</f>
        <v>201511018010</v>
      </c>
    </row>
    <row r="34290" spans="1:2" x14ac:dyDescent="0.25">
      <c r="A34290" s="2">
        <v>34285</v>
      </c>
      <c r="B34290" s="3" t="str">
        <f>"201511018080"</f>
        <v>201511018080</v>
      </c>
    </row>
    <row r="34291" spans="1:2" x14ac:dyDescent="0.25">
      <c r="A34291" s="2">
        <v>34286</v>
      </c>
      <c r="B34291" s="3" t="str">
        <f>"201511018087"</f>
        <v>201511018087</v>
      </c>
    </row>
    <row r="34292" spans="1:2" x14ac:dyDescent="0.25">
      <c r="A34292" s="2">
        <v>34287</v>
      </c>
      <c r="B34292" s="3" t="str">
        <f>"201511018154"</f>
        <v>201511018154</v>
      </c>
    </row>
    <row r="34293" spans="1:2" x14ac:dyDescent="0.25">
      <c r="A34293" s="2">
        <v>34288</v>
      </c>
      <c r="B34293" s="3" t="str">
        <f>"201511018158"</f>
        <v>201511018158</v>
      </c>
    </row>
    <row r="34294" spans="1:2" x14ac:dyDescent="0.25">
      <c r="A34294" s="2">
        <v>34289</v>
      </c>
      <c r="B34294" s="3" t="str">
        <f>"201511018187"</f>
        <v>201511018187</v>
      </c>
    </row>
    <row r="34295" spans="1:2" x14ac:dyDescent="0.25">
      <c r="A34295" s="2">
        <v>34290</v>
      </c>
      <c r="B34295" s="3" t="str">
        <f>"201511018213"</f>
        <v>201511018213</v>
      </c>
    </row>
    <row r="34296" spans="1:2" x14ac:dyDescent="0.25">
      <c r="A34296" s="2">
        <v>34291</v>
      </c>
      <c r="B34296" s="3" t="str">
        <f>"201511018215"</f>
        <v>201511018215</v>
      </c>
    </row>
    <row r="34297" spans="1:2" x14ac:dyDescent="0.25">
      <c r="A34297" s="2">
        <v>34292</v>
      </c>
      <c r="B34297" s="3" t="str">
        <f>"201511018224"</f>
        <v>201511018224</v>
      </c>
    </row>
    <row r="34298" spans="1:2" x14ac:dyDescent="0.25">
      <c r="A34298" s="2">
        <v>34293</v>
      </c>
      <c r="B34298" s="3" t="str">
        <f>"201511018259"</f>
        <v>201511018259</v>
      </c>
    </row>
    <row r="34299" spans="1:2" x14ac:dyDescent="0.25">
      <c r="A34299" s="2">
        <v>34294</v>
      </c>
      <c r="B34299" s="3" t="str">
        <f>"201511018261"</f>
        <v>201511018261</v>
      </c>
    </row>
    <row r="34300" spans="1:2" x14ac:dyDescent="0.25">
      <c r="A34300" s="2">
        <v>34295</v>
      </c>
      <c r="B34300" s="3" t="str">
        <f>"201511018269"</f>
        <v>201511018269</v>
      </c>
    </row>
    <row r="34301" spans="1:2" x14ac:dyDescent="0.25">
      <c r="A34301" s="2">
        <v>34296</v>
      </c>
      <c r="B34301" s="3" t="str">
        <f>"201511018285"</f>
        <v>201511018285</v>
      </c>
    </row>
    <row r="34302" spans="1:2" x14ac:dyDescent="0.25">
      <c r="A34302" s="2">
        <v>34297</v>
      </c>
      <c r="B34302" s="3" t="str">
        <f>"201511018296"</f>
        <v>201511018296</v>
      </c>
    </row>
    <row r="34303" spans="1:2" x14ac:dyDescent="0.25">
      <c r="A34303" s="2">
        <v>34298</v>
      </c>
      <c r="B34303" s="3" t="str">
        <f>"201511018304"</f>
        <v>201511018304</v>
      </c>
    </row>
    <row r="34304" spans="1:2" x14ac:dyDescent="0.25">
      <c r="A34304" s="2">
        <v>34299</v>
      </c>
      <c r="B34304" s="3" t="str">
        <f>"201511018336"</f>
        <v>201511018336</v>
      </c>
    </row>
    <row r="34305" spans="1:2" x14ac:dyDescent="0.25">
      <c r="A34305" s="2">
        <v>34300</v>
      </c>
      <c r="B34305" s="3" t="str">
        <f>"201511018347"</f>
        <v>201511018347</v>
      </c>
    </row>
    <row r="34306" spans="1:2" x14ac:dyDescent="0.25">
      <c r="A34306" s="2">
        <v>34301</v>
      </c>
      <c r="B34306" s="3" t="str">
        <f>"201511018356"</f>
        <v>201511018356</v>
      </c>
    </row>
    <row r="34307" spans="1:2" x14ac:dyDescent="0.25">
      <c r="A34307" s="2">
        <v>34302</v>
      </c>
      <c r="B34307" s="3" t="str">
        <f>"201511018376"</f>
        <v>201511018376</v>
      </c>
    </row>
    <row r="34308" spans="1:2" x14ac:dyDescent="0.25">
      <c r="A34308" s="2">
        <v>34303</v>
      </c>
      <c r="B34308" s="3" t="str">
        <f>"201511018400"</f>
        <v>201511018400</v>
      </c>
    </row>
    <row r="34309" spans="1:2" x14ac:dyDescent="0.25">
      <c r="A34309" s="2">
        <v>34304</v>
      </c>
      <c r="B34309" s="3" t="str">
        <f>"201511018405"</f>
        <v>201511018405</v>
      </c>
    </row>
    <row r="34310" spans="1:2" x14ac:dyDescent="0.25">
      <c r="A34310" s="2">
        <v>34305</v>
      </c>
      <c r="B34310" s="3" t="str">
        <f>"201511018424"</f>
        <v>201511018424</v>
      </c>
    </row>
    <row r="34311" spans="1:2" x14ac:dyDescent="0.25">
      <c r="A34311" s="2">
        <v>34306</v>
      </c>
      <c r="B34311" s="3" t="str">
        <f>"201511018429"</f>
        <v>201511018429</v>
      </c>
    </row>
    <row r="34312" spans="1:2" x14ac:dyDescent="0.25">
      <c r="A34312" s="2">
        <v>34307</v>
      </c>
      <c r="B34312" s="3" t="str">
        <f>"201511018430"</f>
        <v>201511018430</v>
      </c>
    </row>
    <row r="34313" spans="1:2" x14ac:dyDescent="0.25">
      <c r="A34313" s="2">
        <v>34308</v>
      </c>
      <c r="B34313" s="3" t="str">
        <f>"201511018443"</f>
        <v>201511018443</v>
      </c>
    </row>
    <row r="34314" spans="1:2" x14ac:dyDescent="0.25">
      <c r="A34314" s="2">
        <v>34309</v>
      </c>
      <c r="B34314" s="3" t="str">
        <f>"201511018508"</f>
        <v>201511018508</v>
      </c>
    </row>
    <row r="34315" spans="1:2" x14ac:dyDescent="0.25">
      <c r="A34315" s="2">
        <v>34310</v>
      </c>
      <c r="B34315" s="3" t="str">
        <f>"201511018515"</f>
        <v>201511018515</v>
      </c>
    </row>
    <row r="34316" spans="1:2" x14ac:dyDescent="0.25">
      <c r="A34316" s="2">
        <v>34311</v>
      </c>
      <c r="B34316" s="3" t="str">
        <f>"201511018546"</f>
        <v>201511018546</v>
      </c>
    </row>
    <row r="34317" spans="1:2" x14ac:dyDescent="0.25">
      <c r="A34317" s="2">
        <v>34312</v>
      </c>
      <c r="B34317" s="3" t="str">
        <f>"201511018550"</f>
        <v>201511018550</v>
      </c>
    </row>
    <row r="34318" spans="1:2" x14ac:dyDescent="0.25">
      <c r="A34318" s="2">
        <v>34313</v>
      </c>
      <c r="B34318" s="3" t="str">
        <f>"201511018562"</f>
        <v>201511018562</v>
      </c>
    </row>
    <row r="34319" spans="1:2" x14ac:dyDescent="0.25">
      <c r="A34319" s="2">
        <v>34314</v>
      </c>
      <c r="B34319" s="3" t="str">
        <f>"201511018591"</f>
        <v>201511018591</v>
      </c>
    </row>
    <row r="34320" spans="1:2" x14ac:dyDescent="0.25">
      <c r="A34320" s="2">
        <v>34315</v>
      </c>
      <c r="B34320" s="3" t="str">
        <f>"201511018600"</f>
        <v>201511018600</v>
      </c>
    </row>
    <row r="34321" spans="1:2" x14ac:dyDescent="0.25">
      <c r="A34321" s="2">
        <v>34316</v>
      </c>
      <c r="B34321" s="3" t="str">
        <f>"201511018639"</f>
        <v>201511018639</v>
      </c>
    </row>
    <row r="34322" spans="1:2" x14ac:dyDescent="0.25">
      <c r="A34322" s="2">
        <v>34317</v>
      </c>
      <c r="B34322" s="3" t="str">
        <f>"201511018641"</f>
        <v>201511018641</v>
      </c>
    </row>
    <row r="34323" spans="1:2" x14ac:dyDescent="0.25">
      <c r="A34323" s="2">
        <v>34318</v>
      </c>
      <c r="B34323" s="3" t="str">
        <f>"201511018648"</f>
        <v>201511018648</v>
      </c>
    </row>
    <row r="34324" spans="1:2" x14ac:dyDescent="0.25">
      <c r="A34324" s="2">
        <v>34319</v>
      </c>
      <c r="B34324" s="3" t="str">
        <f>"201511018667"</f>
        <v>201511018667</v>
      </c>
    </row>
    <row r="34325" spans="1:2" x14ac:dyDescent="0.25">
      <c r="A34325" s="2">
        <v>34320</v>
      </c>
      <c r="B34325" s="3" t="str">
        <f>"201511018705"</f>
        <v>201511018705</v>
      </c>
    </row>
    <row r="34326" spans="1:2" x14ac:dyDescent="0.25">
      <c r="A34326" s="2">
        <v>34321</v>
      </c>
      <c r="B34326" s="3" t="str">
        <f>"201511018709"</f>
        <v>201511018709</v>
      </c>
    </row>
    <row r="34327" spans="1:2" x14ac:dyDescent="0.25">
      <c r="A34327" s="2">
        <v>34322</v>
      </c>
      <c r="B34327" s="3" t="str">
        <f>"201511018713"</f>
        <v>201511018713</v>
      </c>
    </row>
    <row r="34328" spans="1:2" x14ac:dyDescent="0.25">
      <c r="A34328" s="2">
        <v>34323</v>
      </c>
      <c r="B34328" s="3" t="str">
        <f>"201511018727"</f>
        <v>201511018727</v>
      </c>
    </row>
    <row r="34329" spans="1:2" x14ac:dyDescent="0.25">
      <c r="A34329" s="2">
        <v>34324</v>
      </c>
      <c r="B34329" s="3" t="str">
        <f>"201511018745"</f>
        <v>201511018745</v>
      </c>
    </row>
    <row r="34330" spans="1:2" x14ac:dyDescent="0.25">
      <c r="A34330" s="2">
        <v>34325</v>
      </c>
      <c r="B34330" s="3" t="str">
        <f>"201511018774"</f>
        <v>201511018774</v>
      </c>
    </row>
    <row r="34331" spans="1:2" x14ac:dyDescent="0.25">
      <c r="A34331" s="2">
        <v>34326</v>
      </c>
      <c r="B34331" s="3" t="str">
        <f>"201511018786"</f>
        <v>201511018786</v>
      </c>
    </row>
    <row r="34332" spans="1:2" x14ac:dyDescent="0.25">
      <c r="A34332" s="2">
        <v>34327</v>
      </c>
      <c r="B34332" s="3" t="str">
        <f>"201511018806"</f>
        <v>201511018806</v>
      </c>
    </row>
    <row r="34333" spans="1:2" x14ac:dyDescent="0.25">
      <c r="A34333" s="2">
        <v>34328</v>
      </c>
      <c r="B34333" s="3" t="str">
        <f>"201511018808"</f>
        <v>201511018808</v>
      </c>
    </row>
    <row r="34334" spans="1:2" x14ac:dyDescent="0.25">
      <c r="A34334" s="2">
        <v>34329</v>
      </c>
      <c r="B34334" s="3" t="str">
        <f>"201511018866"</f>
        <v>201511018866</v>
      </c>
    </row>
    <row r="34335" spans="1:2" x14ac:dyDescent="0.25">
      <c r="A34335" s="2">
        <v>34330</v>
      </c>
      <c r="B34335" s="3" t="str">
        <f>"201511018904"</f>
        <v>201511018904</v>
      </c>
    </row>
    <row r="34336" spans="1:2" x14ac:dyDescent="0.25">
      <c r="A34336" s="2">
        <v>34331</v>
      </c>
      <c r="B34336" s="3" t="str">
        <f>"201511018906"</f>
        <v>201511018906</v>
      </c>
    </row>
    <row r="34337" spans="1:2" x14ac:dyDescent="0.25">
      <c r="A34337" s="2">
        <v>34332</v>
      </c>
      <c r="B34337" s="3" t="str">
        <f>"201511018909"</f>
        <v>201511018909</v>
      </c>
    </row>
    <row r="34338" spans="1:2" x14ac:dyDescent="0.25">
      <c r="A34338" s="2">
        <v>34333</v>
      </c>
      <c r="B34338" s="3" t="str">
        <f>"201511018934"</f>
        <v>201511018934</v>
      </c>
    </row>
    <row r="34339" spans="1:2" x14ac:dyDescent="0.25">
      <c r="A34339" s="2">
        <v>34334</v>
      </c>
      <c r="B34339" s="3" t="str">
        <f>"201511018967"</f>
        <v>201511018967</v>
      </c>
    </row>
    <row r="34340" spans="1:2" x14ac:dyDescent="0.25">
      <c r="A34340" s="2">
        <v>34335</v>
      </c>
      <c r="B34340" s="3" t="str">
        <f>"201511018979"</f>
        <v>201511018979</v>
      </c>
    </row>
    <row r="34341" spans="1:2" x14ac:dyDescent="0.25">
      <c r="A34341" s="2">
        <v>34336</v>
      </c>
      <c r="B34341" s="3" t="str">
        <f>"201511018996"</f>
        <v>201511018996</v>
      </c>
    </row>
    <row r="34342" spans="1:2" x14ac:dyDescent="0.25">
      <c r="A34342" s="2">
        <v>34337</v>
      </c>
      <c r="B34342" s="3" t="str">
        <f>"201511019010"</f>
        <v>201511019010</v>
      </c>
    </row>
    <row r="34343" spans="1:2" x14ac:dyDescent="0.25">
      <c r="A34343" s="2">
        <v>34338</v>
      </c>
      <c r="B34343" s="3" t="str">
        <f>"201511019063"</f>
        <v>201511019063</v>
      </c>
    </row>
    <row r="34344" spans="1:2" x14ac:dyDescent="0.25">
      <c r="A34344" s="2">
        <v>34339</v>
      </c>
      <c r="B34344" s="3" t="str">
        <f>"201511019094"</f>
        <v>201511019094</v>
      </c>
    </row>
    <row r="34345" spans="1:2" x14ac:dyDescent="0.25">
      <c r="A34345" s="2">
        <v>34340</v>
      </c>
      <c r="B34345" s="3" t="str">
        <f>"201511019104"</f>
        <v>201511019104</v>
      </c>
    </row>
    <row r="34346" spans="1:2" x14ac:dyDescent="0.25">
      <c r="A34346" s="2">
        <v>34341</v>
      </c>
      <c r="B34346" s="3" t="str">
        <f>"201511019105"</f>
        <v>201511019105</v>
      </c>
    </row>
    <row r="34347" spans="1:2" x14ac:dyDescent="0.25">
      <c r="A34347" s="2">
        <v>34342</v>
      </c>
      <c r="B34347" s="3" t="str">
        <f>"201511019130"</f>
        <v>201511019130</v>
      </c>
    </row>
    <row r="34348" spans="1:2" x14ac:dyDescent="0.25">
      <c r="A34348" s="2">
        <v>34343</v>
      </c>
      <c r="B34348" s="3" t="str">
        <f>"201511019138"</f>
        <v>201511019138</v>
      </c>
    </row>
    <row r="34349" spans="1:2" x14ac:dyDescent="0.25">
      <c r="A34349" s="2">
        <v>34344</v>
      </c>
      <c r="B34349" s="3" t="str">
        <f>"201511019153"</f>
        <v>201511019153</v>
      </c>
    </row>
    <row r="34350" spans="1:2" x14ac:dyDescent="0.25">
      <c r="A34350" s="2">
        <v>34345</v>
      </c>
      <c r="B34350" s="3" t="str">
        <f>"201511019165"</f>
        <v>201511019165</v>
      </c>
    </row>
    <row r="34351" spans="1:2" x14ac:dyDescent="0.25">
      <c r="A34351" s="2">
        <v>34346</v>
      </c>
      <c r="B34351" s="3" t="str">
        <f>"201511019185"</f>
        <v>201511019185</v>
      </c>
    </row>
    <row r="34352" spans="1:2" x14ac:dyDescent="0.25">
      <c r="A34352" s="2">
        <v>34347</v>
      </c>
      <c r="B34352" s="3" t="str">
        <f>"201511019208"</f>
        <v>201511019208</v>
      </c>
    </row>
    <row r="34353" spans="1:2" x14ac:dyDescent="0.25">
      <c r="A34353" s="2">
        <v>34348</v>
      </c>
      <c r="B34353" s="3" t="str">
        <f>"201511019217"</f>
        <v>201511019217</v>
      </c>
    </row>
    <row r="34354" spans="1:2" x14ac:dyDescent="0.25">
      <c r="A34354" s="2">
        <v>34349</v>
      </c>
      <c r="B34354" s="3" t="str">
        <f>"201511019233"</f>
        <v>201511019233</v>
      </c>
    </row>
    <row r="34355" spans="1:2" x14ac:dyDescent="0.25">
      <c r="A34355" s="2">
        <v>34350</v>
      </c>
      <c r="B34355" s="3" t="str">
        <f>"201511019244"</f>
        <v>201511019244</v>
      </c>
    </row>
    <row r="34356" spans="1:2" x14ac:dyDescent="0.25">
      <c r="A34356" s="2">
        <v>34351</v>
      </c>
      <c r="B34356" s="3" t="str">
        <f>"201511019251"</f>
        <v>201511019251</v>
      </c>
    </row>
    <row r="34357" spans="1:2" x14ac:dyDescent="0.25">
      <c r="A34357" s="2">
        <v>34352</v>
      </c>
      <c r="B34357" s="3" t="str">
        <f>"201511019253"</f>
        <v>201511019253</v>
      </c>
    </row>
    <row r="34358" spans="1:2" x14ac:dyDescent="0.25">
      <c r="A34358" s="2">
        <v>34353</v>
      </c>
      <c r="B34358" s="3" t="str">
        <f>"201511019261"</f>
        <v>201511019261</v>
      </c>
    </row>
    <row r="34359" spans="1:2" x14ac:dyDescent="0.25">
      <c r="A34359" s="2">
        <v>34354</v>
      </c>
      <c r="B34359" s="3" t="str">
        <f>"201511019263"</f>
        <v>201511019263</v>
      </c>
    </row>
    <row r="34360" spans="1:2" x14ac:dyDescent="0.25">
      <c r="A34360" s="2">
        <v>34355</v>
      </c>
      <c r="B34360" s="3" t="str">
        <f>"201511019269"</f>
        <v>201511019269</v>
      </c>
    </row>
    <row r="34361" spans="1:2" x14ac:dyDescent="0.25">
      <c r="A34361" s="2">
        <v>34356</v>
      </c>
      <c r="B34361" s="3" t="str">
        <f>"201511019275"</f>
        <v>201511019275</v>
      </c>
    </row>
    <row r="34362" spans="1:2" x14ac:dyDescent="0.25">
      <c r="A34362" s="2">
        <v>34357</v>
      </c>
      <c r="B34362" s="3" t="str">
        <f>"201511019302"</f>
        <v>201511019302</v>
      </c>
    </row>
    <row r="34363" spans="1:2" x14ac:dyDescent="0.25">
      <c r="A34363" s="2">
        <v>34358</v>
      </c>
      <c r="B34363" s="3" t="str">
        <f>"201511019312"</f>
        <v>201511019312</v>
      </c>
    </row>
    <row r="34364" spans="1:2" x14ac:dyDescent="0.25">
      <c r="A34364" s="2">
        <v>34359</v>
      </c>
      <c r="B34364" s="3" t="str">
        <f>"201511019329"</f>
        <v>201511019329</v>
      </c>
    </row>
    <row r="34365" spans="1:2" x14ac:dyDescent="0.25">
      <c r="A34365" s="2">
        <v>34360</v>
      </c>
      <c r="B34365" s="3" t="str">
        <f>"201511019347"</f>
        <v>201511019347</v>
      </c>
    </row>
    <row r="34366" spans="1:2" x14ac:dyDescent="0.25">
      <c r="A34366" s="2">
        <v>34361</v>
      </c>
      <c r="B34366" s="3" t="str">
        <f>"201511019373"</f>
        <v>201511019373</v>
      </c>
    </row>
    <row r="34367" spans="1:2" x14ac:dyDescent="0.25">
      <c r="A34367" s="2">
        <v>34362</v>
      </c>
      <c r="B34367" s="3" t="str">
        <f>"201511019391"</f>
        <v>201511019391</v>
      </c>
    </row>
    <row r="34368" spans="1:2" x14ac:dyDescent="0.25">
      <c r="A34368" s="2">
        <v>34363</v>
      </c>
      <c r="B34368" s="3" t="str">
        <f>"201511019397"</f>
        <v>201511019397</v>
      </c>
    </row>
    <row r="34369" spans="1:2" x14ac:dyDescent="0.25">
      <c r="A34369" s="2">
        <v>34364</v>
      </c>
      <c r="B34369" s="3" t="str">
        <f>"201511019430"</f>
        <v>201511019430</v>
      </c>
    </row>
    <row r="34370" spans="1:2" x14ac:dyDescent="0.25">
      <c r="A34370" s="2">
        <v>34365</v>
      </c>
      <c r="B34370" s="3" t="str">
        <f>"201511019439"</f>
        <v>201511019439</v>
      </c>
    </row>
    <row r="34371" spans="1:2" x14ac:dyDescent="0.25">
      <c r="A34371" s="2">
        <v>34366</v>
      </c>
      <c r="B34371" s="3" t="str">
        <f>"201511019449"</f>
        <v>201511019449</v>
      </c>
    </row>
    <row r="34372" spans="1:2" x14ac:dyDescent="0.25">
      <c r="A34372" s="2">
        <v>34367</v>
      </c>
      <c r="B34372" s="3" t="str">
        <f>"201511019455"</f>
        <v>201511019455</v>
      </c>
    </row>
    <row r="34373" spans="1:2" x14ac:dyDescent="0.25">
      <c r="A34373" s="2">
        <v>34368</v>
      </c>
      <c r="B34373" s="3" t="str">
        <f>"201511019465"</f>
        <v>201511019465</v>
      </c>
    </row>
    <row r="34374" spans="1:2" x14ac:dyDescent="0.25">
      <c r="A34374" s="2">
        <v>34369</v>
      </c>
      <c r="B34374" s="3" t="str">
        <f>"201511019478"</f>
        <v>201511019478</v>
      </c>
    </row>
    <row r="34375" spans="1:2" x14ac:dyDescent="0.25">
      <c r="A34375" s="2">
        <v>34370</v>
      </c>
      <c r="B34375" s="3" t="str">
        <f>"201511019483"</f>
        <v>201511019483</v>
      </c>
    </row>
    <row r="34376" spans="1:2" x14ac:dyDescent="0.25">
      <c r="A34376" s="2">
        <v>34371</v>
      </c>
      <c r="B34376" s="3" t="str">
        <f>"201511019514"</f>
        <v>201511019514</v>
      </c>
    </row>
    <row r="34377" spans="1:2" x14ac:dyDescent="0.25">
      <c r="A34377" s="2">
        <v>34372</v>
      </c>
      <c r="B34377" s="3" t="str">
        <f>"201511019522"</f>
        <v>201511019522</v>
      </c>
    </row>
    <row r="34378" spans="1:2" x14ac:dyDescent="0.25">
      <c r="A34378" s="2">
        <v>34373</v>
      </c>
      <c r="B34378" s="3" t="str">
        <f>"201511019526"</f>
        <v>201511019526</v>
      </c>
    </row>
    <row r="34379" spans="1:2" x14ac:dyDescent="0.25">
      <c r="A34379" s="2">
        <v>34374</v>
      </c>
      <c r="B34379" s="3" t="str">
        <f>"201511019565"</f>
        <v>201511019565</v>
      </c>
    </row>
    <row r="34380" spans="1:2" x14ac:dyDescent="0.25">
      <c r="A34380" s="2">
        <v>34375</v>
      </c>
      <c r="B34380" s="3" t="str">
        <f>"201511019586"</f>
        <v>201511019586</v>
      </c>
    </row>
    <row r="34381" spans="1:2" x14ac:dyDescent="0.25">
      <c r="A34381" s="2">
        <v>34376</v>
      </c>
      <c r="B34381" s="3" t="str">
        <f>"201511019611"</f>
        <v>201511019611</v>
      </c>
    </row>
    <row r="34382" spans="1:2" x14ac:dyDescent="0.25">
      <c r="A34382" s="2">
        <v>34377</v>
      </c>
      <c r="B34382" s="3" t="str">
        <f>"201511019642"</f>
        <v>201511019642</v>
      </c>
    </row>
    <row r="34383" spans="1:2" x14ac:dyDescent="0.25">
      <c r="A34383" s="2">
        <v>34378</v>
      </c>
      <c r="B34383" s="3" t="str">
        <f>"201511019740"</f>
        <v>201511019740</v>
      </c>
    </row>
    <row r="34384" spans="1:2" x14ac:dyDescent="0.25">
      <c r="A34384" s="2">
        <v>34379</v>
      </c>
      <c r="B34384" s="3" t="str">
        <f>"201511019747"</f>
        <v>201511019747</v>
      </c>
    </row>
    <row r="34385" spans="1:2" x14ac:dyDescent="0.25">
      <c r="A34385" s="2">
        <v>34380</v>
      </c>
      <c r="B34385" s="3" t="str">
        <f>"201511019756"</f>
        <v>201511019756</v>
      </c>
    </row>
    <row r="34386" spans="1:2" x14ac:dyDescent="0.25">
      <c r="A34386" s="2">
        <v>34381</v>
      </c>
      <c r="B34386" s="3" t="str">
        <f>"201511019763"</f>
        <v>201511019763</v>
      </c>
    </row>
    <row r="34387" spans="1:2" x14ac:dyDescent="0.25">
      <c r="A34387" s="2">
        <v>34382</v>
      </c>
      <c r="B34387" s="3" t="str">
        <f>"201511019788"</f>
        <v>201511019788</v>
      </c>
    </row>
    <row r="34388" spans="1:2" x14ac:dyDescent="0.25">
      <c r="A34388" s="2">
        <v>34383</v>
      </c>
      <c r="B34388" s="3" t="str">
        <f>"201511019824"</f>
        <v>201511019824</v>
      </c>
    </row>
    <row r="34389" spans="1:2" x14ac:dyDescent="0.25">
      <c r="A34389" s="2">
        <v>34384</v>
      </c>
      <c r="B34389" s="3" t="str">
        <f>"201511019829"</f>
        <v>201511019829</v>
      </c>
    </row>
    <row r="34390" spans="1:2" x14ac:dyDescent="0.25">
      <c r="A34390" s="2">
        <v>34385</v>
      </c>
      <c r="B34390" s="3" t="str">
        <f>"201511019838"</f>
        <v>201511019838</v>
      </c>
    </row>
    <row r="34391" spans="1:2" x14ac:dyDescent="0.25">
      <c r="A34391" s="2">
        <v>34386</v>
      </c>
      <c r="B34391" s="3" t="str">
        <f>"201511019843"</f>
        <v>201511019843</v>
      </c>
    </row>
    <row r="34392" spans="1:2" x14ac:dyDescent="0.25">
      <c r="A34392" s="2">
        <v>34387</v>
      </c>
      <c r="B34392" s="3" t="str">
        <f>"201511019896"</f>
        <v>201511019896</v>
      </c>
    </row>
    <row r="34393" spans="1:2" x14ac:dyDescent="0.25">
      <c r="A34393" s="2">
        <v>34388</v>
      </c>
      <c r="B34393" s="3" t="str">
        <f>"201511019935"</f>
        <v>201511019935</v>
      </c>
    </row>
    <row r="34394" spans="1:2" x14ac:dyDescent="0.25">
      <c r="A34394" s="2">
        <v>34389</v>
      </c>
      <c r="B34394" s="3" t="str">
        <f>"201511019940"</f>
        <v>201511019940</v>
      </c>
    </row>
    <row r="34395" spans="1:2" x14ac:dyDescent="0.25">
      <c r="A34395" s="2">
        <v>34390</v>
      </c>
      <c r="B34395" s="3" t="str">
        <f>"201511019942"</f>
        <v>201511019942</v>
      </c>
    </row>
    <row r="34396" spans="1:2" x14ac:dyDescent="0.25">
      <c r="A34396" s="2">
        <v>34391</v>
      </c>
      <c r="B34396" s="3" t="str">
        <f>"201511019988"</f>
        <v>201511019988</v>
      </c>
    </row>
    <row r="34397" spans="1:2" x14ac:dyDescent="0.25">
      <c r="A34397" s="2">
        <v>34392</v>
      </c>
      <c r="B34397" s="3" t="str">
        <f>"201511019994"</f>
        <v>201511019994</v>
      </c>
    </row>
    <row r="34398" spans="1:2" x14ac:dyDescent="0.25">
      <c r="A34398" s="2">
        <v>34393</v>
      </c>
      <c r="B34398" s="3" t="str">
        <f>"201511020046"</f>
        <v>201511020046</v>
      </c>
    </row>
    <row r="34399" spans="1:2" x14ac:dyDescent="0.25">
      <c r="A34399" s="2">
        <v>34394</v>
      </c>
      <c r="B34399" s="3" t="str">
        <f>"201511020075"</f>
        <v>201511020075</v>
      </c>
    </row>
    <row r="34400" spans="1:2" x14ac:dyDescent="0.25">
      <c r="A34400" s="2">
        <v>34395</v>
      </c>
      <c r="B34400" s="3" t="str">
        <f>"201511020092"</f>
        <v>201511020092</v>
      </c>
    </row>
    <row r="34401" spans="1:2" x14ac:dyDescent="0.25">
      <c r="A34401" s="2">
        <v>34396</v>
      </c>
      <c r="B34401" s="3" t="str">
        <f>"201511020103"</f>
        <v>201511020103</v>
      </c>
    </row>
    <row r="34402" spans="1:2" x14ac:dyDescent="0.25">
      <c r="A34402" s="2">
        <v>34397</v>
      </c>
      <c r="B34402" s="3" t="str">
        <f>"201511020113"</f>
        <v>201511020113</v>
      </c>
    </row>
    <row r="34403" spans="1:2" x14ac:dyDescent="0.25">
      <c r="A34403" s="2">
        <v>34398</v>
      </c>
      <c r="B34403" s="3" t="str">
        <f>"201511020138"</f>
        <v>201511020138</v>
      </c>
    </row>
    <row r="34404" spans="1:2" x14ac:dyDescent="0.25">
      <c r="A34404" s="2">
        <v>34399</v>
      </c>
      <c r="B34404" s="3" t="str">
        <f>"201511020151"</f>
        <v>201511020151</v>
      </c>
    </row>
    <row r="34405" spans="1:2" x14ac:dyDescent="0.25">
      <c r="A34405" s="2">
        <v>34400</v>
      </c>
      <c r="B34405" s="3" t="str">
        <f>"201511020154"</f>
        <v>201511020154</v>
      </c>
    </row>
    <row r="34406" spans="1:2" x14ac:dyDescent="0.25">
      <c r="A34406" s="2">
        <v>34401</v>
      </c>
      <c r="B34406" s="3" t="str">
        <f>"201511020160"</f>
        <v>201511020160</v>
      </c>
    </row>
    <row r="34407" spans="1:2" x14ac:dyDescent="0.25">
      <c r="A34407" s="2">
        <v>34402</v>
      </c>
      <c r="B34407" s="3" t="str">
        <f>"201511020199"</f>
        <v>201511020199</v>
      </c>
    </row>
    <row r="34408" spans="1:2" x14ac:dyDescent="0.25">
      <c r="A34408" s="2">
        <v>34403</v>
      </c>
      <c r="B34408" s="3" t="str">
        <f>"201511020207"</f>
        <v>201511020207</v>
      </c>
    </row>
    <row r="34409" spans="1:2" x14ac:dyDescent="0.25">
      <c r="A34409" s="2">
        <v>34404</v>
      </c>
      <c r="B34409" s="3" t="str">
        <f>"201511020245"</f>
        <v>201511020245</v>
      </c>
    </row>
    <row r="34410" spans="1:2" x14ac:dyDescent="0.25">
      <c r="A34410" s="2">
        <v>34405</v>
      </c>
      <c r="B34410" s="3" t="str">
        <f>"201511020257"</f>
        <v>201511020257</v>
      </c>
    </row>
    <row r="34411" spans="1:2" x14ac:dyDescent="0.25">
      <c r="A34411" s="2">
        <v>34406</v>
      </c>
      <c r="B34411" s="3" t="str">
        <f>"201511020261"</f>
        <v>201511020261</v>
      </c>
    </row>
    <row r="34412" spans="1:2" x14ac:dyDescent="0.25">
      <c r="A34412" s="2">
        <v>34407</v>
      </c>
      <c r="B34412" s="3" t="str">
        <f>"201511020263"</f>
        <v>201511020263</v>
      </c>
    </row>
    <row r="34413" spans="1:2" x14ac:dyDescent="0.25">
      <c r="A34413" s="2">
        <v>34408</v>
      </c>
      <c r="B34413" s="3" t="str">
        <f>"201511020286"</f>
        <v>201511020286</v>
      </c>
    </row>
    <row r="34414" spans="1:2" x14ac:dyDescent="0.25">
      <c r="A34414" s="2">
        <v>34409</v>
      </c>
      <c r="B34414" s="3" t="str">
        <f>"201511020296"</f>
        <v>201511020296</v>
      </c>
    </row>
    <row r="34415" spans="1:2" x14ac:dyDescent="0.25">
      <c r="A34415" s="2">
        <v>34410</v>
      </c>
      <c r="B34415" s="3" t="str">
        <f>"201511020312"</f>
        <v>201511020312</v>
      </c>
    </row>
    <row r="34416" spans="1:2" x14ac:dyDescent="0.25">
      <c r="A34416" s="2">
        <v>34411</v>
      </c>
      <c r="B34416" s="3" t="str">
        <f>"201511020338"</f>
        <v>201511020338</v>
      </c>
    </row>
    <row r="34417" spans="1:2" x14ac:dyDescent="0.25">
      <c r="A34417" s="2">
        <v>34412</v>
      </c>
      <c r="B34417" s="3" t="str">
        <f>"201511020366"</f>
        <v>201511020366</v>
      </c>
    </row>
    <row r="34418" spans="1:2" x14ac:dyDescent="0.25">
      <c r="A34418" s="2">
        <v>34413</v>
      </c>
      <c r="B34418" s="3" t="str">
        <f>"201511020377"</f>
        <v>201511020377</v>
      </c>
    </row>
    <row r="34419" spans="1:2" x14ac:dyDescent="0.25">
      <c r="A34419" s="2">
        <v>34414</v>
      </c>
      <c r="B34419" s="3" t="str">
        <f>"201511020419"</f>
        <v>201511020419</v>
      </c>
    </row>
    <row r="34420" spans="1:2" x14ac:dyDescent="0.25">
      <c r="A34420" s="2">
        <v>34415</v>
      </c>
      <c r="B34420" s="3" t="str">
        <f>"201511020440"</f>
        <v>201511020440</v>
      </c>
    </row>
    <row r="34421" spans="1:2" x14ac:dyDescent="0.25">
      <c r="A34421" s="2">
        <v>34416</v>
      </c>
      <c r="B34421" s="3" t="str">
        <f>"201511020443"</f>
        <v>201511020443</v>
      </c>
    </row>
    <row r="34422" spans="1:2" x14ac:dyDescent="0.25">
      <c r="A34422" s="2">
        <v>34417</v>
      </c>
      <c r="B34422" s="3" t="str">
        <f>"201511020465"</f>
        <v>201511020465</v>
      </c>
    </row>
    <row r="34423" spans="1:2" x14ac:dyDescent="0.25">
      <c r="A34423" s="2">
        <v>34418</v>
      </c>
      <c r="B34423" s="3" t="str">
        <f>"201511020468"</f>
        <v>201511020468</v>
      </c>
    </row>
    <row r="34424" spans="1:2" x14ac:dyDescent="0.25">
      <c r="A34424" s="2">
        <v>34419</v>
      </c>
      <c r="B34424" s="3" t="str">
        <f>"201511020477"</f>
        <v>201511020477</v>
      </c>
    </row>
    <row r="34425" spans="1:2" x14ac:dyDescent="0.25">
      <c r="A34425" s="2">
        <v>34420</v>
      </c>
      <c r="B34425" s="3" t="str">
        <f>"201511020496"</f>
        <v>201511020496</v>
      </c>
    </row>
    <row r="34426" spans="1:2" x14ac:dyDescent="0.25">
      <c r="A34426" s="2">
        <v>34421</v>
      </c>
      <c r="B34426" s="3" t="str">
        <f>"201511020533"</f>
        <v>201511020533</v>
      </c>
    </row>
    <row r="34427" spans="1:2" x14ac:dyDescent="0.25">
      <c r="A34427" s="2">
        <v>34422</v>
      </c>
      <c r="B34427" s="3" t="str">
        <f>"201511020541"</f>
        <v>201511020541</v>
      </c>
    </row>
    <row r="34428" spans="1:2" x14ac:dyDescent="0.25">
      <c r="A34428" s="2">
        <v>34423</v>
      </c>
      <c r="B34428" s="3" t="str">
        <f>"201511020562"</f>
        <v>201511020562</v>
      </c>
    </row>
    <row r="34429" spans="1:2" x14ac:dyDescent="0.25">
      <c r="A34429" s="2">
        <v>34424</v>
      </c>
      <c r="B34429" s="3" t="str">
        <f>"201511020565"</f>
        <v>201511020565</v>
      </c>
    </row>
    <row r="34430" spans="1:2" x14ac:dyDescent="0.25">
      <c r="A34430" s="2">
        <v>34425</v>
      </c>
      <c r="B34430" s="3" t="str">
        <f>"201511020574"</f>
        <v>201511020574</v>
      </c>
    </row>
    <row r="34431" spans="1:2" x14ac:dyDescent="0.25">
      <c r="A34431" s="2">
        <v>34426</v>
      </c>
      <c r="B34431" s="3" t="str">
        <f>"201511020602"</f>
        <v>201511020602</v>
      </c>
    </row>
    <row r="34432" spans="1:2" x14ac:dyDescent="0.25">
      <c r="A34432" s="2">
        <v>34427</v>
      </c>
      <c r="B34432" s="3" t="str">
        <f>"201511020662"</f>
        <v>201511020662</v>
      </c>
    </row>
    <row r="34433" spans="1:2" x14ac:dyDescent="0.25">
      <c r="A34433" s="2">
        <v>34428</v>
      </c>
      <c r="B34433" s="3" t="str">
        <f>"201511020667"</f>
        <v>201511020667</v>
      </c>
    </row>
    <row r="34434" spans="1:2" x14ac:dyDescent="0.25">
      <c r="A34434" s="2">
        <v>34429</v>
      </c>
      <c r="B34434" s="3" t="str">
        <f>"201511020696"</f>
        <v>201511020696</v>
      </c>
    </row>
    <row r="34435" spans="1:2" x14ac:dyDescent="0.25">
      <c r="A34435" s="2">
        <v>34430</v>
      </c>
      <c r="B34435" s="3" t="str">
        <f>"201511020701"</f>
        <v>201511020701</v>
      </c>
    </row>
    <row r="34436" spans="1:2" x14ac:dyDescent="0.25">
      <c r="A34436" s="2">
        <v>34431</v>
      </c>
      <c r="B34436" s="3" t="str">
        <f>"201511020716"</f>
        <v>201511020716</v>
      </c>
    </row>
    <row r="34437" spans="1:2" x14ac:dyDescent="0.25">
      <c r="A34437" s="2">
        <v>34432</v>
      </c>
      <c r="B34437" s="3" t="str">
        <f>"201511020734"</f>
        <v>201511020734</v>
      </c>
    </row>
    <row r="34438" spans="1:2" x14ac:dyDescent="0.25">
      <c r="A34438" s="2">
        <v>34433</v>
      </c>
      <c r="B34438" s="3" t="str">
        <f>"201511020735"</f>
        <v>201511020735</v>
      </c>
    </row>
    <row r="34439" spans="1:2" x14ac:dyDescent="0.25">
      <c r="A34439" s="2">
        <v>34434</v>
      </c>
      <c r="B34439" s="3" t="str">
        <f>"201511020797"</f>
        <v>201511020797</v>
      </c>
    </row>
    <row r="34440" spans="1:2" x14ac:dyDescent="0.25">
      <c r="A34440" s="2">
        <v>34435</v>
      </c>
      <c r="B34440" s="3" t="str">
        <f>"201511020819"</f>
        <v>201511020819</v>
      </c>
    </row>
    <row r="34441" spans="1:2" x14ac:dyDescent="0.25">
      <c r="A34441" s="2">
        <v>34436</v>
      </c>
      <c r="B34441" s="3" t="str">
        <f>"201511020823"</f>
        <v>201511020823</v>
      </c>
    </row>
    <row r="34442" spans="1:2" x14ac:dyDescent="0.25">
      <c r="A34442" s="2">
        <v>34437</v>
      </c>
      <c r="B34442" s="3" t="str">
        <f>"201511020836"</f>
        <v>201511020836</v>
      </c>
    </row>
    <row r="34443" spans="1:2" x14ac:dyDescent="0.25">
      <c r="A34443" s="2">
        <v>34438</v>
      </c>
      <c r="B34443" s="3" t="str">
        <f>"201511020877"</f>
        <v>201511020877</v>
      </c>
    </row>
    <row r="34444" spans="1:2" x14ac:dyDescent="0.25">
      <c r="A34444" s="2">
        <v>34439</v>
      </c>
      <c r="B34444" s="3" t="str">
        <f>"201511020900"</f>
        <v>201511020900</v>
      </c>
    </row>
    <row r="34445" spans="1:2" x14ac:dyDescent="0.25">
      <c r="A34445" s="2">
        <v>34440</v>
      </c>
      <c r="B34445" s="3" t="str">
        <f>"201511020927"</f>
        <v>201511020927</v>
      </c>
    </row>
    <row r="34446" spans="1:2" x14ac:dyDescent="0.25">
      <c r="A34446" s="2">
        <v>34441</v>
      </c>
      <c r="B34446" s="3" t="str">
        <f>"201511020953"</f>
        <v>201511020953</v>
      </c>
    </row>
    <row r="34447" spans="1:2" x14ac:dyDescent="0.25">
      <c r="A34447" s="2">
        <v>34442</v>
      </c>
      <c r="B34447" s="3" t="str">
        <f>"201511020963"</f>
        <v>201511020963</v>
      </c>
    </row>
    <row r="34448" spans="1:2" x14ac:dyDescent="0.25">
      <c r="A34448" s="2">
        <v>34443</v>
      </c>
      <c r="B34448" s="3" t="str">
        <f>"201511020975"</f>
        <v>201511020975</v>
      </c>
    </row>
    <row r="34449" spans="1:2" x14ac:dyDescent="0.25">
      <c r="A34449" s="2">
        <v>34444</v>
      </c>
      <c r="B34449" s="3" t="str">
        <f>"201511020982"</f>
        <v>201511020982</v>
      </c>
    </row>
    <row r="34450" spans="1:2" x14ac:dyDescent="0.25">
      <c r="A34450" s="2">
        <v>34445</v>
      </c>
      <c r="B34450" s="3" t="str">
        <f>"201511021016"</f>
        <v>201511021016</v>
      </c>
    </row>
    <row r="34451" spans="1:2" x14ac:dyDescent="0.25">
      <c r="A34451" s="2">
        <v>34446</v>
      </c>
      <c r="B34451" s="3" t="str">
        <f>"201511021021"</f>
        <v>201511021021</v>
      </c>
    </row>
    <row r="34452" spans="1:2" x14ac:dyDescent="0.25">
      <c r="A34452" s="2">
        <v>34447</v>
      </c>
      <c r="B34452" s="3" t="str">
        <f>"201511021044"</f>
        <v>201511021044</v>
      </c>
    </row>
    <row r="34453" spans="1:2" x14ac:dyDescent="0.25">
      <c r="A34453" s="2">
        <v>34448</v>
      </c>
      <c r="B34453" s="3" t="str">
        <f>"201511021087"</f>
        <v>201511021087</v>
      </c>
    </row>
    <row r="34454" spans="1:2" x14ac:dyDescent="0.25">
      <c r="A34454" s="2">
        <v>34449</v>
      </c>
      <c r="B34454" s="3" t="str">
        <f>"201511021091"</f>
        <v>201511021091</v>
      </c>
    </row>
    <row r="34455" spans="1:2" x14ac:dyDescent="0.25">
      <c r="A34455" s="2">
        <v>34450</v>
      </c>
      <c r="B34455" s="3" t="str">
        <f>"201511021124"</f>
        <v>201511021124</v>
      </c>
    </row>
    <row r="34456" spans="1:2" x14ac:dyDescent="0.25">
      <c r="A34456" s="2">
        <v>34451</v>
      </c>
      <c r="B34456" s="3" t="str">
        <f>"201511021141"</f>
        <v>201511021141</v>
      </c>
    </row>
    <row r="34457" spans="1:2" x14ac:dyDescent="0.25">
      <c r="A34457" s="2">
        <v>34452</v>
      </c>
      <c r="B34457" s="3" t="str">
        <f>"201511021183"</f>
        <v>201511021183</v>
      </c>
    </row>
    <row r="34458" spans="1:2" x14ac:dyDescent="0.25">
      <c r="A34458" s="2">
        <v>34453</v>
      </c>
      <c r="B34458" s="3" t="str">
        <f>"201511021191"</f>
        <v>201511021191</v>
      </c>
    </row>
    <row r="34459" spans="1:2" x14ac:dyDescent="0.25">
      <c r="A34459" s="2">
        <v>34454</v>
      </c>
      <c r="B34459" s="3" t="str">
        <f>"201511021205"</f>
        <v>201511021205</v>
      </c>
    </row>
    <row r="34460" spans="1:2" x14ac:dyDescent="0.25">
      <c r="A34460" s="2">
        <v>34455</v>
      </c>
      <c r="B34460" s="3" t="str">
        <f>"201511021212"</f>
        <v>201511021212</v>
      </c>
    </row>
    <row r="34461" spans="1:2" x14ac:dyDescent="0.25">
      <c r="A34461" s="2">
        <v>34456</v>
      </c>
      <c r="B34461" s="3" t="str">
        <f>"201511021240"</f>
        <v>201511021240</v>
      </c>
    </row>
    <row r="34462" spans="1:2" x14ac:dyDescent="0.25">
      <c r="A34462" s="2">
        <v>34457</v>
      </c>
      <c r="B34462" s="3" t="str">
        <f>"201511021267"</f>
        <v>201511021267</v>
      </c>
    </row>
    <row r="34463" spans="1:2" x14ac:dyDescent="0.25">
      <c r="A34463" s="2">
        <v>34458</v>
      </c>
      <c r="B34463" s="3" t="str">
        <f>"201511021269"</f>
        <v>201511021269</v>
      </c>
    </row>
    <row r="34464" spans="1:2" x14ac:dyDescent="0.25">
      <c r="A34464" s="2">
        <v>34459</v>
      </c>
      <c r="B34464" s="3" t="str">
        <f>"201511021282"</f>
        <v>201511021282</v>
      </c>
    </row>
    <row r="34465" spans="1:2" x14ac:dyDescent="0.25">
      <c r="A34465" s="2">
        <v>34460</v>
      </c>
      <c r="B34465" s="3" t="str">
        <f>"201511021285"</f>
        <v>201511021285</v>
      </c>
    </row>
    <row r="34466" spans="1:2" x14ac:dyDescent="0.25">
      <c r="A34466" s="2">
        <v>34461</v>
      </c>
      <c r="B34466" s="3" t="str">
        <f>"201511021304"</f>
        <v>201511021304</v>
      </c>
    </row>
    <row r="34467" spans="1:2" x14ac:dyDescent="0.25">
      <c r="A34467" s="2">
        <v>34462</v>
      </c>
      <c r="B34467" s="3" t="str">
        <f>"201511021306"</f>
        <v>201511021306</v>
      </c>
    </row>
    <row r="34468" spans="1:2" x14ac:dyDescent="0.25">
      <c r="A34468" s="2">
        <v>34463</v>
      </c>
      <c r="B34468" s="3" t="str">
        <f>"201511021316"</f>
        <v>201511021316</v>
      </c>
    </row>
    <row r="34469" spans="1:2" x14ac:dyDescent="0.25">
      <c r="A34469" s="2">
        <v>34464</v>
      </c>
      <c r="B34469" s="3" t="str">
        <f>"201511021319"</f>
        <v>201511021319</v>
      </c>
    </row>
    <row r="34470" spans="1:2" x14ac:dyDescent="0.25">
      <c r="A34470" s="2">
        <v>34465</v>
      </c>
      <c r="B34470" s="3" t="str">
        <f>"201511021344"</f>
        <v>201511021344</v>
      </c>
    </row>
    <row r="34471" spans="1:2" x14ac:dyDescent="0.25">
      <c r="A34471" s="2">
        <v>34466</v>
      </c>
      <c r="B34471" s="3" t="str">
        <f>"201511021350"</f>
        <v>201511021350</v>
      </c>
    </row>
    <row r="34472" spans="1:2" x14ac:dyDescent="0.25">
      <c r="A34472" s="2">
        <v>34467</v>
      </c>
      <c r="B34472" s="3" t="str">
        <f>"201511021401"</f>
        <v>201511021401</v>
      </c>
    </row>
    <row r="34473" spans="1:2" x14ac:dyDescent="0.25">
      <c r="A34473" s="2">
        <v>34468</v>
      </c>
      <c r="B34473" s="3" t="str">
        <f>"201511021404"</f>
        <v>201511021404</v>
      </c>
    </row>
    <row r="34474" spans="1:2" x14ac:dyDescent="0.25">
      <c r="A34474" s="2">
        <v>34469</v>
      </c>
      <c r="B34474" s="3" t="str">
        <f>"201511021416"</f>
        <v>201511021416</v>
      </c>
    </row>
    <row r="34475" spans="1:2" x14ac:dyDescent="0.25">
      <c r="A34475" s="2">
        <v>34470</v>
      </c>
      <c r="B34475" s="3" t="str">
        <f>"201511021449"</f>
        <v>201511021449</v>
      </c>
    </row>
    <row r="34476" spans="1:2" x14ac:dyDescent="0.25">
      <c r="A34476" s="2">
        <v>34471</v>
      </c>
      <c r="B34476" s="3" t="str">
        <f>"201511021469"</f>
        <v>201511021469</v>
      </c>
    </row>
    <row r="34477" spans="1:2" x14ac:dyDescent="0.25">
      <c r="A34477" s="2">
        <v>34472</v>
      </c>
      <c r="B34477" s="3" t="str">
        <f>"201511021493"</f>
        <v>201511021493</v>
      </c>
    </row>
    <row r="34478" spans="1:2" x14ac:dyDescent="0.25">
      <c r="A34478" s="2">
        <v>34473</v>
      </c>
      <c r="B34478" s="3" t="str">
        <f>"201511021543"</f>
        <v>201511021543</v>
      </c>
    </row>
    <row r="34479" spans="1:2" x14ac:dyDescent="0.25">
      <c r="A34479" s="2">
        <v>34474</v>
      </c>
      <c r="B34479" s="3" t="str">
        <f>"201511021544"</f>
        <v>201511021544</v>
      </c>
    </row>
    <row r="34480" spans="1:2" x14ac:dyDescent="0.25">
      <c r="A34480" s="2">
        <v>34475</v>
      </c>
      <c r="B34480" s="3" t="str">
        <f>"201511021573"</f>
        <v>201511021573</v>
      </c>
    </row>
    <row r="34481" spans="1:2" x14ac:dyDescent="0.25">
      <c r="A34481" s="2">
        <v>34476</v>
      </c>
      <c r="B34481" s="3" t="str">
        <f>"201511021619"</f>
        <v>201511021619</v>
      </c>
    </row>
    <row r="34482" spans="1:2" x14ac:dyDescent="0.25">
      <c r="A34482" s="2">
        <v>34477</v>
      </c>
      <c r="B34482" s="3" t="str">
        <f>"201511021639"</f>
        <v>201511021639</v>
      </c>
    </row>
    <row r="34483" spans="1:2" x14ac:dyDescent="0.25">
      <c r="A34483" s="2">
        <v>34478</v>
      </c>
      <c r="B34483" s="3" t="str">
        <f>"201511021655"</f>
        <v>201511021655</v>
      </c>
    </row>
    <row r="34484" spans="1:2" x14ac:dyDescent="0.25">
      <c r="A34484" s="2">
        <v>34479</v>
      </c>
      <c r="B34484" s="3" t="str">
        <f>"201511021678"</f>
        <v>201511021678</v>
      </c>
    </row>
    <row r="34485" spans="1:2" x14ac:dyDescent="0.25">
      <c r="A34485" s="2">
        <v>34480</v>
      </c>
      <c r="B34485" s="3" t="str">
        <f>"201511021707"</f>
        <v>201511021707</v>
      </c>
    </row>
    <row r="34486" spans="1:2" x14ac:dyDescent="0.25">
      <c r="A34486" s="2">
        <v>34481</v>
      </c>
      <c r="B34486" s="3" t="str">
        <f>"201511021725"</f>
        <v>201511021725</v>
      </c>
    </row>
    <row r="34487" spans="1:2" x14ac:dyDescent="0.25">
      <c r="A34487" s="2">
        <v>34482</v>
      </c>
      <c r="B34487" s="3" t="str">
        <f>"201511021741"</f>
        <v>201511021741</v>
      </c>
    </row>
    <row r="34488" spans="1:2" x14ac:dyDescent="0.25">
      <c r="A34488" s="2">
        <v>34483</v>
      </c>
      <c r="B34488" s="3" t="str">
        <f>"201511021745"</f>
        <v>201511021745</v>
      </c>
    </row>
    <row r="34489" spans="1:2" x14ac:dyDescent="0.25">
      <c r="A34489" s="2">
        <v>34484</v>
      </c>
      <c r="B34489" s="3" t="str">
        <f>"201511021774"</f>
        <v>201511021774</v>
      </c>
    </row>
    <row r="34490" spans="1:2" x14ac:dyDescent="0.25">
      <c r="A34490" s="2">
        <v>34485</v>
      </c>
      <c r="B34490" s="3" t="str">
        <f>"201511021779"</f>
        <v>201511021779</v>
      </c>
    </row>
    <row r="34491" spans="1:2" x14ac:dyDescent="0.25">
      <c r="A34491" s="2">
        <v>34486</v>
      </c>
      <c r="B34491" s="3" t="str">
        <f>"201511021819"</f>
        <v>201511021819</v>
      </c>
    </row>
    <row r="34492" spans="1:2" x14ac:dyDescent="0.25">
      <c r="A34492" s="2">
        <v>34487</v>
      </c>
      <c r="B34492" s="3" t="str">
        <f>"201511021820"</f>
        <v>201511021820</v>
      </c>
    </row>
    <row r="34493" spans="1:2" x14ac:dyDescent="0.25">
      <c r="A34493" s="2">
        <v>34488</v>
      </c>
      <c r="B34493" s="3" t="str">
        <f>"201511021854"</f>
        <v>201511021854</v>
      </c>
    </row>
    <row r="34494" spans="1:2" x14ac:dyDescent="0.25">
      <c r="A34494" s="2">
        <v>34489</v>
      </c>
      <c r="B34494" s="3" t="str">
        <f>"201511021893"</f>
        <v>201511021893</v>
      </c>
    </row>
    <row r="34495" spans="1:2" x14ac:dyDescent="0.25">
      <c r="A34495" s="2">
        <v>34490</v>
      </c>
      <c r="B34495" s="3" t="str">
        <f>"201511021895"</f>
        <v>201511021895</v>
      </c>
    </row>
    <row r="34496" spans="1:2" x14ac:dyDescent="0.25">
      <c r="A34496" s="2">
        <v>34491</v>
      </c>
      <c r="B34496" s="3" t="str">
        <f>"201511021900"</f>
        <v>201511021900</v>
      </c>
    </row>
    <row r="34497" spans="1:2" x14ac:dyDescent="0.25">
      <c r="A34497" s="2">
        <v>34492</v>
      </c>
      <c r="B34497" s="3" t="str">
        <f>"201511021943"</f>
        <v>201511021943</v>
      </c>
    </row>
    <row r="34498" spans="1:2" x14ac:dyDescent="0.25">
      <c r="A34498" s="2">
        <v>34493</v>
      </c>
      <c r="B34498" s="3" t="str">
        <f>"201511021951"</f>
        <v>201511021951</v>
      </c>
    </row>
    <row r="34499" spans="1:2" x14ac:dyDescent="0.25">
      <c r="A34499" s="2">
        <v>34494</v>
      </c>
      <c r="B34499" s="3" t="str">
        <f>"201511021952"</f>
        <v>201511021952</v>
      </c>
    </row>
    <row r="34500" spans="1:2" x14ac:dyDescent="0.25">
      <c r="A34500" s="2">
        <v>34495</v>
      </c>
      <c r="B34500" s="3" t="str">
        <f>"201511021953"</f>
        <v>201511021953</v>
      </c>
    </row>
    <row r="34501" spans="1:2" x14ac:dyDescent="0.25">
      <c r="A34501" s="2">
        <v>34496</v>
      </c>
      <c r="B34501" s="3" t="str">
        <f>"201511021995"</f>
        <v>201511021995</v>
      </c>
    </row>
    <row r="34502" spans="1:2" x14ac:dyDescent="0.25">
      <c r="A34502" s="2">
        <v>34497</v>
      </c>
      <c r="B34502" s="3" t="str">
        <f>"201511022000"</f>
        <v>201511022000</v>
      </c>
    </row>
    <row r="34503" spans="1:2" x14ac:dyDescent="0.25">
      <c r="A34503" s="2">
        <v>34498</v>
      </c>
      <c r="B34503" s="3" t="str">
        <f>"201511022025"</f>
        <v>201511022025</v>
      </c>
    </row>
    <row r="34504" spans="1:2" x14ac:dyDescent="0.25">
      <c r="A34504" s="2">
        <v>34499</v>
      </c>
      <c r="B34504" s="3" t="str">
        <f>"201511022026"</f>
        <v>201511022026</v>
      </c>
    </row>
    <row r="34505" spans="1:2" x14ac:dyDescent="0.25">
      <c r="A34505" s="2">
        <v>34500</v>
      </c>
      <c r="B34505" s="3" t="str">
        <f>"201511022027"</f>
        <v>201511022027</v>
      </c>
    </row>
    <row r="34506" spans="1:2" x14ac:dyDescent="0.25">
      <c r="A34506" s="2">
        <v>34501</v>
      </c>
      <c r="B34506" s="3" t="str">
        <f>"201511022038"</f>
        <v>201511022038</v>
      </c>
    </row>
    <row r="34507" spans="1:2" x14ac:dyDescent="0.25">
      <c r="A34507" s="2">
        <v>34502</v>
      </c>
      <c r="B34507" s="3" t="str">
        <f>"201511022043"</f>
        <v>201511022043</v>
      </c>
    </row>
    <row r="34508" spans="1:2" x14ac:dyDescent="0.25">
      <c r="A34508" s="2">
        <v>34503</v>
      </c>
      <c r="B34508" s="3" t="str">
        <f>"201511022066"</f>
        <v>201511022066</v>
      </c>
    </row>
    <row r="34509" spans="1:2" x14ac:dyDescent="0.25">
      <c r="A34509" s="2">
        <v>34504</v>
      </c>
      <c r="B34509" s="3" t="str">
        <f>"201511022076"</f>
        <v>201511022076</v>
      </c>
    </row>
    <row r="34510" spans="1:2" x14ac:dyDescent="0.25">
      <c r="A34510" s="2">
        <v>34505</v>
      </c>
      <c r="B34510" s="3" t="str">
        <f>"201511022082"</f>
        <v>201511022082</v>
      </c>
    </row>
    <row r="34511" spans="1:2" x14ac:dyDescent="0.25">
      <c r="A34511" s="2">
        <v>34506</v>
      </c>
      <c r="B34511" s="3" t="str">
        <f>"201511022093"</f>
        <v>201511022093</v>
      </c>
    </row>
    <row r="34512" spans="1:2" x14ac:dyDescent="0.25">
      <c r="A34512" s="2">
        <v>34507</v>
      </c>
      <c r="B34512" s="3" t="str">
        <f>"201511022100"</f>
        <v>201511022100</v>
      </c>
    </row>
    <row r="34513" spans="1:2" x14ac:dyDescent="0.25">
      <c r="A34513" s="2">
        <v>34508</v>
      </c>
      <c r="B34513" s="3" t="str">
        <f>"201511022123"</f>
        <v>201511022123</v>
      </c>
    </row>
    <row r="34514" spans="1:2" x14ac:dyDescent="0.25">
      <c r="A34514" s="2">
        <v>34509</v>
      </c>
      <c r="B34514" s="3" t="str">
        <f>"201511022150"</f>
        <v>201511022150</v>
      </c>
    </row>
    <row r="34515" spans="1:2" x14ac:dyDescent="0.25">
      <c r="A34515" s="2">
        <v>34510</v>
      </c>
      <c r="B34515" s="3" t="str">
        <f>"201511022161"</f>
        <v>201511022161</v>
      </c>
    </row>
    <row r="34516" spans="1:2" x14ac:dyDescent="0.25">
      <c r="A34516" s="2">
        <v>34511</v>
      </c>
      <c r="B34516" s="3" t="str">
        <f>"201511022169"</f>
        <v>201511022169</v>
      </c>
    </row>
    <row r="34517" spans="1:2" x14ac:dyDescent="0.25">
      <c r="A34517" s="2">
        <v>34512</v>
      </c>
      <c r="B34517" s="3" t="str">
        <f>"201511022184"</f>
        <v>201511022184</v>
      </c>
    </row>
    <row r="34518" spans="1:2" x14ac:dyDescent="0.25">
      <c r="A34518" s="2">
        <v>34513</v>
      </c>
      <c r="B34518" s="3" t="str">
        <f>"201511022227"</f>
        <v>201511022227</v>
      </c>
    </row>
    <row r="34519" spans="1:2" x14ac:dyDescent="0.25">
      <c r="A34519" s="2">
        <v>34514</v>
      </c>
      <c r="B34519" s="3" t="str">
        <f>"201511022229"</f>
        <v>201511022229</v>
      </c>
    </row>
    <row r="34520" spans="1:2" x14ac:dyDescent="0.25">
      <c r="A34520" s="2">
        <v>34515</v>
      </c>
      <c r="B34520" s="3" t="str">
        <f>"201511022251"</f>
        <v>201511022251</v>
      </c>
    </row>
    <row r="34521" spans="1:2" x14ac:dyDescent="0.25">
      <c r="A34521" s="2">
        <v>34516</v>
      </c>
      <c r="B34521" s="3" t="str">
        <f>"201511022274"</f>
        <v>201511022274</v>
      </c>
    </row>
    <row r="34522" spans="1:2" x14ac:dyDescent="0.25">
      <c r="A34522" s="2">
        <v>34517</v>
      </c>
      <c r="B34522" s="3" t="str">
        <f>"201511022332"</f>
        <v>201511022332</v>
      </c>
    </row>
    <row r="34523" spans="1:2" x14ac:dyDescent="0.25">
      <c r="A34523" s="2">
        <v>34518</v>
      </c>
      <c r="B34523" s="3" t="str">
        <f>"201511022345"</f>
        <v>201511022345</v>
      </c>
    </row>
    <row r="34524" spans="1:2" x14ac:dyDescent="0.25">
      <c r="A34524" s="2">
        <v>34519</v>
      </c>
      <c r="B34524" s="3" t="str">
        <f>"201511022409"</f>
        <v>201511022409</v>
      </c>
    </row>
    <row r="34525" spans="1:2" x14ac:dyDescent="0.25">
      <c r="A34525" s="2">
        <v>34520</v>
      </c>
      <c r="B34525" s="3" t="str">
        <f>"201511022427"</f>
        <v>201511022427</v>
      </c>
    </row>
    <row r="34526" spans="1:2" x14ac:dyDescent="0.25">
      <c r="A34526" s="2">
        <v>34521</v>
      </c>
      <c r="B34526" s="3" t="str">
        <f>"201511022439"</f>
        <v>201511022439</v>
      </c>
    </row>
    <row r="34527" spans="1:2" x14ac:dyDescent="0.25">
      <c r="A34527" s="2">
        <v>34522</v>
      </c>
      <c r="B34527" s="3" t="str">
        <f>"201511022456"</f>
        <v>201511022456</v>
      </c>
    </row>
    <row r="34528" spans="1:2" x14ac:dyDescent="0.25">
      <c r="A34528" s="2">
        <v>34523</v>
      </c>
      <c r="B34528" s="3" t="str">
        <f>"201511022543"</f>
        <v>201511022543</v>
      </c>
    </row>
    <row r="34529" spans="1:2" x14ac:dyDescent="0.25">
      <c r="A34529" s="2">
        <v>34524</v>
      </c>
      <c r="B34529" s="3" t="str">
        <f>"201511022580"</f>
        <v>201511022580</v>
      </c>
    </row>
    <row r="34530" spans="1:2" x14ac:dyDescent="0.25">
      <c r="A34530" s="2">
        <v>34525</v>
      </c>
      <c r="B34530" s="3" t="str">
        <f>"201511022581"</f>
        <v>201511022581</v>
      </c>
    </row>
    <row r="34531" spans="1:2" x14ac:dyDescent="0.25">
      <c r="A34531" s="2">
        <v>34526</v>
      </c>
      <c r="B34531" s="3" t="str">
        <f>"201511022584"</f>
        <v>201511022584</v>
      </c>
    </row>
    <row r="34532" spans="1:2" x14ac:dyDescent="0.25">
      <c r="A34532" s="2">
        <v>34527</v>
      </c>
      <c r="B34532" s="3" t="str">
        <f>"201511022644"</f>
        <v>201511022644</v>
      </c>
    </row>
    <row r="34533" spans="1:2" x14ac:dyDescent="0.25">
      <c r="A34533" s="2">
        <v>34528</v>
      </c>
      <c r="B34533" s="3" t="str">
        <f>"201511022652"</f>
        <v>201511022652</v>
      </c>
    </row>
    <row r="34534" spans="1:2" x14ac:dyDescent="0.25">
      <c r="A34534" s="2">
        <v>34529</v>
      </c>
      <c r="B34534" s="3" t="str">
        <f>"201511022655"</f>
        <v>201511022655</v>
      </c>
    </row>
    <row r="34535" spans="1:2" x14ac:dyDescent="0.25">
      <c r="A34535" s="2">
        <v>34530</v>
      </c>
      <c r="B34535" s="3" t="str">
        <f>"201511022670"</f>
        <v>201511022670</v>
      </c>
    </row>
    <row r="34536" spans="1:2" x14ac:dyDescent="0.25">
      <c r="A34536" s="2">
        <v>34531</v>
      </c>
      <c r="B34536" s="3" t="str">
        <f>"201511022715"</f>
        <v>201511022715</v>
      </c>
    </row>
    <row r="34537" spans="1:2" x14ac:dyDescent="0.25">
      <c r="A34537" s="2">
        <v>34532</v>
      </c>
      <c r="B34537" s="3" t="str">
        <f>"201511022744"</f>
        <v>201511022744</v>
      </c>
    </row>
    <row r="34538" spans="1:2" x14ac:dyDescent="0.25">
      <c r="A34538" s="2">
        <v>34533</v>
      </c>
      <c r="B34538" s="3" t="str">
        <f>"201511022755"</f>
        <v>201511022755</v>
      </c>
    </row>
    <row r="34539" spans="1:2" x14ac:dyDescent="0.25">
      <c r="A34539" s="2">
        <v>34534</v>
      </c>
      <c r="B34539" s="3" t="str">
        <f>"201511022769"</f>
        <v>201511022769</v>
      </c>
    </row>
    <row r="34540" spans="1:2" x14ac:dyDescent="0.25">
      <c r="A34540" s="2">
        <v>34535</v>
      </c>
      <c r="B34540" s="3" t="str">
        <f>"201511022778"</f>
        <v>201511022778</v>
      </c>
    </row>
    <row r="34541" spans="1:2" x14ac:dyDescent="0.25">
      <c r="A34541" s="2">
        <v>34536</v>
      </c>
      <c r="B34541" s="3" t="str">
        <f>"201511022786"</f>
        <v>201511022786</v>
      </c>
    </row>
    <row r="34542" spans="1:2" x14ac:dyDescent="0.25">
      <c r="A34542" s="2">
        <v>34537</v>
      </c>
      <c r="B34542" s="3" t="str">
        <f>"201511022796"</f>
        <v>201511022796</v>
      </c>
    </row>
    <row r="34543" spans="1:2" x14ac:dyDescent="0.25">
      <c r="A34543" s="2">
        <v>34538</v>
      </c>
      <c r="B34543" s="3" t="str">
        <f>"201511022806"</f>
        <v>201511022806</v>
      </c>
    </row>
    <row r="34544" spans="1:2" x14ac:dyDescent="0.25">
      <c r="A34544" s="2">
        <v>34539</v>
      </c>
      <c r="B34544" s="3" t="str">
        <f>"201511022827"</f>
        <v>201511022827</v>
      </c>
    </row>
    <row r="34545" spans="1:2" x14ac:dyDescent="0.25">
      <c r="A34545" s="2">
        <v>34540</v>
      </c>
      <c r="B34545" s="3" t="str">
        <f>"201511022836"</f>
        <v>201511022836</v>
      </c>
    </row>
    <row r="34546" spans="1:2" x14ac:dyDescent="0.25">
      <c r="A34546" s="2">
        <v>34541</v>
      </c>
      <c r="B34546" s="3" t="str">
        <f>"201511022850"</f>
        <v>201511022850</v>
      </c>
    </row>
    <row r="34547" spans="1:2" x14ac:dyDescent="0.25">
      <c r="A34547" s="2">
        <v>34542</v>
      </c>
      <c r="B34547" s="3" t="str">
        <f>"201511022855"</f>
        <v>201511022855</v>
      </c>
    </row>
    <row r="34548" spans="1:2" x14ac:dyDescent="0.25">
      <c r="A34548" s="2">
        <v>34543</v>
      </c>
      <c r="B34548" s="3" t="str">
        <f>"201511022866"</f>
        <v>201511022866</v>
      </c>
    </row>
    <row r="34549" spans="1:2" x14ac:dyDescent="0.25">
      <c r="A34549" s="2">
        <v>34544</v>
      </c>
      <c r="B34549" s="3" t="str">
        <f>"201511022922"</f>
        <v>201511022922</v>
      </c>
    </row>
    <row r="34550" spans="1:2" x14ac:dyDescent="0.25">
      <c r="A34550" s="2">
        <v>34545</v>
      </c>
      <c r="B34550" s="3" t="str">
        <f>"201511022950"</f>
        <v>201511022950</v>
      </c>
    </row>
    <row r="34551" spans="1:2" x14ac:dyDescent="0.25">
      <c r="A34551" s="2">
        <v>34546</v>
      </c>
      <c r="B34551" s="3" t="str">
        <f>"201511023025"</f>
        <v>201511023025</v>
      </c>
    </row>
    <row r="34552" spans="1:2" x14ac:dyDescent="0.25">
      <c r="A34552" s="2">
        <v>34547</v>
      </c>
      <c r="B34552" s="3" t="str">
        <f>"201511023089"</f>
        <v>201511023089</v>
      </c>
    </row>
    <row r="34553" spans="1:2" x14ac:dyDescent="0.25">
      <c r="A34553" s="2">
        <v>34548</v>
      </c>
      <c r="B34553" s="3" t="str">
        <f>"201511023098"</f>
        <v>201511023098</v>
      </c>
    </row>
    <row r="34554" spans="1:2" x14ac:dyDescent="0.25">
      <c r="A34554" s="2">
        <v>34549</v>
      </c>
      <c r="B34554" s="3" t="str">
        <f>"201511023160"</f>
        <v>201511023160</v>
      </c>
    </row>
    <row r="34555" spans="1:2" x14ac:dyDescent="0.25">
      <c r="A34555" s="2">
        <v>34550</v>
      </c>
      <c r="B34555" s="3" t="str">
        <f>"201511023180"</f>
        <v>201511023180</v>
      </c>
    </row>
    <row r="34556" spans="1:2" x14ac:dyDescent="0.25">
      <c r="A34556" s="2">
        <v>34551</v>
      </c>
      <c r="B34556" s="3" t="str">
        <f>"201511023184"</f>
        <v>201511023184</v>
      </c>
    </row>
    <row r="34557" spans="1:2" x14ac:dyDescent="0.25">
      <c r="A34557" s="2">
        <v>34552</v>
      </c>
      <c r="B34557" s="3" t="str">
        <f>"201511023185"</f>
        <v>201511023185</v>
      </c>
    </row>
    <row r="34558" spans="1:2" x14ac:dyDescent="0.25">
      <c r="A34558" s="2">
        <v>34553</v>
      </c>
      <c r="B34558" s="3" t="str">
        <f>"201511023232"</f>
        <v>201511023232</v>
      </c>
    </row>
    <row r="34559" spans="1:2" x14ac:dyDescent="0.25">
      <c r="A34559" s="2">
        <v>34554</v>
      </c>
      <c r="B34559" s="3" t="str">
        <f>"201511023275"</f>
        <v>201511023275</v>
      </c>
    </row>
    <row r="34560" spans="1:2" x14ac:dyDescent="0.25">
      <c r="A34560" s="2">
        <v>34555</v>
      </c>
      <c r="B34560" s="3" t="str">
        <f>"201511023278"</f>
        <v>201511023278</v>
      </c>
    </row>
    <row r="34561" spans="1:2" x14ac:dyDescent="0.25">
      <c r="A34561" s="2">
        <v>34556</v>
      </c>
      <c r="B34561" s="3" t="str">
        <f>"201511023321"</f>
        <v>201511023321</v>
      </c>
    </row>
    <row r="34562" spans="1:2" x14ac:dyDescent="0.25">
      <c r="A34562" s="2">
        <v>34557</v>
      </c>
      <c r="B34562" s="3" t="str">
        <f>"201511023322"</f>
        <v>201511023322</v>
      </c>
    </row>
    <row r="34563" spans="1:2" x14ac:dyDescent="0.25">
      <c r="A34563" s="2">
        <v>34558</v>
      </c>
      <c r="B34563" s="3" t="str">
        <f>"201511023331"</f>
        <v>201511023331</v>
      </c>
    </row>
    <row r="34564" spans="1:2" x14ac:dyDescent="0.25">
      <c r="A34564" s="2">
        <v>34559</v>
      </c>
      <c r="B34564" s="3" t="str">
        <f>"201511023345"</f>
        <v>201511023345</v>
      </c>
    </row>
    <row r="34565" spans="1:2" x14ac:dyDescent="0.25">
      <c r="A34565" s="2">
        <v>34560</v>
      </c>
      <c r="B34565" s="3" t="str">
        <f>"201511023349"</f>
        <v>201511023349</v>
      </c>
    </row>
    <row r="34566" spans="1:2" x14ac:dyDescent="0.25">
      <c r="A34566" s="2">
        <v>34561</v>
      </c>
      <c r="B34566" s="3" t="str">
        <f>"201511023357"</f>
        <v>201511023357</v>
      </c>
    </row>
    <row r="34567" spans="1:2" x14ac:dyDescent="0.25">
      <c r="A34567" s="2">
        <v>34562</v>
      </c>
      <c r="B34567" s="3" t="str">
        <f>"201511023394"</f>
        <v>201511023394</v>
      </c>
    </row>
    <row r="34568" spans="1:2" x14ac:dyDescent="0.25">
      <c r="A34568" s="2">
        <v>34563</v>
      </c>
      <c r="B34568" s="3" t="str">
        <f>"201511023395"</f>
        <v>201511023395</v>
      </c>
    </row>
    <row r="34569" spans="1:2" x14ac:dyDescent="0.25">
      <c r="A34569" s="2">
        <v>34564</v>
      </c>
      <c r="B34569" s="3" t="str">
        <f>"201511023445"</f>
        <v>201511023445</v>
      </c>
    </row>
    <row r="34570" spans="1:2" x14ac:dyDescent="0.25">
      <c r="A34570" s="2">
        <v>34565</v>
      </c>
      <c r="B34570" s="3" t="str">
        <f>"201511023464"</f>
        <v>201511023464</v>
      </c>
    </row>
    <row r="34571" spans="1:2" x14ac:dyDescent="0.25">
      <c r="A34571" s="2">
        <v>34566</v>
      </c>
      <c r="B34571" s="3" t="str">
        <f>"201511023481"</f>
        <v>201511023481</v>
      </c>
    </row>
    <row r="34572" spans="1:2" x14ac:dyDescent="0.25">
      <c r="A34572" s="2">
        <v>34567</v>
      </c>
      <c r="B34572" s="3" t="str">
        <f>"201511023514"</f>
        <v>201511023514</v>
      </c>
    </row>
    <row r="34573" spans="1:2" x14ac:dyDescent="0.25">
      <c r="A34573" s="2">
        <v>34568</v>
      </c>
      <c r="B34573" s="3" t="str">
        <f>"201511023573"</f>
        <v>201511023573</v>
      </c>
    </row>
    <row r="34574" spans="1:2" x14ac:dyDescent="0.25">
      <c r="A34574" s="2">
        <v>34569</v>
      </c>
      <c r="B34574" s="3" t="str">
        <f>"201511023616"</f>
        <v>201511023616</v>
      </c>
    </row>
    <row r="34575" spans="1:2" x14ac:dyDescent="0.25">
      <c r="A34575" s="2">
        <v>34570</v>
      </c>
      <c r="B34575" s="3" t="str">
        <f>"201511023625"</f>
        <v>201511023625</v>
      </c>
    </row>
    <row r="34576" spans="1:2" x14ac:dyDescent="0.25">
      <c r="A34576" s="2">
        <v>34571</v>
      </c>
      <c r="B34576" s="3" t="str">
        <f>"201511023640"</f>
        <v>201511023640</v>
      </c>
    </row>
    <row r="34577" spans="1:2" x14ac:dyDescent="0.25">
      <c r="A34577" s="2">
        <v>34572</v>
      </c>
      <c r="B34577" s="3" t="str">
        <f>"201511023641"</f>
        <v>201511023641</v>
      </c>
    </row>
    <row r="34578" spans="1:2" x14ac:dyDescent="0.25">
      <c r="A34578" s="2">
        <v>34573</v>
      </c>
      <c r="B34578" s="3" t="str">
        <f>"201511023656"</f>
        <v>201511023656</v>
      </c>
    </row>
    <row r="34579" spans="1:2" x14ac:dyDescent="0.25">
      <c r="A34579" s="2">
        <v>34574</v>
      </c>
      <c r="B34579" s="3" t="str">
        <f>"201511023663"</f>
        <v>201511023663</v>
      </c>
    </row>
    <row r="34580" spans="1:2" x14ac:dyDescent="0.25">
      <c r="A34580" s="2">
        <v>34575</v>
      </c>
      <c r="B34580" s="3" t="str">
        <f>"201511023681"</f>
        <v>201511023681</v>
      </c>
    </row>
    <row r="34581" spans="1:2" x14ac:dyDescent="0.25">
      <c r="A34581" s="2">
        <v>34576</v>
      </c>
      <c r="B34581" s="3" t="str">
        <f>"201511023712"</f>
        <v>201511023712</v>
      </c>
    </row>
    <row r="34582" spans="1:2" x14ac:dyDescent="0.25">
      <c r="A34582" s="2">
        <v>34577</v>
      </c>
      <c r="B34582" s="3" t="str">
        <f>"201511023736"</f>
        <v>201511023736</v>
      </c>
    </row>
    <row r="34583" spans="1:2" x14ac:dyDescent="0.25">
      <c r="A34583" s="2">
        <v>34578</v>
      </c>
      <c r="B34583" s="3" t="str">
        <f>"201511023749"</f>
        <v>201511023749</v>
      </c>
    </row>
    <row r="34584" spans="1:2" x14ac:dyDescent="0.25">
      <c r="A34584" s="2">
        <v>34579</v>
      </c>
      <c r="B34584" s="3" t="str">
        <f>"201511023767"</f>
        <v>201511023767</v>
      </c>
    </row>
    <row r="34585" spans="1:2" x14ac:dyDescent="0.25">
      <c r="A34585" s="2">
        <v>34580</v>
      </c>
      <c r="B34585" s="3" t="str">
        <f>"201511023801"</f>
        <v>201511023801</v>
      </c>
    </row>
    <row r="34586" spans="1:2" x14ac:dyDescent="0.25">
      <c r="A34586" s="2">
        <v>34581</v>
      </c>
      <c r="B34586" s="3" t="str">
        <f>"201511023859"</f>
        <v>201511023859</v>
      </c>
    </row>
    <row r="34587" spans="1:2" x14ac:dyDescent="0.25">
      <c r="A34587" s="2">
        <v>34582</v>
      </c>
      <c r="B34587" s="3" t="str">
        <f>"201511023861"</f>
        <v>201511023861</v>
      </c>
    </row>
    <row r="34588" spans="1:2" x14ac:dyDescent="0.25">
      <c r="A34588" s="2">
        <v>34583</v>
      </c>
      <c r="B34588" s="3" t="str">
        <f>"201511023880"</f>
        <v>201511023880</v>
      </c>
    </row>
    <row r="34589" spans="1:2" x14ac:dyDescent="0.25">
      <c r="A34589" s="2">
        <v>34584</v>
      </c>
      <c r="B34589" s="3" t="str">
        <f>"201511023983"</f>
        <v>201511023983</v>
      </c>
    </row>
    <row r="34590" spans="1:2" x14ac:dyDescent="0.25">
      <c r="A34590" s="2">
        <v>34585</v>
      </c>
      <c r="B34590" s="3" t="str">
        <f>"201511023984"</f>
        <v>201511023984</v>
      </c>
    </row>
    <row r="34591" spans="1:2" x14ac:dyDescent="0.25">
      <c r="A34591" s="2">
        <v>34586</v>
      </c>
      <c r="B34591" s="3" t="str">
        <f>"201511024009"</f>
        <v>201511024009</v>
      </c>
    </row>
    <row r="34592" spans="1:2" x14ac:dyDescent="0.25">
      <c r="A34592" s="2">
        <v>34587</v>
      </c>
      <c r="B34592" s="3" t="str">
        <f>"201511024031"</f>
        <v>201511024031</v>
      </c>
    </row>
    <row r="34593" spans="1:2" x14ac:dyDescent="0.25">
      <c r="A34593" s="2">
        <v>34588</v>
      </c>
      <c r="B34593" s="3" t="str">
        <f>"201511024041"</f>
        <v>201511024041</v>
      </c>
    </row>
    <row r="34594" spans="1:2" x14ac:dyDescent="0.25">
      <c r="A34594" s="2">
        <v>34589</v>
      </c>
      <c r="B34594" s="3" t="str">
        <f>"201511024045"</f>
        <v>201511024045</v>
      </c>
    </row>
    <row r="34595" spans="1:2" x14ac:dyDescent="0.25">
      <c r="A34595" s="2">
        <v>34590</v>
      </c>
      <c r="B34595" s="3" t="str">
        <f>"201511024057"</f>
        <v>201511024057</v>
      </c>
    </row>
    <row r="34596" spans="1:2" x14ac:dyDescent="0.25">
      <c r="A34596" s="2">
        <v>34591</v>
      </c>
      <c r="B34596" s="3" t="str">
        <f>"201511024061"</f>
        <v>201511024061</v>
      </c>
    </row>
    <row r="34597" spans="1:2" x14ac:dyDescent="0.25">
      <c r="A34597" s="2">
        <v>34592</v>
      </c>
      <c r="B34597" s="3" t="str">
        <f>"201511024077"</f>
        <v>201511024077</v>
      </c>
    </row>
    <row r="34598" spans="1:2" x14ac:dyDescent="0.25">
      <c r="A34598" s="2">
        <v>34593</v>
      </c>
      <c r="B34598" s="3" t="str">
        <f>"201511024080"</f>
        <v>201511024080</v>
      </c>
    </row>
    <row r="34599" spans="1:2" x14ac:dyDescent="0.25">
      <c r="A34599" s="2">
        <v>34594</v>
      </c>
      <c r="B34599" s="3" t="str">
        <f>"201511024083"</f>
        <v>201511024083</v>
      </c>
    </row>
    <row r="34600" spans="1:2" x14ac:dyDescent="0.25">
      <c r="A34600" s="2">
        <v>34595</v>
      </c>
      <c r="B34600" s="3" t="str">
        <f>"201511024131"</f>
        <v>201511024131</v>
      </c>
    </row>
    <row r="34601" spans="1:2" x14ac:dyDescent="0.25">
      <c r="A34601" s="2">
        <v>34596</v>
      </c>
      <c r="B34601" s="3" t="str">
        <f>"201511024145"</f>
        <v>201511024145</v>
      </c>
    </row>
    <row r="34602" spans="1:2" x14ac:dyDescent="0.25">
      <c r="A34602" s="2">
        <v>34597</v>
      </c>
      <c r="B34602" s="3" t="str">
        <f>"201511024170"</f>
        <v>201511024170</v>
      </c>
    </row>
    <row r="34603" spans="1:2" x14ac:dyDescent="0.25">
      <c r="A34603" s="2">
        <v>34598</v>
      </c>
      <c r="B34603" s="3" t="str">
        <f>"201511024184"</f>
        <v>201511024184</v>
      </c>
    </row>
    <row r="34604" spans="1:2" x14ac:dyDescent="0.25">
      <c r="A34604" s="2">
        <v>34599</v>
      </c>
      <c r="B34604" s="3" t="str">
        <f>"201511024194"</f>
        <v>201511024194</v>
      </c>
    </row>
    <row r="34605" spans="1:2" x14ac:dyDescent="0.25">
      <c r="A34605" s="2">
        <v>34600</v>
      </c>
      <c r="B34605" s="3" t="str">
        <f>"201511024205"</f>
        <v>201511024205</v>
      </c>
    </row>
    <row r="34606" spans="1:2" x14ac:dyDescent="0.25">
      <c r="A34606" s="2">
        <v>34601</v>
      </c>
      <c r="B34606" s="3" t="str">
        <f>"201511024212"</f>
        <v>201511024212</v>
      </c>
    </row>
    <row r="34607" spans="1:2" x14ac:dyDescent="0.25">
      <c r="A34607" s="2">
        <v>34602</v>
      </c>
      <c r="B34607" s="3" t="str">
        <f>"201511024216"</f>
        <v>201511024216</v>
      </c>
    </row>
    <row r="34608" spans="1:2" x14ac:dyDescent="0.25">
      <c r="A34608" s="2">
        <v>34603</v>
      </c>
      <c r="B34608" s="3" t="str">
        <f>"201511024218"</f>
        <v>201511024218</v>
      </c>
    </row>
    <row r="34609" spans="1:2" x14ac:dyDescent="0.25">
      <c r="A34609" s="2">
        <v>34604</v>
      </c>
      <c r="B34609" s="3" t="str">
        <f>"201511024239"</f>
        <v>201511024239</v>
      </c>
    </row>
    <row r="34610" spans="1:2" x14ac:dyDescent="0.25">
      <c r="A34610" s="2">
        <v>34605</v>
      </c>
      <c r="B34610" s="3" t="str">
        <f>"201511024272"</f>
        <v>201511024272</v>
      </c>
    </row>
    <row r="34611" spans="1:2" x14ac:dyDescent="0.25">
      <c r="A34611" s="2">
        <v>34606</v>
      </c>
      <c r="B34611" s="3" t="str">
        <f>"201511024279"</f>
        <v>201511024279</v>
      </c>
    </row>
    <row r="34612" spans="1:2" x14ac:dyDescent="0.25">
      <c r="A34612" s="2">
        <v>34607</v>
      </c>
      <c r="B34612" s="3" t="str">
        <f>"201511024294"</f>
        <v>201511024294</v>
      </c>
    </row>
    <row r="34613" spans="1:2" x14ac:dyDescent="0.25">
      <c r="A34613" s="2">
        <v>34608</v>
      </c>
      <c r="B34613" s="3" t="str">
        <f>"201511024301"</f>
        <v>201511024301</v>
      </c>
    </row>
    <row r="34614" spans="1:2" x14ac:dyDescent="0.25">
      <c r="A34614" s="2">
        <v>34609</v>
      </c>
      <c r="B34614" s="3" t="str">
        <f>"201511024319"</f>
        <v>201511024319</v>
      </c>
    </row>
    <row r="34615" spans="1:2" x14ac:dyDescent="0.25">
      <c r="A34615" s="2">
        <v>34610</v>
      </c>
      <c r="B34615" s="3" t="str">
        <f>"201511024336"</f>
        <v>201511024336</v>
      </c>
    </row>
    <row r="34616" spans="1:2" x14ac:dyDescent="0.25">
      <c r="A34616" s="2">
        <v>34611</v>
      </c>
      <c r="B34616" s="3" t="str">
        <f>"201511024358"</f>
        <v>201511024358</v>
      </c>
    </row>
    <row r="34617" spans="1:2" x14ac:dyDescent="0.25">
      <c r="A34617" s="2">
        <v>34612</v>
      </c>
      <c r="B34617" s="3" t="str">
        <f>"201511024393"</f>
        <v>201511024393</v>
      </c>
    </row>
    <row r="34618" spans="1:2" x14ac:dyDescent="0.25">
      <c r="A34618" s="2">
        <v>34613</v>
      </c>
      <c r="B34618" s="3" t="str">
        <f>"201511024454"</f>
        <v>201511024454</v>
      </c>
    </row>
    <row r="34619" spans="1:2" x14ac:dyDescent="0.25">
      <c r="A34619" s="2">
        <v>34614</v>
      </c>
      <c r="B34619" s="3" t="str">
        <f>"201511024460"</f>
        <v>201511024460</v>
      </c>
    </row>
    <row r="34620" spans="1:2" x14ac:dyDescent="0.25">
      <c r="A34620" s="2">
        <v>34615</v>
      </c>
      <c r="B34620" s="3" t="str">
        <f>"201511024464"</f>
        <v>201511024464</v>
      </c>
    </row>
    <row r="34621" spans="1:2" x14ac:dyDescent="0.25">
      <c r="A34621" s="2">
        <v>34616</v>
      </c>
      <c r="B34621" s="3" t="str">
        <f>"201511024465"</f>
        <v>201511024465</v>
      </c>
    </row>
    <row r="34622" spans="1:2" x14ac:dyDescent="0.25">
      <c r="A34622" s="2">
        <v>34617</v>
      </c>
      <c r="B34622" s="3" t="str">
        <f>"201511024469"</f>
        <v>201511024469</v>
      </c>
    </row>
    <row r="34623" spans="1:2" x14ac:dyDescent="0.25">
      <c r="A34623" s="2">
        <v>34618</v>
      </c>
      <c r="B34623" s="3" t="str">
        <f>"201511024472"</f>
        <v>201511024472</v>
      </c>
    </row>
    <row r="34624" spans="1:2" x14ac:dyDescent="0.25">
      <c r="A34624" s="2">
        <v>34619</v>
      </c>
      <c r="B34624" s="3" t="str">
        <f>"201511024486"</f>
        <v>201511024486</v>
      </c>
    </row>
    <row r="34625" spans="1:2" x14ac:dyDescent="0.25">
      <c r="A34625" s="2">
        <v>34620</v>
      </c>
      <c r="B34625" s="3" t="str">
        <f>"201511024498"</f>
        <v>201511024498</v>
      </c>
    </row>
    <row r="34626" spans="1:2" x14ac:dyDescent="0.25">
      <c r="A34626" s="2">
        <v>34621</v>
      </c>
      <c r="B34626" s="3" t="str">
        <f>"201511024504"</f>
        <v>201511024504</v>
      </c>
    </row>
    <row r="34627" spans="1:2" x14ac:dyDescent="0.25">
      <c r="A34627" s="2">
        <v>34622</v>
      </c>
      <c r="B34627" s="3" t="str">
        <f>"201511024512"</f>
        <v>201511024512</v>
      </c>
    </row>
    <row r="34628" spans="1:2" x14ac:dyDescent="0.25">
      <c r="A34628" s="2">
        <v>34623</v>
      </c>
      <c r="B34628" s="3" t="str">
        <f>"201511024514"</f>
        <v>201511024514</v>
      </c>
    </row>
    <row r="34629" spans="1:2" x14ac:dyDescent="0.25">
      <c r="A34629" s="2">
        <v>34624</v>
      </c>
      <c r="B34629" s="3" t="str">
        <f>"201511024531"</f>
        <v>201511024531</v>
      </c>
    </row>
    <row r="34630" spans="1:2" x14ac:dyDescent="0.25">
      <c r="A34630" s="2">
        <v>34625</v>
      </c>
      <c r="B34630" s="3" t="str">
        <f>"201511024543"</f>
        <v>201511024543</v>
      </c>
    </row>
    <row r="34631" spans="1:2" x14ac:dyDescent="0.25">
      <c r="A34631" s="2">
        <v>34626</v>
      </c>
      <c r="B34631" s="3" t="str">
        <f>"201511024610"</f>
        <v>201511024610</v>
      </c>
    </row>
    <row r="34632" spans="1:2" x14ac:dyDescent="0.25">
      <c r="A34632" s="2">
        <v>34627</v>
      </c>
      <c r="B34632" s="3" t="str">
        <f>"201511024651"</f>
        <v>201511024651</v>
      </c>
    </row>
    <row r="34633" spans="1:2" x14ac:dyDescent="0.25">
      <c r="A34633" s="2">
        <v>34628</v>
      </c>
      <c r="B34633" s="3" t="str">
        <f>"201511024694"</f>
        <v>201511024694</v>
      </c>
    </row>
    <row r="34634" spans="1:2" x14ac:dyDescent="0.25">
      <c r="A34634" s="2">
        <v>34629</v>
      </c>
      <c r="B34634" s="3" t="str">
        <f>"201511024697"</f>
        <v>201511024697</v>
      </c>
    </row>
    <row r="34635" spans="1:2" x14ac:dyDescent="0.25">
      <c r="A34635" s="2">
        <v>34630</v>
      </c>
      <c r="B34635" s="3" t="str">
        <f>"201511024698"</f>
        <v>201511024698</v>
      </c>
    </row>
    <row r="34636" spans="1:2" x14ac:dyDescent="0.25">
      <c r="A34636" s="2">
        <v>34631</v>
      </c>
      <c r="B34636" s="3" t="str">
        <f>"201511024728"</f>
        <v>201511024728</v>
      </c>
    </row>
    <row r="34637" spans="1:2" x14ac:dyDescent="0.25">
      <c r="A34637" s="2">
        <v>34632</v>
      </c>
      <c r="B34637" s="3" t="str">
        <f>"201511024731"</f>
        <v>201511024731</v>
      </c>
    </row>
    <row r="34638" spans="1:2" x14ac:dyDescent="0.25">
      <c r="A34638" s="2">
        <v>34633</v>
      </c>
      <c r="B34638" s="3" t="str">
        <f>"201511024741"</f>
        <v>201511024741</v>
      </c>
    </row>
    <row r="34639" spans="1:2" x14ac:dyDescent="0.25">
      <c r="A34639" s="2">
        <v>34634</v>
      </c>
      <c r="B34639" s="3" t="str">
        <f>"201511024767"</f>
        <v>201511024767</v>
      </c>
    </row>
    <row r="34640" spans="1:2" x14ac:dyDescent="0.25">
      <c r="A34640" s="2">
        <v>34635</v>
      </c>
      <c r="B34640" s="3" t="str">
        <f>"201511024778"</f>
        <v>201511024778</v>
      </c>
    </row>
    <row r="34641" spans="1:2" x14ac:dyDescent="0.25">
      <c r="A34641" s="2">
        <v>34636</v>
      </c>
      <c r="B34641" s="3" t="str">
        <f>"201511024786"</f>
        <v>201511024786</v>
      </c>
    </row>
    <row r="34642" spans="1:2" x14ac:dyDescent="0.25">
      <c r="A34642" s="2">
        <v>34637</v>
      </c>
      <c r="B34642" s="3" t="str">
        <f>"201511024862"</f>
        <v>201511024862</v>
      </c>
    </row>
    <row r="34643" spans="1:2" x14ac:dyDescent="0.25">
      <c r="A34643" s="2">
        <v>34638</v>
      </c>
      <c r="B34643" s="3" t="str">
        <f>"201511024901"</f>
        <v>201511024901</v>
      </c>
    </row>
    <row r="34644" spans="1:2" x14ac:dyDescent="0.25">
      <c r="A34644" s="2">
        <v>34639</v>
      </c>
      <c r="B34644" s="3" t="str">
        <f>"201511024912"</f>
        <v>201511024912</v>
      </c>
    </row>
    <row r="34645" spans="1:2" x14ac:dyDescent="0.25">
      <c r="A34645" s="2">
        <v>34640</v>
      </c>
      <c r="B34645" s="3" t="str">
        <f>"201511024913"</f>
        <v>201511024913</v>
      </c>
    </row>
    <row r="34646" spans="1:2" x14ac:dyDescent="0.25">
      <c r="A34646" s="2">
        <v>34641</v>
      </c>
      <c r="B34646" s="3" t="str">
        <f>"201511024927"</f>
        <v>201511024927</v>
      </c>
    </row>
    <row r="34647" spans="1:2" x14ac:dyDescent="0.25">
      <c r="A34647" s="2">
        <v>34642</v>
      </c>
      <c r="B34647" s="3" t="str">
        <f>"201511024931"</f>
        <v>201511024931</v>
      </c>
    </row>
    <row r="34648" spans="1:2" x14ac:dyDescent="0.25">
      <c r="A34648" s="2">
        <v>34643</v>
      </c>
      <c r="B34648" s="3" t="str">
        <f>"201511024951"</f>
        <v>201511024951</v>
      </c>
    </row>
    <row r="34649" spans="1:2" x14ac:dyDescent="0.25">
      <c r="A34649" s="2">
        <v>34644</v>
      </c>
      <c r="B34649" s="3" t="str">
        <f>"201511024973"</f>
        <v>201511024973</v>
      </c>
    </row>
    <row r="34650" spans="1:2" x14ac:dyDescent="0.25">
      <c r="A34650" s="2">
        <v>34645</v>
      </c>
      <c r="B34650" s="3" t="str">
        <f>"201511024977"</f>
        <v>201511024977</v>
      </c>
    </row>
    <row r="34651" spans="1:2" x14ac:dyDescent="0.25">
      <c r="A34651" s="2">
        <v>34646</v>
      </c>
      <c r="B34651" s="3" t="str">
        <f>"201511024978"</f>
        <v>201511024978</v>
      </c>
    </row>
    <row r="34652" spans="1:2" x14ac:dyDescent="0.25">
      <c r="A34652" s="2">
        <v>34647</v>
      </c>
      <c r="B34652" s="3" t="str">
        <f>"201511025000"</f>
        <v>201511025000</v>
      </c>
    </row>
    <row r="34653" spans="1:2" x14ac:dyDescent="0.25">
      <c r="A34653" s="2">
        <v>34648</v>
      </c>
      <c r="B34653" s="3" t="str">
        <f>"201511025019"</f>
        <v>201511025019</v>
      </c>
    </row>
    <row r="34654" spans="1:2" x14ac:dyDescent="0.25">
      <c r="A34654" s="2">
        <v>34649</v>
      </c>
      <c r="B34654" s="3" t="str">
        <f>"201511025023"</f>
        <v>201511025023</v>
      </c>
    </row>
    <row r="34655" spans="1:2" x14ac:dyDescent="0.25">
      <c r="A34655" s="2">
        <v>34650</v>
      </c>
      <c r="B34655" s="3" t="str">
        <f>"201511025029"</f>
        <v>201511025029</v>
      </c>
    </row>
    <row r="34656" spans="1:2" x14ac:dyDescent="0.25">
      <c r="A34656" s="2">
        <v>34651</v>
      </c>
      <c r="B34656" s="3" t="str">
        <f>"201511025041"</f>
        <v>201511025041</v>
      </c>
    </row>
    <row r="34657" spans="1:2" x14ac:dyDescent="0.25">
      <c r="A34657" s="2">
        <v>34652</v>
      </c>
      <c r="B34657" s="3" t="str">
        <f>"201511025092"</f>
        <v>201511025092</v>
      </c>
    </row>
    <row r="34658" spans="1:2" x14ac:dyDescent="0.25">
      <c r="A34658" s="2">
        <v>34653</v>
      </c>
      <c r="B34658" s="3" t="str">
        <f>"201511025141"</f>
        <v>201511025141</v>
      </c>
    </row>
    <row r="34659" spans="1:2" x14ac:dyDescent="0.25">
      <c r="A34659" s="2">
        <v>34654</v>
      </c>
      <c r="B34659" s="3" t="str">
        <f>"201511025156"</f>
        <v>201511025156</v>
      </c>
    </row>
    <row r="34660" spans="1:2" x14ac:dyDescent="0.25">
      <c r="A34660" s="2">
        <v>34655</v>
      </c>
      <c r="B34660" s="3" t="str">
        <f>"201511025193"</f>
        <v>201511025193</v>
      </c>
    </row>
    <row r="34661" spans="1:2" x14ac:dyDescent="0.25">
      <c r="A34661" s="2">
        <v>34656</v>
      </c>
      <c r="B34661" s="3" t="str">
        <f>"201511025212"</f>
        <v>201511025212</v>
      </c>
    </row>
    <row r="34662" spans="1:2" x14ac:dyDescent="0.25">
      <c r="A34662" s="2">
        <v>34657</v>
      </c>
      <c r="B34662" s="3" t="str">
        <f>"201511025214"</f>
        <v>201511025214</v>
      </c>
    </row>
    <row r="34663" spans="1:2" x14ac:dyDescent="0.25">
      <c r="A34663" s="2">
        <v>34658</v>
      </c>
      <c r="B34663" s="3" t="str">
        <f>"201511025237"</f>
        <v>201511025237</v>
      </c>
    </row>
    <row r="34664" spans="1:2" x14ac:dyDescent="0.25">
      <c r="A34664" s="2">
        <v>34659</v>
      </c>
      <c r="B34664" s="3" t="str">
        <f>"201511025241"</f>
        <v>201511025241</v>
      </c>
    </row>
    <row r="34665" spans="1:2" x14ac:dyDescent="0.25">
      <c r="A34665" s="2">
        <v>34660</v>
      </c>
      <c r="B34665" s="3" t="str">
        <f>"201511025272"</f>
        <v>201511025272</v>
      </c>
    </row>
    <row r="34666" spans="1:2" x14ac:dyDescent="0.25">
      <c r="A34666" s="2">
        <v>34661</v>
      </c>
      <c r="B34666" s="3" t="str">
        <f>"201511025289"</f>
        <v>201511025289</v>
      </c>
    </row>
    <row r="34667" spans="1:2" x14ac:dyDescent="0.25">
      <c r="A34667" s="2">
        <v>34662</v>
      </c>
      <c r="B34667" s="3" t="str">
        <f>"201511025292"</f>
        <v>201511025292</v>
      </c>
    </row>
    <row r="34668" spans="1:2" x14ac:dyDescent="0.25">
      <c r="A34668" s="2">
        <v>34663</v>
      </c>
      <c r="B34668" s="3" t="str">
        <f>"201511025303"</f>
        <v>201511025303</v>
      </c>
    </row>
    <row r="34669" spans="1:2" x14ac:dyDescent="0.25">
      <c r="A34669" s="2">
        <v>34664</v>
      </c>
      <c r="B34669" s="3" t="str">
        <f>"201511025314"</f>
        <v>201511025314</v>
      </c>
    </row>
    <row r="34670" spans="1:2" x14ac:dyDescent="0.25">
      <c r="A34670" s="2">
        <v>34665</v>
      </c>
      <c r="B34670" s="3" t="str">
        <f>"201511025320"</f>
        <v>201511025320</v>
      </c>
    </row>
    <row r="34671" spans="1:2" x14ac:dyDescent="0.25">
      <c r="A34671" s="2">
        <v>34666</v>
      </c>
      <c r="B34671" s="3" t="str">
        <f>"201511025370"</f>
        <v>201511025370</v>
      </c>
    </row>
    <row r="34672" spans="1:2" x14ac:dyDescent="0.25">
      <c r="A34672" s="2">
        <v>34667</v>
      </c>
      <c r="B34672" s="3" t="str">
        <f>"201511025376"</f>
        <v>201511025376</v>
      </c>
    </row>
    <row r="34673" spans="1:2" x14ac:dyDescent="0.25">
      <c r="A34673" s="2">
        <v>34668</v>
      </c>
      <c r="B34673" s="3" t="str">
        <f>"201511025390"</f>
        <v>201511025390</v>
      </c>
    </row>
    <row r="34674" spans="1:2" x14ac:dyDescent="0.25">
      <c r="A34674" s="2">
        <v>34669</v>
      </c>
      <c r="B34674" s="3" t="str">
        <f>"201511025402"</f>
        <v>201511025402</v>
      </c>
    </row>
    <row r="34675" spans="1:2" x14ac:dyDescent="0.25">
      <c r="A34675" s="2">
        <v>34670</v>
      </c>
      <c r="B34675" s="3" t="str">
        <f>"201511025419"</f>
        <v>201511025419</v>
      </c>
    </row>
    <row r="34676" spans="1:2" x14ac:dyDescent="0.25">
      <c r="A34676" s="2">
        <v>34671</v>
      </c>
      <c r="B34676" s="3" t="str">
        <f>"201511025429"</f>
        <v>201511025429</v>
      </c>
    </row>
    <row r="34677" spans="1:2" x14ac:dyDescent="0.25">
      <c r="A34677" s="2">
        <v>34672</v>
      </c>
      <c r="B34677" s="3" t="str">
        <f>"201511025448"</f>
        <v>201511025448</v>
      </c>
    </row>
    <row r="34678" spans="1:2" x14ac:dyDescent="0.25">
      <c r="A34678" s="2">
        <v>34673</v>
      </c>
      <c r="B34678" s="3" t="str">
        <f>"201511025453"</f>
        <v>201511025453</v>
      </c>
    </row>
    <row r="34679" spans="1:2" x14ac:dyDescent="0.25">
      <c r="A34679" s="2">
        <v>34674</v>
      </c>
      <c r="B34679" s="3" t="str">
        <f>"201511025455"</f>
        <v>201511025455</v>
      </c>
    </row>
    <row r="34680" spans="1:2" x14ac:dyDescent="0.25">
      <c r="A34680" s="2">
        <v>34675</v>
      </c>
      <c r="B34680" s="3" t="str">
        <f>"201511025460"</f>
        <v>201511025460</v>
      </c>
    </row>
    <row r="34681" spans="1:2" x14ac:dyDescent="0.25">
      <c r="A34681" s="2">
        <v>34676</v>
      </c>
      <c r="B34681" s="3" t="str">
        <f>"201511025477"</f>
        <v>201511025477</v>
      </c>
    </row>
    <row r="34682" spans="1:2" x14ac:dyDescent="0.25">
      <c r="A34682" s="2">
        <v>34677</v>
      </c>
      <c r="B34682" s="3" t="str">
        <f>"201511025505"</f>
        <v>201511025505</v>
      </c>
    </row>
    <row r="34683" spans="1:2" x14ac:dyDescent="0.25">
      <c r="A34683" s="2">
        <v>34678</v>
      </c>
      <c r="B34683" s="3" t="str">
        <f>"201511025510"</f>
        <v>201511025510</v>
      </c>
    </row>
    <row r="34684" spans="1:2" x14ac:dyDescent="0.25">
      <c r="A34684" s="2">
        <v>34679</v>
      </c>
      <c r="B34684" s="3" t="str">
        <f>"201511025515"</f>
        <v>201511025515</v>
      </c>
    </row>
    <row r="34685" spans="1:2" x14ac:dyDescent="0.25">
      <c r="A34685" s="2">
        <v>34680</v>
      </c>
      <c r="B34685" s="3" t="str">
        <f>"201511025524"</f>
        <v>201511025524</v>
      </c>
    </row>
    <row r="34686" spans="1:2" x14ac:dyDescent="0.25">
      <c r="A34686" s="2">
        <v>34681</v>
      </c>
      <c r="B34686" s="3" t="str">
        <f>"201511025525"</f>
        <v>201511025525</v>
      </c>
    </row>
    <row r="34687" spans="1:2" x14ac:dyDescent="0.25">
      <c r="A34687" s="2">
        <v>34682</v>
      </c>
      <c r="B34687" s="3" t="str">
        <f>"201511025573"</f>
        <v>201511025573</v>
      </c>
    </row>
    <row r="34688" spans="1:2" x14ac:dyDescent="0.25">
      <c r="A34688" s="2">
        <v>34683</v>
      </c>
      <c r="B34688" s="3" t="str">
        <f>"201511025582"</f>
        <v>201511025582</v>
      </c>
    </row>
    <row r="34689" spans="1:2" x14ac:dyDescent="0.25">
      <c r="A34689" s="2">
        <v>34684</v>
      </c>
      <c r="B34689" s="3" t="str">
        <f>"201511025598"</f>
        <v>201511025598</v>
      </c>
    </row>
    <row r="34690" spans="1:2" x14ac:dyDescent="0.25">
      <c r="A34690" s="2">
        <v>34685</v>
      </c>
      <c r="B34690" s="3" t="str">
        <f>"201511025622"</f>
        <v>201511025622</v>
      </c>
    </row>
    <row r="34691" spans="1:2" x14ac:dyDescent="0.25">
      <c r="A34691" s="2">
        <v>34686</v>
      </c>
      <c r="B34691" s="3" t="str">
        <f>"201511025630"</f>
        <v>201511025630</v>
      </c>
    </row>
    <row r="34692" spans="1:2" x14ac:dyDescent="0.25">
      <c r="A34692" s="2">
        <v>34687</v>
      </c>
      <c r="B34692" s="3" t="str">
        <f>"201511025632"</f>
        <v>201511025632</v>
      </c>
    </row>
    <row r="34693" spans="1:2" x14ac:dyDescent="0.25">
      <c r="A34693" s="2">
        <v>34688</v>
      </c>
      <c r="B34693" s="3" t="str">
        <f>"201511025640"</f>
        <v>201511025640</v>
      </c>
    </row>
    <row r="34694" spans="1:2" x14ac:dyDescent="0.25">
      <c r="A34694" s="2">
        <v>34689</v>
      </c>
      <c r="B34694" s="3" t="str">
        <f>"201511025672"</f>
        <v>201511025672</v>
      </c>
    </row>
    <row r="34695" spans="1:2" x14ac:dyDescent="0.25">
      <c r="A34695" s="2">
        <v>34690</v>
      </c>
      <c r="B34695" s="3" t="str">
        <f>"201511025685"</f>
        <v>201511025685</v>
      </c>
    </row>
    <row r="34696" spans="1:2" x14ac:dyDescent="0.25">
      <c r="A34696" s="2">
        <v>34691</v>
      </c>
      <c r="B34696" s="3" t="str">
        <f>"201511025694"</f>
        <v>201511025694</v>
      </c>
    </row>
    <row r="34697" spans="1:2" x14ac:dyDescent="0.25">
      <c r="A34697" s="2">
        <v>34692</v>
      </c>
      <c r="B34697" s="3" t="str">
        <f>"201511025712"</f>
        <v>201511025712</v>
      </c>
    </row>
    <row r="34698" spans="1:2" x14ac:dyDescent="0.25">
      <c r="A34698" s="2">
        <v>34693</v>
      </c>
      <c r="B34698" s="3" t="str">
        <f>"201511025753"</f>
        <v>201511025753</v>
      </c>
    </row>
    <row r="34699" spans="1:2" x14ac:dyDescent="0.25">
      <c r="A34699" s="2">
        <v>34694</v>
      </c>
      <c r="B34699" s="3" t="str">
        <f>"201511025796"</f>
        <v>201511025796</v>
      </c>
    </row>
    <row r="34700" spans="1:2" x14ac:dyDescent="0.25">
      <c r="A34700" s="2">
        <v>34695</v>
      </c>
      <c r="B34700" s="3" t="str">
        <f>"201511025805"</f>
        <v>201511025805</v>
      </c>
    </row>
    <row r="34701" spans="1:2" x14ac:dyDescent="0.25">
      <c r="A34701" s="2">
        <v>34696</v>
      </c>
      <c r="B34701" s="3" t="str">
        <f>"201511025806"</f>
        <v>201511025806</v>
      </c>
    </row>
    <row r="34702" spans="1:2" x14ac:dyDescent="0.25">
      <c r="A34702" s="2">
        <v>34697</v>
      </c>
      <c r="B34702" s="3" t="str">
        <f>"201511025847"</f>
        <v>201511025847</v>
      </c>
    </row>
    <row r="34703" spans="1:2" x14ac:dyDescent="0.25">
      <c r="A34703" s="2">
        <v>34698</v>
      </c>
      <c r="B34703" s="3" t="str">
        <f>"201511025856"</f>
        <v>201511025856</v>
      </c>
    </row>
    <row r="34704" spans="1:2" x14ac:dyDescent="0.25">
      <c r="A34704" s="2">
        <v>34699</v>
      </c>
      <c r="B34704" s="3" t="str">
        <f>"201511025857"</f>
        <v>201511025857</v>
      </c>
    </row>
    <row r="34705" spans="1:2" x14ac:dyDescent="0.25">
      <c r="A34705" s="2">
        <v>34700</v>
      </c>
      <c r="B34705" s="3" t="str">
        <f>"201511025879"</f>
        <v>201511025879</v>
      </c>
    </row>
    <row r="34706" spans="1:2" x14ac:dyDescent="0.25">
      <c r="A34706" s="2">
        <v>34701</v>
      </c>
      <c r="B34706" s="3" t="str">
        <f>"201511025888"</f>
        <v>201511025888</v>
      </c>
    </row>
    <row r="34707" spans="1:2" x14ac:dyDescent="0.25">
      <c r="A34707" s="2">
        <v>34702</v>
      </c>
      <c r="B34707" s="3" t="str">
        <f>"201511025890"</f>
        <v>201511025890</v>
      </c>
    </row>
    <row r="34708" spans="1:2" x14ac:dyDescent="0.25">
      <c r="A34708" s="2">
        <v>34703</v>
      </c>
      <c r="B34708" s="3" t="str">
        <f>"201511025895"</f>
        <v>201511025895</v>
      </c>
    </row>
    <row r="34709" spans="1:2" x14ac:dyDescent="0.25">
      <c r="A34709" s="2">
        <v>34704</v>
      </c>
      <c r="B34709" s="3" t="str">
        <f>"201511025929"</f>
        <v>201511025929</v>
      </c>
    </row>
    <row r="34710" spans="1:2" x14ac:dyDescent="0.25">
      <c r="A34710" s="2">
        <v>34705</v>
      </c>
      <c r="B34710" s="3" t="str">
        <f>"201511025968"</f>
        <v>201511025968</v>
      </c>
    </row>
    <row r="34711" spans="1:2" x14ac:dyDescent="0.25">
      <c r="A34711" s="2">
        <v>34706</v>
      </c>
      <c r="B34711" s="3" t="str">
        <f>"201511025989"</f>
        <v>201511025989</v>
      </c>
    </row>
    <row r="34712" spans="1:2" x14ac:dyDescent="0.25">
      <c r="A34712" s="2">
        <v>34707</v>
      </c>
      <c r="B34712" s="3" t="str">
        <f>"201511026008"</f>
        <v>201511026008</v>
      </c>
    </row>
    <row r="34713" spans="1:2" x14ac:dyDescent="0.25">
      <c r="A34713" s="2">
        <v>34708</v>
      </c>
      <c r="B34713" s="3" t="str">
        <f>"201511026019"</f>
        <v>201511026019</v>
      </c>
    </row>
    <row r="34714" spans="1:2" x14ac:dyDescent="0.25">
      <c r="A34714" s="2">
        <v>34709</v>
      </c>
      <c r="B34714" s="3" t="str">
        <f>"201511026045"</f>
        <v>201511026045</v>
      </c>
    </row>
    <row r="34715" spans="1:2" x14ac:dyDescent="0.25">
      <c r="A34715" s="2">
        <v>34710</v>
      </c>
      <c r="B34715" s="3" t="str">
        <f>"201511026126"</f>
        <v>201511026126</v>
      </c>
    </row>
    <row r="34716" spans="1:2" x14ac:dyDescent="0.25">
      <c r="A34716" s="2">
        <v>34711</v>
      </c>
      <c r="B34716" s="3" t="str">
        <f>"201511026140"</f>
        <v>201511026140</v>
      </c>
    </row>
    <row r="34717" spans="1:2" x14ac:dyDescent="0.25">
      <c r="A34717" s="2">
        <v>34712</v>
      </c>
      <c r="B34717" s="3" t="str">
        <f>"201511026143"</f>
        <v>201511026143</v>
      </c>
    </row>
    <row r="34718" spans="1:2" x14ac:dyDescent="0.25">
      <c r="A34718" s="2">
        <v>34713</v>
      </c>
      <c r="B34718" s="3" t="str">
        <f>"201511026159"</f>
        <v>201511026159</v>
      </c>
    </row>
    <row r="34719" spans="1:2" x14ac:dyDescent="0.25">
      <c r="A34719" s="2">
        <v>34714</v>
      </c>
      <c r="B34719" s="3" t="str">
        <f>"201511026165"</f>
        <v>201511026165</v>
      </c>
    </row>
    <row r="34720" spans="1:2" x14ac:dyDescent="0.25">
      <c r="A34720" s="2">
        <v>34715</v>
      </c>
      <c r="B34720" s="3" t="str">
        <f>"201511026181"</f>
        <v>201511026181</v>
      </c>
    </row>
    <row r="34721" spans="1:2" x14ac:dyDescent="0.25">
      <c r="A34721" s="2">
        <v>34716</v>
      </c>
      <c r="B34721" s="3" t="str">
        <f>"201511026192"</f>
        <v>201511026192</v>
      </c>
    </row>
    <row r="34722" spans="1:2" x14ac:dyDescent="0.25">
      <c r="A34722" s="2">
        <v>34717</v>
      </c>
      <c r="B34722" s="3" t="str">
        <f>"201511026200"</f>
        <v>201511026200</v>
      </c>
    </row>
    <row r="34723" spans="1:2" x14ac:dyDescent="0.25">
      <c r="A34723" s="2">
        <v>34718</v>
      </c>
      <c r="B34723" s="3" t="str">
        <f>"201511026207"</f>
        <v>201511026207</v>
      </c>
    </row>
    <row r="34724" spans="1:2" x14ac:dyDescent="0.25">
      <c r="A34724" s="2">
        <v>34719</v>
      </c>
      <c r="B34724" s="3" t="str">
        <f>"201511026213"</f>
        <v>201511026213</v>
      </c>
    </row>
    <row r="34725" spans="1:2" x14ac:dyDescent="0.25">
      <c r="A34725" s="2">
        <v>34720</v>
      </c>
      <c r="B34725" s="3" t="str">
        <f>"201511026215"</f>
        <v>201511026215</v>
      </c>
    </row>
    <row r="34726" spans="1:2" x14ac:dyDescent="0.25">
      <c r="A34726" s="2">
        <v>34721</v>
      </c>
      <c r="B34726" s="3" t="str">
        <f>"201511026266"</f>
        <v>201511026266</v>
      </c>
    </row>
    <row r="34727" spans="1:2" x14ac:dyDescent="0.25">
      <c r="A34727" s="2">
        <v>34722</v>
      </c>
      <c r="B34727" s="3" t="str">
        <f>"201511026272"</f>
        <v>201511026272</v>
      </c>
    </row>
    <row r="34728" spans="1:2" x14ac:dyDescent="0.25">
      <c r="A34728" s="2">
        <v>34723</v>
      </c>
      <c r="B34728" s="3" t="str">
        <f>"201511026285"</f>
        <v>201511026285</v>
      </c>
    </row>
    <row r="34729" spans="1:2" x14ac:dyDescent="0.25">
      <c r="A34729" s="2">
        <v>34724</v>
      </c>
      <c r="B34729" s="3" t="str">
        <f>"201511026296"</f>
        <v>201511026296</v>
      </c>
    </row>
    <row r="34730" spans="1:2" x14ac:dyDescent="0.25">
      <c r="A34730" s="2">
        <v>34725</v>
      </c>
      <c r="B34730" s="3" t="str">
        <f>"201511026301"</f>
        <v>201511026301</v>
      </c>
    </row>
    <row r="34731" spans="1:2" x14ac:dyDescent="0.25">
      <c r="A34731" s="2">
        <v>34726</v>
      </c>
      <c r="B34731" s="3" t="str">
        <f>"201511026308"</f>
        <v>201511026308</v>
      </c>
    </row>
    <row r="34732" spans="1:2" x14ac:dyDescent="0.25">
      <c r="A34732" s="2">
        <v>34727</v>
      </c>
      <c r="B34732" s="3" t="str">
        <f>"201511026327"</f>
        <v>201511026327</v>
      </c>
    </row>
    <row r="34733" spans="1:2" x14ac:dyDescent="0.25">
      <c r="A34733" s="2">
        <v>34728</v>
      </c>
      <c r="B34733" s="3" t="str">
        <f>"201511026335"</f>
        <v>201511026335</v>
      </c>
    </row>
    <row r="34734" spans="1:2" x14ac:dyDescent="0.25">
      <c r="A34734" s="2">
        <v>34729</v>
      </c>
      <c r="B34734" s="3" t="str">
        <f>"201511026346"</f>
        <v>201511026346</v>
      </c>
    </row>
    <row r="34735" spans="1:2" x14ac:dyDescent="0.25">
      <c r="A34735" s="2">
        <v>34730</v>
      </c>
      <c r="B34735" s="3" t="str">
        <f>"201511026366"</f>
        <v>201511026366</v>
      </c>
    </row>
    <row r="34736" spans="1:2" x14ac:dyDescent="0.25">
      <c r="A34736" s="2">
        <v>34731</v>
      </c>
      <c r="B34736" s="3" t="str">
        <f>"201511026374"</f>
        <v>201511026374</v>
      </c>
    </row>
    <row r="34737" spans="1:2" x14ac:dyDescent="0.25">
      <c r="A34737" s="2">
        <v>34732</v>
      </c>
      <c r="B34737" s="3" t="str">
        <f>"201511026410"</f>
        <v>201511026410</v>
      </c>
    </row>
    <row r="34738" spans="1:2" x14ac:dyDescent="0.25">
      <c r="A34738" s="2">
        <v>34733</v>
      </c>
      <c r="B34738" s="3" t="str">
        <f>"201511026434"</f>
        <v>201511026434</v>
      </c>
    </row>
    <row r="34739" spans="1:2" x14ac:dyDescent="0.25">
      <c r="A34739" s="2">
        <v>34734</v>
      </c>
      <c r="B34739" s="3" t="str">
        <f>"201511026454"</f>
        <v>201511026454</v>
      </c>
    </row>
    <row r="34740" spans="1:2" x14ac:dyDescent="0.25">
      <c r="A34740" s="2">
        <v>34735</v>
      </c>
      <c r="B34740" s="3" t="str">
        <f>"201511026472"</f>
        <v>201511026472</v>
      </c>
    </row>
    <row r="34741" spans="1:2" x14ac:dyDescent="0.25">
      <c r="A34741" s="2">
        <v>34736</v>
      </c>
      <c r="B34741" s="3" t="str">
        <f>"201511026485"</f>
        <v>201511026485</v>
      </c>
    </row>
    <row r="34742" spans="1:2" x14ac:dyDescent="0.25">
      <c r="A34742" s="2">
        <v>34737</v>
      </c>
      <c r="B34742" s="3" t="str">
        <f>"201511026489"</f>
        <v>201511026489</v>
      </c>
    </row>
    <row r="34743" spans="1:2" x14ac:dyDescent="0.25">
      <c r="A34743" s="2">
        <v>34738</v>
      </c>
      <c r="B34743" s="3" t="str">
        <f>"201511026526"</f>
        <v>201511026526</v>
      </c>
    </row>
    <row r="34744" spans="1:2" x14ac:dyDescent="0.25">
      <c r="A34744" s="2">
        <v>34739</v>
      </c>
      <c r="B34744" s="3" t="str">
        <f>"201511026541"</f>
        <v>201511026541</v>
      </c>
    </row>
    <row r="34745" spans="1:2" x14ac:dyDescent="0.25">
      <c r="A34745" s="2">
        <v>34740</v>
      </c>
      <c r="B34745" s="3" t="str">
        <f>"201511026557"</f>
        <v>201511026557</v>
      </c>
    </row>
    <row r="34746" spans="1:2" x14ac:dyDescent="0.25">
      <c r="A34746" s="2">
        <v>34741</v>
      </c>
      <c r="B34746" s="3" t="str">
        <f>"201511026563"</f>
        <v>201511026563</v>
      </c>
    </row>
    <row r="34747" spans="1:2" x14ac:dyDescent="0.25">
      <c r="A34747" s="2">
        <v>34742</v>
      </c>
      <c r="B34747" s="3" t="str">
        <f>"201511026573"</f>
        <v>201511026573</v>
      </c>
    </row>
    <row r="34748" spans="1:2" x14ac:dyDescent="0.25">
      <c r="A34748" s="2">
        <v>34743</v>
      </c>
      <c r="B34748" s="3" t="str">
        <f>"201511026604"</f>
        <v>201511026604</v>
      </c>
    </row>
    <row r="34749" spans="1:2" x14ac:dyDescent="0.25">
      <c r="A34749" s="2">
        <v>34744</v>
      </c>
      <c r="B34749" s="3" t="str">
        <f>"201511026617"</f>
        <v>201511026617</v>
      </c>
    </row>
    <row r="34750" spans="1:2" x14ac:dyDescent="0.25">
      <c r="A34750" s="2">
        <v>34745</v>
      </c>
      <c r="B34750" s="3" t="str">
        <f>"201511026643"</f>
        <v>201511026643</v>
      </c>
    </row>
    <row r="34751" spans="1:2" x14ac:dyDescent="0.25">
      <c r="A34751" s="2">
        <v>34746</v>
      </c>
      <c r="B34751" s="3" t="str">
        <f>"201511026700"</f>
        <v>201511026700</v>
      </c>
    </row>
    <row r="34752" spans="1:2" x14ac:dyDescent="0.25">
      <c r="A34752" s="2">
        <v>34747</v>
      </c>
      <c r="B34752" s="3" t="str">
        <f>"201511026749"</f>
        <v>201511026749</v>
      </c>
    </row>
    <row r="34753" spans="1:2" x14ac:dyDescent="0.25">
      <c r="A34753" s="2">
        <v>34748</v>
      </c>
      <c r="B34753" s="3" t="str">
        <f>"201511026756"</f>
        <v>201511026756</v>
      </c>
    </row>
    <row r="34754" spans="1:2" x14ac:dyDescent="0.25">
      <c r="A34754" s="2">
        <v>34749</v>
      </c>
      <c r="B34754" s="3" t="str">
        <f>"201511026769"</f>
        <v>201511026769</v>
      </c>
    </row>
    <row r="34755" spans="1:2" x14ac:dyDescent="0.25">
      <c r="A34755" s="2">
        <v>34750</v>
      </c>
      <c r="B34755" s="3" t="str">
        <f>"201511026772"</f>
        <v>201511026772</v>
      </c>
    </row>
    <row r="34756" spans="1:2" x14ac:dyDescent="0.25">
      <c r="A34756" s="2">
        <v>34751</v>
      </c>
      <c r="B34756" s="3" t="str">
        <f>"201511026803"</f>
        <v>201511026803</v>
      </c>
    </row>
    <row r="34757" spans="1:2" x14ac:dyDescent="0.25">
      <c r="A34757" s="2">
        <v>34752</v>
      </c>
      <c r="B34757" s="3" t="str">
        <f>"201511026807"</f>
        <v>201511026807</v>
      </c>
    </row>
    <row r="34758" spans="1:2" x14ac:dyDescent="0.25">
      <c r="A34758" s="2">
        <v>34753</v>
      </c>
      <c r="B34758" s="3" t="str">
        <f>"201511026848"</f>
        <v>201511026848</v>
      </c>
    </row>
    <row r="34759" spans="1:2" x14ac:dyDescent="0.25">
      <c r="A34759" s="2">
        <v>34754</v>
      </c>
      <c r="B34759" s="3" t="str">
        <f>"201511026849"</f>
        <v>201511026849</v>
      </c>
    </row>
    <row r="34760" spans="1:2" x14ac:dyDescent="0.25">
      <c r="A34760" s="2">
        <v>34755</v>
      </c>
      <c r="B34760" s="3" t="str">
        <f>"201511026850"</f>
        <v>201511026850</v>
      </c>
    </row>
    <row r="34761" spans="1:2" x14ac:dyDescent="0.25">
      <c r="A34761" s="2">
        <v>34756</v>
      </c>
      <c r="B34761" s="3" t="str">
        <f>"201511026924"</f>
        <v>201511026924</v>
      </c>
    </row>
    <row r="34762" spans="1:2" x14ac:dyDescent="0.25">
      <c r="A34762" s="2">
        <v>34757</v>
      </c>
      <c r="B34762" s="3" t="str">
        <f>"201511026930"</f>
        <v>201511026930</v>
      </c>
    </row>
    <row r="34763" spans="1:2" x14ac:dyDescent="0.25">
      <c r="A34763" s="2">
        <v>34758</v>
      </c>
      <c r="B34763" s="3" t="str">
        <f>"201511026951"</f>
        <v>201511026951</v>
      </c>
    </row>
    <row r="34764" spans="1:2" x14ac:dyDescent="0.25">
      <c r="A34764" s="2">
        <v>34759</v>
      </c>
      <c r="B34764" s="3" t="str">
        <f>"201511026970"</f>
        <v>201511026970</v>
      </c>
    </row>
    <row r="34765" spans="1:2" x14ac:dyDescent="0.25">
      <c r="A34765" s="2">
        <v>34760</v>
      </c>
      <c r="B34765" s="3" t="str">
        <f>"201511026971"</f>
        <v>201511026971</v>
      </c>
    </row>
    <row r="34766" spans="1:2" x14ac:dyDescent="0.25">
      <c r="A34766" s="2">
        <v>34761</v>
      </c>
      <c r="B34766" s="3" t="str">
        <f>"201511026983"</f>
        <v>201511026983</v>
      </c>
    </row>
    <row r="34767" spans="1:2" x14ac:dyDescent="0.25">
      <c r="A34767" s="2">
        <v>34762</v>
      </c>
      <c r="B34767" s="3" t="str">
        <f>"201511027007"</f>
        <v>201511027007</v>
      </c>
    </row>
    <row r="34768" spans="1:2" x14ac:dyDescent="0.25">
      <c r="A34768" s="2">
        <v>34763</v>
      </c>
      <c r="B34768" s="3" t="str">
        <f>"201511027010"</f>
        <v>201511027010</v>
      </c>
    </row>
    <row r="34769" spans="1:2" x14ac:dyDescent="0.25">
      <c r="A34769" s="2">
        <v>34764</v>
      </c>
      <c r="B34769" s="3" t="str">
        <f>"201511027031"</f>
        <v>201511027031</v>
      </c>
    </row>
    <row r="34770" spans="1:2" x14ac:dyDescent="0.25">
      <c r="A34770" s="2">
        <v>34765</v>
      </c>
      <c r="B34770" s="3" t="str">
        <f>"201511027077"</f>
        <v>201511027077</v>
      </c>
    </row>
    <row r="34771" spans="1:2" x14ac:dyDescent="0.25">
      <c r="A34771" s="2">
        <v>34766</v>
      </c>
      <c r="B34771" s="3" t="str">
        <f>"201511027081"</f>
        <v>201511027081</v>
      </c>
    </row>
    <row r="34772" spans="1:2" x14ac:dyDescent="0.25">
      <c r="A34772" s="2">
        <v>34767</v>
      </c>
      <c r="B34772" s="3" t="str">
        <f>"201511027120"</f>
        <v>201511027120</v>
      </c>
    </row>
    <row r="34773" spans="1:2" x14ac:dyDescent="0.25">
      <c r="A34773" s="2">
        <v>34768</v>
      </c>
      <c r="B34773" s="3" t="str">
        <f>"201511027148"</f>
        <v>201511027148</v>
      </c>
    </row>
    <row r="34774" spans="1:2" x14ac:dyDescent="0.25">
      <c r="A34774" s="2">
        <v>34769</v>
      </c>
      <c r="B34774" s="3" t="str">
        <f>"201511027230"</f>
        <v>201511027230</v>
      </c>
    </row>
    <row r="34775" spans="1:2" x14ac:dyDescent="0.25">
      <c r="A34775" s="2">
        <v>34770</v>
      </c>
      <c r="B34775" s="3" t="str">
        <f>"201511027265"</f>
        <v>201511027265</v>
      </c>
    </row>
    <row r="34776" spans="1:2" x14ac:dyDescent="0.25">
      <c r="A34776" s="2">
        <v>34771</v>
      </c>
      <c r="B34776" s="3" t="str">
        <f>"201511027272"</f>
        <v>201511027272</v>
      </c>
    </row>
    <row r="34777" spans="1:2" x14ac:dyDescent="0.25">
      <c r="A34777" s="2">
        <v>34772</v>
      </c>
      <c r="B34777" s="3" t="str">
        <f>"201511027329"</f>
        <v>201511027329</v>
      </c>
    </row>
    <row r="34778" spans="1:2" x14ac:dyDescent="0.25">
      <c r="A34778" s="2">
        <v>34773</v>
      </c>
      <c r="B34778" s="3" t="str">
        <f>"201511027341"</f>
        <v>201511027341</v>
      </c>
    </row>
    <row r="34779" spans="1:2" x14ac:dyDescent="0.25">
      <c r="A34779" s="2">
        <v>34774</v>
      </c>
      <c r="B34779" s="3" t="str">
        <f>"201511027358"</f>
        <v>201511027358</v>
      </c>
    </row>
    <row r="34780" spans="1:2" x14ac:dyDescent="0.25">
      <c r="A34780" s="2">
        <v>34775</v>
      </c>
      <c r="B34780" s="3" t="str">
        <f>"201511027379"</f>
        <v>201511027379</v>
      </c>
    </row>
    <row r="34781" spans="1:2" x14ac:dyDescent="0.25">
      <c r="A34781" s="2">
        <v>34776</v>
      </c>
      <c r="B34781" s="3" t="str">
        <f>"201511027394"</f>
        <v>201511027394</v>
      </c>
    </row>
    <row r="34782" spans="1:2" x14ac:dyDescent="0.25">
      <c r="A34782" s="2">
        <v>34777</v>
      </c>
      <c r="B34782" s="3" t="str">
        <f>"201511027409"</f>
        <v>201511027409</v>
      </c>
    </row>
    <row r="34783" spans="1:2" x14ac:dyDescent="0.25">
      <c r="A34783" s="2">
        <v>34778</v>
      </c>
      <c r="B34783" s="3" t="str">
        <f>"201511027410"</f>
        <v>201511027410</v>
      </c>
    </row>
    <row r="34784" spans="1:2" x14ac:dyDescent="0.25">
      <c r="A34784" s="2">
        <v>34779</v>
      </c>
      <c r="B34784" s="3" t="str">
        <f>"201511027414"</f>
        <v>201511027414</v>
      </c>
    </row>
    <row r="34785" spans="1:2" x14ac:dyDescent="0.25">
      <c r="A34785" s="2">
        <v>34780</v>
      </c>
      <c r="B34785" s="3" t="str">
        <f>"201511027432"</f>
        <v>201511027432</v>
      </c>
    </row>
    <row r="34786" spans="1:2" x14ac:dyDescent="0.25">
      <c r="A34786" s="2">
        <v>34781</v>
      </c>
      <c r="B34786" s="3" t="str">
        <f>"201511027433"</f>
        <v>201511027433</v>
      </c>
    </row>
    <row r="34787" spans="1:2" x14ac:dyDescent="0.25">
      <c r="A34787" s="2">
        <v>34782</v>
      </c>
      <c r="B34787" s="3" t="str">
        <f>"201511027444"</f>
        <v>201511027444</v>
      </c>
    </row>
    <row r="34788" spans="1:2" x14ac:dyDescent="0.25">
      <c r="A34788" s="2">
        <v>34783</v>
      </c>
      <c r="B34788" s="3" t="str">
        <f>"201511027445"</f>
        <v>201511027445</v>
      </c>
    </row>
    <row r="34789" spans="1:2" x14ac:dyDescent="0.25">
      <c r="A34789" s="2">
        <v>34784</v>
      </c>
      <c r="B34789" s="3" t="str">
        <f>"201511027468"</f>
        <v>201511027468</v>
      </c>
    </row>
    <row r="34790" spans="1:2" x14ac:dyDescent="0.25">
      <c r="A34790" s="2">
        <v>34785</v>
      </c>
      <c r="B34790" s="3" t="str">
        <f>"201511027483"</f>
        <v>201511027483</v>
      </c>
    </row>
    <row r="34791" spans="1:2" x14ac:dyDescent="0.25">
      <c r="A34791" s="2">
        <v>34786</v>
      </c>
      <c r="B34791" s="3" t="str">
        <f>"201511027491"</f>
        <v>201511027491</v>
      </c>
    </row>
    <row r="34792" spans="1:2" x14ac:dyDescent="0.25">
      <c r="A34792" s="2">
        <v>34787</v>
      </c>
      <c r="B34792" s="3" t="str">
        <f>"201511027500"</f>
        <v>201511027500</v>
      </c>
    </row>
    <row r="34793" spans="1:2" x14ac:dyDescent="0.25">
      <c r="A34793" s="2">
        <v>34788</v>
      </c>
      <c r="B34793" s="3" t="str">
        <f>"201511027512"</f>
        <v>201511027512</v>
      </c>
    </row>
    <row r="34794" spans="1:2" x14ac:dyDescent="0.25">
      <c r="A34794" s="2">
        <v>34789</v>
      </c>
      <c r="B34794" s="3" t="str">
        <f>"201511027524"</f>
        <v>201511027524</v>
      </c>
    </row>
    <row r="34795" spans="1:2" x14ac:dyDescent="0.25">
      <c r="A34795" s="2">
        <v>34790</v>
      </c>
      <c r="B34795" s="3" t="str">
        <f>"201511027525"</f>
        <v>201511027525</v>
      </c>
    </row>
    <row r="34796" spans="1:2" x14ac:dyDescent="0.25">
      <c r="A34796" s="2">
        <v>34791</v>
      </c>
      <c r="B34796" s="3" t="str">
        <f>"201511027529"</f>
        <v>201511027529</v>
      </c>
    </row>
    <row r="34797" spans="1:2" x14ac:dyDescent="0.25">
      <c r="A34797" s="2">
        <v>34792</v>
      </c>
      <c r="B34797" s="3" t="str">
        <f>"201511027541"</f>
        <v>201511027541</v>
      </c>
    </row>
    <row r="34798" spans="1:2" x14ac:dyDescent="0.25">
      <c r="A34798" s="2">
        <v>34793</v>
      </c>
      <c r="B34798" s="3" t="str">
        <f>"201511027558"</f>
        <v>201511027558</v>
      </c>
    </row>
    <row r="34799" spans="1:2" x14ac:dyDescent="0.25">
      <c r="A34799" s="2">
        <v>34794</v>
      </c>
      <c r="B34799" s="3" t="str">
        <f>"201511027562"</f>
        <v>201511027562</v>
      </c>
    </row>
    <row r="34800" spans="1:2" x14ac:dyDescent="0.25">
      <c r="A34800" s="2">
        <v>34795</v>
      </c>
      <c r="B34800" s="3" t="str">
        <f>"201511027582"</f>
        <v>201511027582</v>
      </c>
    </row>
    <row r="34801" spans="1:2" x14ac:dyDescent="0.25">
      <c r="A34801" s="2">
        <v>34796</v>
      </c>
      <c r="B34801" s="3" t="str">
        <f>"201511027583"</f>
        <v>201511027583</v>
      </c>
    </row>
    <row r="34802" spans="1:2" x14ac:dyDescent="0.25">
      <c r="A34802" s="2">
        <v>34797</v>
      </c>
      <c r="B34802" s="3" t="str">
        <f>"201511027634"</f>
        <v>201511027634</v>
      </c>
    </row>
    <row r="34803" spans="1:2" x14ac:dyDescent="0.25">
      <c r="A34803" s="2">
        <v>34798</v>
      </c>
      <c r="B34803" s="3" t="str">
        <f>"201511027641"</f>
        <v>201511027641</v>
      </c>
    </row>
    <row r="34804" spans="1:2" x14ac:dyDescent="0.25">
      <c r="A34804" s="2">
        <v>34799</v>
      </c>
      <c r="B34804" s="3" t="str">
        <f>"201511027669"</f>
        <v>201511027669</v>
      </c>
    </row>
    <row r="34805" spans="1:2" x14ac:dyDescent="0.25">
      <c r="A34805" s="2">
        <v>34800</v>
      </c>
      <c r="B34805" s="3" t="str">
        <f>"201511027700"</f>
        <v>201511027700</v>
      </c>
    </row>
    <row r="34806" spans="1:2" x14ac:dyDescent="0.25">
      <c r="A34806" s="2">
        <v>34801</v>
      </c>
      <c r="B34806" s="3" t="str">
        <f>"201511027768"</f>
        <v>201511027768</v>
      </c>
    </row>
    <row r="34807" spans="1:2" x14ac:dyDescent="0.25">
      <c r="A34807" s="2">
        <v>34802</v>
      </c>
      <c r="B34807" s="3" t="str">
        <f>"201511027791"</f>
        <v>201511027791</v>
      </c>
    </row>
    <row r="34808" spans="1:2" x14ac:dyDescent="0.25">
      <c r="A34808" s="2">
        <v>34803</v>
      </c>
      <c r="B34808" s="3" t="str">
        <f>"201511027792"</f>
        <v>201511027792</v>
      </c>
    </row>
    <row r="34809" spans="1:2" x14ac:dyDescent="0.25">
      <c r="A34809" s="2">
        <v>34804</v>
      </c>
      <c r="B34809" s="3" t="str">
        <f>"201511027869"</f>
        <v>201511027869</v>
      </c>
    </row>
    <row r="34810" spans="1:2" x14ac:dyDescent="0.25">
      <c r="A34810" s="2">
        <v>34805</v>
      </c>
      <c r="B34810" s="3" t="str">
        <f>"201511027942"</f>
        <v>201511027942</v>
      </c>
    </row>
    <row r="34811" spans="1:2" x14ac:dyDescent="0.25">
      <c r="A34811" s="2">
        <v>34806</v>
      </c>
      <c r="B34811" s="3" t="str">
        <f>"201511027944"</f>
        <v>201511027944</v>
      </c>
    </row>
    <row r="34812" spans="1:2" x14ac:dyDescent="0.25">
      <c r="A34812" s="2">
        <v>34807</v>
      </c>
      <c r="B34812" s="3" t="str">
        <f>"201511027967"</f>
        <v>201511027967</v>
      </c>
    </row>
    <row r="34813" spans="1:2" x14ac:dyDescent="0.25">
      <c r="A34813" s="2">
        <v>34808</v>
      </c>
      <c r="B34813" s="3" t="str">
        <f>"201511028000"</f>
        <v>201511028000</v>
      </c>
    </row>
    <row r="34814" spans="1:2" x14ac:dyDescent="0.25">
      <c r="A34814" s="2">
        <v>34809</v>
      </c>
      <c r="B34814" s="3" t="str">
        <f>"201511028056"</f>
        <v>201511028056</v>
      </c>
    </row>
    <row r="34815" spans="1:2" x14ac:dyDescent="0.25">
      <c r="A34815" s="2">
        <v>34810</v>
      </c>
      <c r="B34815" s="3" t="str">
        <f>"201511028057"</f>
        <v>201511028057</v>
      </c>
    </row>
    <row r="34816" spans="1:2" x14ac:dyDescent="0.25">
      <c r="A34816" s="2">
        <v>34811</v>
      </c>
      <c r="B34816" s="3" t="str">
        <f>"201511028069"</f>
        <v>201511028069</v>
      </c>
    </row>
    <row r="34817" spans="1:2" x14ac:dyDescent="0.25">
      <c r="A34817" s="2">
        <v>34812</v>
      </c>
      <c r="B34817" s="3" t="str">
        <f>"201511028093"</f>
        <v>201511028093</v>
      </c>
    </row>
    <row r="34818" spans="1:2" x14ac:dyDescent="0.25">
      <c r="A34818" s="2">
        <v>34813</v>
      </c>
      <c r="B34818" s="3" t="str">
        <f>"201511028098"</f>
        <v>201511028098</v>
      </c>
    </row>
    <row r="34819" spans="1:2" x14ac:dyDescent="0.25">
      <c r="A34819" s="2">
        <v>34814</v>
      </c>
      <c r="B34819" s="3" t="str">
        <f>"201511028146"</f>
        <v>201511028146</v>
      </c>
    </row>
    <row r="34820" spans="1:2" x14ac:dyDescent="0.25">
      <c r="A34820" s="2">
        <v>34815</v>
      </c>
      <c r="B34820" s="3" t="str">
        <f>"201511028158"</f>
        <v>201511028158</v>
      </c>
    </row>
    <row r="34821" spans="1:2" x14ac:dyDescent="0.25">
      <c r="A34821" s="2">
        <v>34816</v>
      </c>
      <c r="B34821" s="3" t="str">
        <f>"201511028166"</f>
        <v>201511028166</v>
      </c>
    </row>
    <row r="34822" spans="1:2" x14ac:dyDescent="0.25">
      <c r="A34822" s="2">
        <v>34817</v>
      </c>
      <c r="B34822" s="3" t="str">
        <f>"201511028170"</f>
        <v>201511028170</v>
      </c>
    </row>
    <row r="34823" spans="1:2" x14ac:dyDescent="0.25">
      <c r="A34823" s="2">
        <v>34818</v>
      </c>
      <c r="B34823" s="3" t="str">
        <f>"201511028179"</f>
        <v>201511028179</v>
      </c>
    </row>
    <row r="34824" spans="1:2" x14ac:dyDescent="0.25">
      <c r="A34824" s="2">
        <v>34819</v>
      </c>
      <c r="B34824" s="3" t="str">
        <f>"201511028191"</f>
        <v>201511028191</v>
      </c>
    </row>
    <row r="34825" spans="1:2" x14ac:dyDescent="0.25">
      <c r="A34825" s="2">
        <v>34820</v>
      </c>
      <c r="B34825" s="3" t="str">
        <f>"201511028211"</f>
        <v>201511028211</v>
      </c>
    </row>
    <row r="34826" spans="1:2" x14ac:dyDescent="0.25">
      <c r="A34826" s="2">
        <v>34821</v>
      </c>
      <c r="B34826" s="3" t="str">
        <f>"201511028253"</f>
        <v>201511028253</v>
      </c>
    </row>
    <row r="34827" spans="1:2" x14ac:dyDescent="0.25">
      <c r="A34827" s="2">
        <v>34822</v>
      </c>
      <c r="B34827" s="3" t="str">
        <f>"201511028262"</f>
        <v>201511028262</v>
      </c>
    </row>
    <row r="34828" spans="1:2" x14ac:dyDescent="0.25">
      <c r="A34828" s="2">
        <v>34823</v>
      </c>
      <c r="B34828" s="3" t="str">
        <f>"201511028273"</f>
        <v>201511028273</v>
      </c>
    </row>
    <row r="34829" spans="1:2" x14ac:dyDescent="0.25">
      <c r="A34829" s="2">
        <v>34824</v>
      </c>
      <c r="B34829" s="3" t="str">
        <f>"201511028333"</f>
        <v>201511028333</v>
      </c>
    </row>
    <row r="34830" spans="1:2" x14ac:dyDescent="0.25">
      <c r="A34830" s="2">
        <v>34825</v>
      </c>
      <c r="B34830" s="3" t="str">
        <f>"201511028354"</f>
        <v>201511028354</v>
      </c>
    </row>
    <row r="34831" spans="1:2" x14ac:dyDescent="0.25">
      <c r="A34831" s="2">
        <v>34826</v>
      </c>
      <c r="B34831" s="3" t="str">
        <f>"201511028357"</f>
        <v>201511028357</v>
      </c>
    </row>
    <row r="34832" spans="1:2" x14ac:dyDescent="0.25">
      <c r="A34832" s="2">
        <v>34827</v>
      </c>
      <c r="B34832" s="3" t="str">
        <f>"201511028408"</f>
        <v>201511028408</v>
      </c>
    </row>
    <row r="34833" spans="1:2" x14ac:dyDescent="0.25">
      <c r="A34833" s="2">
        <v>34828</v>
      </c>
      <c r="B34833" s="3" t="str">
        <f>"201511028411"</f>
        <v>201511028411</v>
      </c>
    </row>
    <row r="34834" spans="1:2" x14ac:dyDescent="0.25">
      <c r="A34834" s="2">
        <v>34829</v>
      </c>
      <c r="B34834" s="3" t="str">
        <f>"201511028416"</f>
        <v>201511028416</v>
      </c>
    </row>
    <row r="34835" spans="1:2" x14ac:dyDescent="0.25">
      <c r="A34835" s="2">
        <v>34830</v>
      </c>
      <c r="B34835" s="3" t="str">
        <f>"201511028435"</f>
        <v>201511028435</v>
      </c>
    </row>
    <row r="34836" spans="1:2" x14ac:dyDescent="0.25">
      <c r="A34836" s="2">
        <v>34831</v>
      </c>
      <c r="B34836" s="3" t="str">
        <f>"201511028442"</f>
        <v>201511028442</v>
      </c>
    </row>
    <row r="34837" spans="1:2" x14ac:dyDescent="0.25">
      <c r="A34837" s="2">
        <v>34832</v>
      </c>
      <c r="B34837" s="3" t="str">
        <f>"201511028501"</f>
        <v>201511028501</v>
      </c>
    </row>
    <row r="34838" spans="1:2" x14ac:dyDescent="0.25">
      <c r="A34838" s="2">
        <v>34833</v>
      </c>
      <c r="B34838" s="3" t="str">
        <f>"201511028520"</f>
        <v>201511028520</v>
      </c>
    </row>
    <row r="34839" spans="1:2" x14ac:dyDescent="0.25">
      <c r="A34839" s="2">
        <v>34834</v>
      </c>
      <c r="B34839" s="3" t="str">
        <f>"201511028522"</f>
        <v>201511028522</v>
      </c>
    </row>
    <row r="34840" spans="1:2" x14ac:dyDescent="0.25">
      <c r="A34840" s="2">
        <v>34835</v>
      </c>
      <c r="B34840" s="3" t="str">
        <f>"201511028541"</f>
        <v>201511028541</v>
      </c>
    </row>
    <row r="34841" spans="1:2" x14ac:dyDescent="0.25">
      <c r="A34841" s="2">
        <v>34836</v>
      </c>
      <c r="B34841" s="3" t="str">
        <f>"201511028544"</f>
        <v>201511028544</v>
      </c>
    </row>
    <row r="34842" spans="1:2" x14ac:dyDescent="0.25">
      <c r="A34842" s="2">
        <v>34837</v>
      </c>
      <c r="B34842" s="3" t="str">
        <f>"201511028596"</f>
        <v>201511028596</v>
      </c>
    </row>
    <row r="34843" spans="1:2" x14ac:dyDescent="0.25">
      <c r="A34843" s="2">
        <v>34838</v>
      </c>
      <c r="B34843" s="3" t="str">
        <f>"201511028618"</f>
        <v>201511028618</v>
      </c>
    </row>
    <row r="34844" spans="1:2" x14ac:dyDescent="0.25">
      <c r="A34844" s="2">
        <v>34839</v>
      </c>
      <c r="B34844" s="3" t="str">
        <f>"201511028637"</f>
        <v>201511028637</v>
      </c>
    </row>
    <row r="34845" spans="1:2" x14ac:dyDescent="0.25">
      <c r="A34845" s="2">
        <v>34840</v>
      </c>
      <c r="B34845" s="3" t="str">
        <f>"201511028640"</f>
        <v>201511028640</v>
      </c>
    </row>
    <row r="34846" spans="1:2" x14ac:dyDescent="0.25">
      <c r="A34846" s="2">
        <v>34841</v>
      </c>
      <c r="B34846" s="3" t="str">
        <f>"201511028647"</f>
        <v>201511028647</v>
      </c>
    </row>
    <row r="34847" spans="1:2" x14ac:dyDescent="0.25">
      <c r="A34847" s="2">
        <v>34842</v>
      </c>
      <c r="B34847" s="3" t="str">
        <f>"201511028659"</f>
        <v>201511028659</v>
      </c>
    </row>
    <row r="34848" spans="1:2" x14ac:dyDescent="0.25">
      <c r="A34848" s="2">
        <v>34843</v>
      </c>
      <c r="B34848" s="3" t="str">
        <f>"201511028669"</f>
        <v>201511028669</v>
      </c>
    </row>
    <row r="34849" spans="1:2" x14ac:dyDescent="0.25">
      <c r="A34849" s="2">
        <v>34844</v>
      </c>
      <c r="B34849" s="3" t="str">
        <f>"201511028683"</f>
        <v>201511028683</v>
      </c>
    </row>
    <row r="34850" spans="1:2" x14ac:dyDescent="0.25">
      <c r="A34850" s="2">
        <v>34845</v>
      </c>
      <c r="B34850" s="3" t="str">
        <f>"201511028687"</f>
        <v>201511028687</v>
      </c>
    </row>
    <row r="34851" spans="1:2" x14ac:dyDescent="0.25">
      <c r="A34851" s="2">
        <v>34846</v>
      </c>
      <c r="B34851" s="3" t="str">
        <f>"201511028701"</f>
        <v>201511028701</v>
      </c>
    </row>
    <row r="34852" spans="1:2" x14ac:dyDescent="0.25">
      <c r="A34852" s="2">
        <v>34847</v>
      </c>
      <c r="B34852" s="3" t="str">
        <f>"201511028709"</f>
        <v>201511028709</v>
      </c>
    </row>
    <row r="34853" spans="1:2" x14ac:dyDescent="0.25">
      <c r="A34853" s="2">
        <v>34848</v>
      </c>
      <c r="B34853" s="3" t="str">
        <f>"201511028715"</f>
        <v>201511028715</v>
      </c>
    </row>
    <row r="34854" spans="1:2" x14ac:dyDescent="0.25">
      <c r="A34854" s="2">
        <v>34849</v>
      </c>
      <c r="B34854" s="3" t="str">
        <f>"201511028734"</f>
        <v>201511028734</v>
      </c>
    </row>
    <row r="34855" spans="1:2" x14ac:dyDescent="0.25">
      <c r="A34855" s="2">
        <v>34850</v>
      </c>
      <c r="B34855" s="3" t="str">
        <f>"201511028745"</f>
        <v>201511028745</v>
      </c>
    </row>
    <row r="34856" spans="1:2" x14ac:dyDescent="0.25">
      <c r="A34856" s="2">
        <v>34851</v>
      </c>
      <c r="B34856" s="3" t="str">
        <f>"201511028760"</f>
        <v>201511028760</v>
      </c>
    </row>
    <row r="34857" spans="1:2" x14ac:dyDescent="0.25">
      <c r="A34857" s="2">
        <v>34852</v>
      </c>
      <c r="B34857" s="3" t="str">
        <f>"201511028764"</f>
        <v>201511028764</v>
      </c>
    </row>
    <row r="34858" spans="1:2" x14ac:dyDescent="0.25">
      <c r="A34858" s="2">
        <v>34853</v>
      </c>
      <c r="B34858" s="3" t="str">
        <f>"201511028794"</f>
        <v>201511028794</v>
      </c>
    </row>
    <row r="34859" spans="1:2" x14ac:dyDescent="0.25">
      <c r="A34859" s="2">
        <v>34854</v>
      </c>
      <c r="B34859" s="3" t="str">
        <f>"201511028808"</f>
        <v>201511028808</v>
      </c>
    </row>
    <row r="34860" spans="1:2" x14ac:dyDescent="0.25">
      <c r="A34860" s="2">
        <v>34855</v>
      </c>
      <c r="B34860" s="3" t="str">
        <f>"201511028832"</f>
        <v>201511028832</v>
      </c>
    </row>
    <row r="34861" spans="1:2" x14ac:dyDescent="0.25">
      <c r="A34861" s="2">
        <v>34856</v>
      </c>
      <c r="B34861" s="3" t="str">
        <f>"201511028889"</f>
        <v>201511028889</v>
      </c>
    </row>
    <row r="34862" spans="1:2" x14ac:dyDescent="0.25">
      <c r="A34862" s="2">
        <v>34857</v>
      </c>
      <c r="B34862" s="3" t="str">
        <f>"201511028911"</f>
        <v>201511028911</v>
      </c>
    </row>
    <row r="34863" spans="1:2" x14ac:dyDescent="0.25">
      <c r="A34863" s="2">
        <v>34858</v>
      </c>
      <c r="B34863" s="3" t="str">
        <f>"201511028916"</f>
        <v>201511028916</v>
      </c>
    </row>
    <row r="34864" spans="1:2" x14ac:dyDescent="0.25">
      <c r="A34864" s="2">
        <v>34859</v>
      </c>
      <c r="B34864" s="3" t="str">
        <f>"201511028948"</f>
        <v>201511028948</v>
      </c>
    </row>
    <row r="34865" spans="1:2" x14ac:dyDescent="0.25">
      <c r="A34865" s="2">
        <v>34860</v>
      </c>
      <c r="B34865" s="3" t="str">
        <f>"201511028952"</f>
        <v>201511028952</v>
      </c>
    </row>
    <row r="34866" spans="1:2" x14ac:dyDescent="0.25">
      <c r="A34866" s="2">
        <v>34861</v>
      </c>
      <c r="B34866" s="3" t="str">
        <f>"201511028986"</f>
        <v>201511028986</v>
      </c>
    </row>
    <row r="34867" spans="1:2" x14ac:dyDescent="0.25">
      <c r="A34867" s="2">
        <v>34862</v>
      </c>
      <c r="B34867" s="3" t="str">
        <f>"201511028989"</f>
        <v>201511028989</v>
      </c>
    </row>
    <row r="34868" spans="1:2" x14ac:dyDescent="0.25">
      <c r="A34868" s="2">
        <v>34863</v>
      </c>
      <c r="B34868" s="3" t="str">
        <f>"201511029016"</f>
        <v>201511029016</v>
      </c>
    </row>
    <row r="34869" spans="1:2" x14ac:dyDescent="0.25">
      <c r="A34869" s="2">
        <v>34864</v>
      </c>
      <c r="B34869" s="3" t="str">
        <f>"201511029024"</f>
        <v>201511029024</v>
      </c>
    </row>
    <row r="34870" spans="1:2" x14ac:dyDescent="0.25">
      <c r="A34870" s="2">
        <v>34865</v>
      </c>
      <c r="B34870" s="3" t="str">
        <f>"201511029065"</f>
        <v>201511029065</v>
      </c>
    </row>
    <row r="34871" spans="1:2" x14ac:dyDescent="0.25">
      <c r="A34871" s="2">
        <v>34866</v>
      </c>
      <c r="B34871" s="3" t="str">
        <f>"201511029069"</f>
        <v>201511029069</v>
      </c>
    </row>
    <row r="34872" spans="1:2" x14ac:dyDescent="0.25">
      <c r="A34872" s="2">
        <v>34867</v>
      </c>
      <c r="B34872" s="3" t="str">
        <f>"201511029087"</f>
        <v>201511029087</v>
      </c>
    </row>
    <row r="34873" spans="1:2" x14ac:dyDescent="0.25">
      <c r="A34873" s="2">
        <v>34868</v>
      </c>
      <c r="B34873" s="3" t="str">
        <f>"201511029104"</f>
        <v>201511029104</v>
      </c>
    </row>
    <row r="34874" spans="1:2" x14ac:dyDescent="0.25">
      <c r="A34874" s="2">
        <v>34869</v>
      </c>
      <c r="B34874" s="3" t="str">
        <f>"201511029110"</f>
        <v>201511029110</v>
      </c>
    </row>
    <row r="34875" spans="1:2" x14ac:dyDescent="0.25">
      <c r="A34875" s="2">
        <v>34870</v>
      </c>
      <c r="B34875" s="3" t="str">
        <f>"201511029132"</f>
        <v>201511029132</v>
      </c>
    </row>
    <row r="34876" spans="1:2" x14ac:dyDescent="0.25">
      <c r="A34876" s="2">
        <v>34871</v>
      </c>
      <c r="B34876" s="3" t="str">
        <f>"201511029137"</f>
        <v>201511029137</v>
      </c>
    </row>
    <row r="34877" spans="1:2" x14ac:dyDescent="0.25">
      <c r="A34877" s="2">
        <v>34872</v>
      </c>
      <c r="B34877" s="3" t="str">
        <f>"201511029168"</f>
        <v>201511029168</v>
      </c>
    </row>
    <row r="34878" spans="1:2" x14ac:dyDescent="0.25">
      <c r="A34878" s="2">
        <v>34873</v>
      </c>
      <c r="B34878" s="3" t="str">
        <f>"201511029175"</f>
        <v>201511029175</v>
      </c>
    </row>
    <row r="34879" spans="1:2" x14ac:dyDescent="0.25">
      <c r="A34879" s="2">
        <v>34874</v>
      </c>
      <c r="B34879" s="3" t="str">
        <f>"201511029181"</f>
        <v>201511029181</v>
      </c>
    </row>
    <row r="34880" spans="1:2" x14ac:dyDescent="0.25">
      <c r="A34880" s="2">
        <v>34875</v>
      </c>
      <c r="B34880" s="3" t="str">
        <f>"201511029228"</f>
        <v>201511029228</v>
      </c>
    </row>
    <row r="34881" spans="1:2" x14ac:dyDescent="0.25">
      <c r="A34881" s="2">
        <v>34876</v>
      </c>
      <c r="B34881" s="3" t="str">
        <f>"201511029275"</f>
        <v>201511029275</v>
      </c>
    </row>
    <row r="34882" spans="1:2" x14ac:dyDescent="0.25">
      <c r="A34882" s="2">
        <v>34877</v>
      </c>
      <c r="B34882" s="3" t="str">
        <f>"201511029288"</f>
        <v>201511029288</v>
      </c>
    </row>
    <row r="34883" spans="1:2" x14ac:dyDescent="0.25">
      <c r="A34883" s="2">
        <v>34878</v>
      </c>
      <c r="B34883" s="3" t="str">
        <f>"201511029325"</f>
        <v>201511029325</v>
      </c>
    </row>
    <row r="34884" spans="1:2" x14ac:dyDescent="0.25">
      <c r="A34884" s="2">
        <v>34879</v>
      </c>
      <c r="B34884" s="3" t="str">
        <f>"201511029342"</f>
        <v>201511029342</v>
      </c>
    </row>
    <row r="34885" spans="1:2" x14ac:dyDescent="0.25">
      <c r="A34885" s="2">
        <v>34880</v>
      </c>
      <c r="B34885" s="3" t="str">
        <f>"201511029356"</f>
        <v>201511029356</v>
      </c>
    </row>
    <row r="34886" spans="1:2" x14ac:dyDescent="0.25">
      <c r="A34886" s="2">
        <v>34881</v>
      </c>
      <c r="B34886" s="3" t="str">
        <f>"201511029377"</f>
        <v>201511029377</v>
      </c>
    </row>
    <row r="34887" spans="1:2" x14ac:dyDescent="0.25">
      <c r="A34887" s="2">
        <v>34882</v>
      </c>
      <c r="B34887" s="3" t="str">
        <f>"201511029385"</f>
        <v>201511029385</v>
      </c>
    </row>
    <row r="34888" spans="1:2" x14ac:dyDescent="0.25">
      <c r="A34888" s="2">
        <v>34883</v>
      </c>
      <c r="B34888" s="3" t="str">
        <f>"201511029391"</f>
        <v>201511029391</v>
      </c>
    </row>
    <row r="34889" spans="1:2" x14ac:dyDescent="0.25">
      <c r="A34889" s="2">
        <v>34884</v>
      </c>
      <c r="B34889" s="3" t="str">
        <f>"201511029392"</f>
        <v>201511029392</v>
      </c>
    </row>
    <row r="34890" spans="1:2" x14ac:dyDescent="0.25">
      <c r="A34890" s="2">
        <v>34885</v>
      </c>
      <c r="B34890" s="3" t="str">
        <f>"201511029395"</f>
        <v>201511029395</v>
      </c>
    </row>
    <row r="34891" spans="1:2" x14ac:dyDescent="0.25">
      <c r="A34891" s="2">
        <v>34886</v>
      </c>
      <c r="B34891" s="3" t="str">
        <f>"201511029406"</f>
        <v>201511029406</v>
      </c>
    </row>
    <row r="34892" spans="1:2" x14ac:dyDescent="0.25">
      <c r="A34892" s="2">
        <v>34887</v>
      </c>
      <c r="B34892" s="3" t="str">
        <f>"201511029447"</f>
        <v>201511029447</v>
      </c>
    </row>
    <row r="34893" spans="1:2" x14ac:dyDescent="0.25">
      <c r="A34893" s="2">
        <v>34888</v>
      </c>
      <c r="B34893" s="3" t="str">
        <f>"201511029457"</f>
        <v>201511029457</v>
      </c>
    </row>
    <row r="34894" spans="1:2" x14ac:dyDescent="0.25">
      <c r="A34894" s="2">
        <v>34889</v>
      </c>
      <c r="B34894" s="3" t="str">
        <f>"201511029479"</f>
        <v>201511029479</v>
      </c>
    </row>
    <row r="34895" spans="1:2" x14ac:dyDescent="0.25">
      <c r="A34895" s="2">
        <v>34890</v>
      </c>
      <c r="B34895" s="3" t="str">
        <f>"201511029483"</f>
        <v>201511029483</v>
      </c>
    </row>
    <row r="34896" spans="1:2" x14ac:dyDescent="0.25">
      <c r="A34896" s="2">
        <v>34891</v>
      </c>
      <c r="B34896" s="3" t="str">
        <f>"201511029485"</f>
        <v>201511029485</v>
      </c>
    </row>
    <row r="34897" spans="1:2" x14ac:dyDescent="0.25">
      <c r="A34897" s="2">
        <v>34892</v>
      </c>
      <c r="B34897" s="3" t="str">
        <f>"201511029546"</f>
        <v>201511029546</v>
      </c>
    </row>
    <row r="34898" spans="1:2" x14ac:dyDescent="0.25">
      <c r="A34898" s="2">
        <v>34893</v>
      </c>
      <c r="B34898" s="3" t="str">
        <f>"201511029565"</f>
        <v>201511029565</v>
      </c>
    </row>
    <row r="34899" spans="1:2" x14ac:dyDescent="0.25">
      <c r="A34899" s="2">
        <v>34894</v>
      </c>
      <c r="B34899" s="3" t="str">
        <f>"201511029576"</f>
        <v>201511029576</v>
      </c>
    </row>
    <row r="34900" spans="1:2" x14ac:dyDescent="0.25">
      <c r="A34900" s="2">
        <v>34895</v>
      </c>
      <c r="B34900" s="3" t="str">
        <f>"201511029608"</f>
        <v>201511029608</v>
      </c>
    </row>
    <row r="34901" spans="1:2" x14ac:dyDescent="0.25">
      <c r="A34901" s="2">
        <v>34896</v>
      </c>
      <c r="B34901" s="3" t="str">
        <f>"201511029628"</f>
        <v>201511029628</v>
      </c>
    </row>
    <row r="34902" spans="1:2" x14ac:dyDescent="0.25">
      <c r="A34902" s="2">
        <v>34897</v>
      </c>
      <c r="B34902" s="3" t="str">
        <f>"201511029651"</f>
        <v>201511029651</v>
      </c>
    </row>
    <row r="34903" spans="1:2" x14ac:dyDescent="0.25">
      <c r="A34903" s="2">
        <v>34898</v>
      </c>
      <c r="B34903" s="3" t="str">
        <f>"201511029671"</f>
        <v>201511029671</v>
      </c>
    </row>
    <row r="34904" spans="1:2" x14ac:dyDescent="0.25">
      <c r="A34904" s="2">
        <v>34899</v>
      </c>
      <c r="B34904" s="3" t="str">
        <f>"201511029692"</f>
        <v>201511029692</v>
      </c>
    </row>
    <row r="34905" spans="1:2" x14ac:dyDescent="0.25">
      <c r="A34905" s="2">
        <v>34900</v>
      </c>
      <c r="B34905" s="3" t="str">
        <f>"201511029694"</f>
        <v>201511029694</v>
      </c>
    </row>
    <row r="34906" spans="1:2" x14ac:dyDescent="0.25">
      <c r="A34906" s="2">
        <v>34901</v>
      </c>
      <c r="B34906" s="3" t="str">
        <f>"201511029719"</f>
        <v>201511029719</v>
      </c>
    </row>
    <row r="34907" spans="1:2" x14ac:dyDescent="0.25">
      <c r="A34907" s="2">
        <v>34902</v>
      </c>
      <c r="B34907" s="3" t="str">
        <f>"201511029737"</f>
        <v>201511029737</v>
      </c>
    </row>
    <row r="34908" spans="1:2" x14ac:dyDescent="0.25">
      <c r="A34908" s="2">
        <v>34903</v>
      </c>
      <c r="B34908" s="3" t="str">
        <f>"201511029740"</f>
        <v>201511029740</v>
      </c>
    </row>
    <row r="34909" spans="1:2" x14ac:dyDescent="0.25">
      <c r="A34909" s="2">
        <v>34904</v>
      </c>
      <c r="B34909" s="3" t="str">
        <f>"201511029746"</f>
        <v>201511029746</v>
      </c>
    </row>
    <row r="34910" spans="1:2" x14ac:dyDescent="0.25">
      <c r="A34910" s="2">
        <v>34905</v>
      </c>
      <c r="B34910" s="3" t="str">
        <f>"201511029785"</f>
        <v>201511029785</v>
      </c>
    </row>
    <row r="34911" spans="1:2" x14ac:dyDescent="0.25">
      <c r="A34911" s="2">
        <v>34906</v>
      </c>
      <c r="B34911" s="3" t="str">
        <f>"201511029795"</f>
        <v>201511029795</v>
      </c>
    </row>
    <row r="34912" spans="1:2" x14ac:dyDescent="0.25">
      <c r="A34912" s="2">
        <v>34907</v>
      </c>
      <c r="B34912" s="3" t="str">
        <f>"201511029873"</f>
        <v>201511029873</v>
      </c>
    </row>
    <row r="34913" spans="1:2" x14ac:dyDescent="0.25">
      <c r="A34913" s="2">
        <v>34908</v>
      </c>
      <c r="B34913" s="3" t="str">
        <f>"201511029902"</f>
        <v>201511029902</v>
      </c>
    </row>
    <row r="34914" spans="1:2" x14ac:dyDescent="0.25">
      <c r="A34914" s="2">
        <v>34909</v>
      </c>
      <c r="B34914" s="3" t="str">
        <f>"201511029903"</f>
        <v>201511029903</v>
      </c>
    </row>
    <row r="34915" spans="1:2" x14ac:dyDescent="0.25">
      <c r="A34915" s="2">
        <v>34910</v>
      </c>
      <c r="B34915" s="3" t="str">
        <f>"201511029913"</f>
        <v>201511029913</v>
      </c>
    </row>
    <row r="34916" spans="1:2" x14ac:dyDescent="0.25">
      <c r="A34916" s="2">
        <v>34911</v>
      </c>
      <c r="B34916" s="3" t="str">
        <f>"201511029927"</f>
        <v>201511029927</v>
      </c>
    </row>
    <row r="34917" spans="1:2" x14ac:dyDescent="0.25">
      <c r="A34917" s="2">
        <v>34912</v>
      </c>
      <c r="B34917" s="3" t="str">
        <f>"201511029936"</f>
        <v>201511029936</v>
      </c>
    </row>
    <row r="34918" spans="1:2" x14ac:dyDescent="0.25">
      <c r="A34918" s="2">
        <v>34913</v>
      </c>
      <c r="B34918" s="3" t="str">
        <f>"201511029937"</f>
        <v>201511029937</v>
      </c>
    </row>
    <row r="34919" spans="1:2" x14ac:dyDescent="0.25">
      <c r="A34919" s="2">
        <v>34914</v>
      </c>
      <c r="B34919" s="3" t="str">
        <f>"201511029949"</f>
        <v>201511029949</v>
      </c>
    </row>
    <row r="34920" spans="1:2" x14ac:dyDescent="0.25">
      <c r="A34920" s="2">
        <v>34915</v>
      </c>
      <c r="B34920" s="3" t="str">
        <f>"201511029959"</f>
        <v>201511029959</v>
      </c>
    </row>
    <row r="34921" spans="1:2" x14ac:dyDescent="0.25">
      <c r="A34921" s="2">
        <v>34916</v>
      </c>
      <c r="B34921" s="3" t="str">
        <f>"201511029968"</f>
        <v>201511029968</v>
      </c>
    </row>
    <row r="34922" spans="1:2" x14ac:dyDescent="0.25">
      <c r="A34922" s="2">
        <v>34917</v>
      </c>
      <c r="B34922" s="3" t="str">
        <f>"201511029971"</f>
        <v>201511029971</v>
      </c>
    </row>
    <row r="34923" spans="1:2" x14ac:dyDescent="0.25">
      <c r="A34923" s="2">
        <v>34918</v>
      </c>
      <c r="B34923" s="3" t="str">
        <f>"201511029983"</f>
        <v>201511029983</v>
      </c>
    </row>
    <row r="34924" spans="1:2" x14ac:dyDescent="0.25">
      <c r="A34924" s="2">
        <v>34919</v>
      </c>
      <c r="B34924" s="3" t="str">
        <f>"201511030007"</f>
        <v>201511030007</v>
      </c>
    </row>
    <row r="34925" spans="1:2" x14ac:dyDescent="0.25">
      <c r="A34925" s="2">
        <v>34920</v>
      </c>
      <c r="B34925" s="3" t="str">
        <f>"201511030008"</f>
        <v>201511030008</v>
      </c>
    </row>
    <row r="34926" spans="1:2" x14ac:dyDescent="0.25">
      <c r="A34926" s="2">
        <v>34921</v>
      </c>
      <c r="B34926" s="3" t="str">
        <f>"201511030016"</f>
        <v>201511030016</v>
      </c>
    </row>
    <row r="34927" spans="1:2" x14ac:dyDescent="0.25">
      <c r="A34927" s="2">
        <v>34922</v>
      </c>
      <c r="B34927" s="3" t="str">
        <f>"201511030035"</f>
        <v>201511030035</v>
      </c>
    </row>
    <row r="34928" spans="1:2" x14ac:dyDescent="0.25">
      <c r="A34928" s="2">
        <v>34923</v>
      </c>
      <c r="B34928" s="3" t="str">
        <f>"201511030057"</f>
        <v>201511030057</v>
      </c>
    </row>
    <row r="34929" spans="1:2" x14ac:dyDescent="0.25">
      <c r="A34929" s="2">
        <v>34924</v>
      </c>
      <c r="B34929" s="3" t="str">
        <f>"201511030060"</f>
        <v>201511030060</v>
      </c>
    </row>
    <row r="34930" spans="1:2" x14ac:dyDescent="0.25">
      <c r="A34930" s="2">
        <v>34925</v>
      </c>
      <c r="B34930" s="3" t="str">
        <f>"201511030062"</f>
        <v>201511030062</v>
      </c>
    </row>
    <row r="34931" spans="1:2" x14ac:dyDescent="0.25">
      <c r="A34931" s="2">
        <v>34926</v>
      </c>
      <c r="B34931" s="3" t="str">
        <f>"201511030065"</f>
        <v>201511030065</v>
      </c>
    </row>
    <row r="34932" spans="1:2" x14ac:dyDescent="0.25">
      <c r="A34932" s="2">
        <v>34927</v>
      </c>
      <c r="B34932" s="3" t="str">
        <f>"201511030091"</f>
        <v>201511030091</v>
      </c>
    </row>
    <row r="34933" spans="1:2" x14ac:dyDescent="0.25">
      <c r="A34933" s="2">
        <v>34928</v>
      </c>
      <c r="B34933" s="3" t="str">
        <f>"201511030106"</f>
        <v>201511030106</v>
      </c>
    </row>
    <row r="34934" spans="1:2" x14ac:dyDescent="0.25">
      <c r="A34934" s="2">
        <v>34929</v>
      </c>
      <c r="B34934" s="3" t="str">
        <f>"201511030129"</f>
        <v>201511030129</v>
      </c>
    </row>
    <row r="34935" spans="1:2" x14ac:dyDescent="0.25">
      <c r="A34935" s="2">
        <v>34930</v>
      </c>
      <c r="B34935" s="3" t="str">
        <f>"201511030188"</f>
        <v>201511030188</v>
      </c>
    </row>
    <row r="34936" spans="1:2" x14ac:dyDescent="0.25">
      <c r="A34936" s="2">
        <v>34931</v>
      </c>
      <c r="B34936" s="3" t="str">
        <f>"201511030192"</f>
        <v>201511030192</v>
      </c>
    </row>
    <row r="34937" spans="1:2" x14ac:dyDescent="0.25">
      <c r="A34937" s="2">
        <v>34932</v>
      </c>
      <c r="B34937" s="3" t="str">
        <f>"201511030198"</f>
        <v>201511030198</v>
      </c>
    </row>
    <row r="34938" spans="1:2" x14ac:dyDescent="0.25">
      <c r="A34938" s="2">
        <v>34933</v>
      </c>
      <c r="B34938" s="3" t="str">
        <f>"201511030207"</f>
        <v>201511030207</v>
      </c>
    </row>
    <row r="34939" spans="1:2" x14ac:dyDescent="0.25">
      <c r="A34939" s="2">
        <v>34934</v>
      </c>
      <c r="B34939" s="3" t="str">
        <f>"201511030210"</f>
        <v>201511030210</v>
      </c>
    </row>
    <row r="34940" spans="1:2" x14ac:dyDescent="0.25">
      <c r="A34940" s="2">
        <v>34935</v>
      </c>
      <c r="B34940" s="3" t="str">
        <f>"201511030289"</f>
        <v>201511030289</v>
      </c>
    </row>
    <row r="34941" spans="1:2" x14ac:dyDescent="0.25">
      <c r="A34941" s="2">
        <v>34936</v>
      </c>
      <c r="B34941" s="3" t="str">
        <f>"201511030356"</f>
        <v>201511030356</v>
      </c>
    </row>
    <row r="34942" spans="1:2" x14ac:dyDescent="0.25">
      <c r="A34942" s="2">
        <v>34937</v>
      </c>
      <c r="B34942" s="3" t="str">
        <f>"201511030360"</f>
        <v>201511030360</v>
      </c>
    </row>
    <row r="34943" spans="1:2" x14ac:dyDescent="0.25">
      <c r="A34943" s="2">
        <v>34938</v>
      </c>
      <c r="B34943" s="3" t="str">
        <f>"201511030361"</f>
        <v>201511030361</v>
      </c>
    </row>
    <row r="34944" spans="1:2" x14ac:dyDescent="0.25">
      <c r="A34944" s="2">
        <v>34939</v>
      </c>
      <c r="B34944" s="3" t="str">
        <f>"201511030373"</f>
        <v>201511030373</v>
      </c>
    </row>
    <row r="34945" spans="1:2" x14ac:dyDescent="0.25">
      <c r="A34945" s="2">
        <v>34940</v>
      </c>
      <c r="B34945" s="3" t="str">
        <f>"201511030411"</f>
        <v>201511030411</v>
      </c>
    </row>
    <row r="34946" spans="1:2" x14ac:dyDescent="0.25">
      <c r="A34946" s="2">
        <v>34941</v>
      </c>
      <c r="B34946" s="3" t="str">
        <f>"201511030440"</f>
        <v>201511030440</v>
      </c>
    </row>
    <row r="34947" spans="1:2" x14ac:dyDescent="0.25">
      <c r="A34947" s="2">
        <v>34942</v>
      </c>
      <c r="B34947" s="3" t="str">
        <f>"201511030452"</f>
        <v>201511030452</v>
      </c>
    </row>
    <row r="34948" spans="1:2" x14ac:dyDescent="0.25">
      <c r="A34948" s="2">
        <v>34943</v>
      </c>
      <c r="B34948" s="3" t="str">
        <f>"201511030456"</f>
        <v>201511030456</v>
      </c>
    </row>
    <row r="34949" spans="1:2" x14ac:dyDescent="0.25">
      <c r="A34949" s="2">
        <v>34944</v>
      </c>
      <c r="B34949" s="3" t="str">
        <f>"201511030457"</f>
        <v>201511030457</v>
      </c>
    </row>
    <row r="34950" spans="1:2" x14ac:dyDescent="0.25">
      <c r="A34950" s="2">
        <v>34945</v>
      </c>
      <c r="B34950" s="3" t="str">
        <f>"201511030477"</f>
        <v>201511030477</v>
      </c>
    </row>
    <row r="34951" spans="1:2" x14ac:dyDescent="0.25">
      <c r="A34951" s="2">
        <v>34946</v>
      </c>
      <c r="B34951" s="3" t="str">
        <f>"201511030493"</f>
        <v>201511030493</v>
      </c>
    </row>
    <row r="34952" spans="1:2" x14ac:dyDescent="0.25">
      <c r="A34952" s="2">
        <v>34947</v>
      </c>
      <c r="B34952" s="3" t="str">
        <f>"201511030506"</f>
        <v>201511030506</v>
      </c>
    </row>
    <row r="34953" spans="1:2" x14ac:dyDescent="0.25">
      <c r="A34953" s="2">
        <v>34948</v>
      </c>
      <c r="B34953" s="3" t="str">
        <f>"201511030566"</f>
        <v>201511030566</v>
      </c>
    </row>
    <row r="34954" spans="1:2" x14ac:dyDescent="0.25">
      <c r="A34954" s="2">
        <v>34949</v>
      </c>
      <c r="B34954" s="3" t="str">
        <f>"201511030607"</f>
        <v>201511030607</v>
      </c>
    </row>
    <row r="34955" spans="1:2" x14ac:dyDescent="0.25">
      <c r="A34955" s="2">
        <v>34950</v>
      </c>
      <c r="B34955" s="3" t="str">
        <f>"201511030609"</f>
        <v>201511030609</v>
      </c>
    </row>
    <row r="34956" spans="1:2" x14ac:dyDescent="0.25">
      <c r="A34956" s="2">
        <v>34951</v>
      </c>
      <c r="B34956" s="3" t="str">
        <f>"201511030631"</f>
        <v>201511030631</v>
      </c>
    </row>
    <row r="34957" spans="1:2" x14ac:dyDescent="0.25">
      <c r="A34957" s="2">
        <v>34952</v>
      </c>
      <c r="B34957" s="3" t="str">
        <f>"201511030634"</f>
        <v>201511030634</v>
      </c>
    </row>
    <row r="34958" spans="1:2" x14ac:dyDescent="0.25">
      <c r="A34958" s="2">
        <v>34953</v>
      </c>
      <c r="B34958" s="3" t="str">
        <f>"201511030666"</f>
        <v>201511030666</v>
      </c>
    </row>
    <row r="34959" spans="1:2" x14ac:dyDescent="0.25">
      <c r="A34959" s="2">
        <v>34954</v>
      </c>
      <c r="B34959" s="3" t="str">
        <f>"201511030669"</f>
        <v>201511030669</v>
      </c>
    </row>
    <row r="34960" spans="1:2" x14ac:dyDescent="0.25">
      <c r="A34960" s="2">
        <v>34955</v>
      </c>
      <c r="B34960" s="3" t="str">
        <f>"201511030680"</f>
        <v>201511030680</v>
      </c>
    </row>
    <row r="34961" spans="1:2" x14ac:dyDescent="0.25">
      <c r="A34961" s="2">
        <v>34956</v>
      </c>
      <c r="B34961" s="3" t="str">
        <f>"201511030696"</f>
        <v>201511030696</v>
      </c>
    </row>
    <row r="34962" spans="1:2" x14ac:dyDescent="0.25">
      <c r="A34962" s="2">
        <v>34957</v>
      </c>
      <c r="B34962" s="3" t="str">
        <f>"201511030699"</f>
        <v>201511030699</v>
      </c>
    </row>
    <row r="34963" spans="1:2" x14ac:dyDescent="0.25">
      <c r="A34963" s="2">
        <v>34958</v>
      </c>
      <c r="B34963" s="3" t="str">
        <f>"201511030701"</f>
        <v>201511030701</v>
      </c>
    </row>
    <row r="34964" spans="1:2" x14ac:dyDescent="0.25">
      <c r="A34964" s="2">
        <v>34959</v>
      </c>
      <c r="B34964" s="3" t="str">
        <f>"201511030712"</f>
        <v>201511030712</v>
      </c>
    </row>
    <row r="34965" spans="1:2" x14ac:dyDescent="0.25">
      <c r="A34965" s="2">
        <v>34960</v>
      </c>
      <c r="B34965" s="3" t="str">
        <f>"201511030714"</f>
        <v>201511030714</v>
      </c>
    </row>
    <row r="34966" spans="1:2" x14ac:dyDescent="0.25">
      <c r="A34966" s="2">
        <v>34961</v>
      </c>
      <c r="B34966" s="3" t="str">
        <f>"201511030723"</f>
        <v>201511030723</v>
      </c>
    </row>
    <row r="34967" spans="1:2" x14ac:dyDescent="0.25">
      <c r="A34967" s="2">
        <v>34962</v>
      </c>
      <c r="B34967" s="3" t="str">
        <f>"201511030764"</f>
        <v>201511030764</v>
      </c>
    </row>
    <row r="34968" spans="1:2" x14ac:dyDescent="0.25">
      <c r="A34968" s="2">
        <v>34963</v>
      </c>
      <c r="B34968" s="3" t="str">
        <f>"201511030781"</f>
        <v>201511030781</v>
      </c>
    </row>
    <row r="34969" spans="1:2" x14ac:dyDescent="0.25">
      <c r="A34969" s="2">
        <v>34964</v>
      </c>
      <c r="B34969" s="3" t="str">
        <f>"201511030782"</f>
        <v>201511030782</v>
      </c>
    </row>
    <row r="34970" spans="1:2" x14ac:dyDescent="0.25">
      <c r="A34970" s="2">
        <v>34965</v>
      </c>
      <c r="B34970" s="3" t="str">
        <f>"201511030786"</f>
        <v>201511030786</v>
      </c>
    </row>
    <row r="34971" spans="1:2" x14ac:dyDescent="0.25">
      <c r="A34971" s="2">
        <v>34966</v>
      </c>
      <c r="B34971" s="3" t="str">
        <f>"201511030796"</f>
        <v>201511030796</v>
      </c>
    </row>
    <row r="34972" spans="1:2" x14ac:dyDescent="0.25">
      <c r="A34972" s="2">
        <v>34967</v>
      </c>
      <c r="B34972" s="3" t="str">
        <f>"201511030798"</f>
        <v>201511030798</v>
      </c>
    </row>
    <row r="34973" spans="1:2" x14ac:dyDescent="0.25">
      <c r="A34973" s="2">
        <v>34968</v>
      </c>
      <c r="B34973" s="3" t="str">
        <f>"201511030801"</f>
        <v>201511030801</v>
      </c>
    </row>
    <row r="34974" spans="1:2" x14ac:dyDescent="0.25">
      <c r="A34974" s="2">
        <v>34969</v>
      </c>
      <c r="B34974" s="3" t="str">
        <f>"201511030816"</f>
        <v>201511030816</v>
      </c>
    </row>
    <row r="34975" spans="1:2" x14ac:dyDescent="0.25">
      <c r="A34975" s="2">
        <v>34970</v>
      </c>
      <c r="B34975" s="3" t="str">
        <f>"201511030840"</f>
        <v>201511030840</v>
      </c>
    </row>
    <row r="34976" spans="1:2" x14ac:dyDescent="0.25">
      <c r="A34976" s="2">
        <v>34971</v>
      </c>
      <c r="B34976" s="3" t="str">
        <f>"201511030846"</f>
        <v>201511030846</v>
      </c>
    </row>
    <row r="34977" spans="1:2" x14ac:dyDescent="0.25">
      <c r="A34977" s="2">
        <v>34972</v>
      </c>
      <c r="B34977" s="3" t="str">
        <f>"201511030851"</f>
        <v>201511030851</v>
      </c>
    </row>
    <row r="34978" spans="1:2" x14ac:dyDescent="0.25">
      <c r="A34978" s="2">
        <v>34973</v>
      </c>
      <c r="B34978" s="3" t="str">
        <f>"201511030884"</f>
        <v>201511030884</v>
      </c>
    </row>
    <row r="34979" spans="1:2" x14ac:dyDescent="0.25">
      <c r="A34979" s="2">
        <v>34974</v>
      </c>
      <c r="B34979" s="3" t="str">
        <f>"201511030891"</f>
        <v>201511030891</v>
      </c>
    </row>
    <row r="34980" spans="1:2" x14ac:dyDescent="0.25">
      <c r="A34980" s="2">
        <v>34975</v>
      </c>
      <c r="B34980" s="3" t="str">
        <f>"201511030912"</f>
        <v>201511030912</v>
      </c>
    </row>
    <row r="34981" spans="1:2" x14ac:dyDescent="0.25">
      <c r="A34981" s="2">
        <v>34976</v>
      </c>
      <c r="B34981" s="3" t="str">
        <f>"201511030913"</f>
        <v>201511030913</v>
      </c>
    </row>
    <row r="34982" spans="1:2" x14ac:dyDescent="0.25">
      <c r="A34982" s="2">
        <v>34977</v>
      </c>
      <c r="B34982" s="3" t="str">
        <f>"201511030915"</f>
        <v>201511030915</v>
      </c>
    </row>
    <row r="34983" spans="1:2" x14ac:dyDescent="0.25">
      <c r="A34983" s="2">
        <v>34978</v>
      </c>
      <c r="B34983" s="3" t="str">
        <f>"201511030921"</f>
        <v>201511030921</v>
      </c>
    </row>
    <row r="34984" spans="1:2" x14ac:dyDescent="0.25">
      <c r="A34984" s="2">
        <v>34979</v>
      </c>
      <c r="B34984" s="3" t="str">
        <f>"201511030924"</f>
        <v>201511030924</v>
      </c>
    </row>
    <row r="34985" spans="1:2" x14ac:dyDescent="0.25">
      <c r="A34985" s="2">
        <v>34980</v>
      </c>
      <c r="B34985" s="3" t="str">
        <f>"201511030935"</f>
        <v>201511030935</v>
      </c>
    </row>
    <row r="34986" spans="1:2" x14ac:dyDescent="0.25">
      <c r="A34986" s="2">
        <v>34981</v>
      </c>
      <c r="B34986" s="3" t="str">
        <f>"201511030942"</f>
        <v>201511030942</v>
      </c>
    </row>
    <row r="34987" spans="1:2" x14ac:dyDescent="0.25">
      <c r="A34987" s="2">
        <v>34982</v>
      </c>
      <c r="B34987" s="3" t="str">
        <f>"201511030964"</f>
        <v>201511030964</v>
      </c>
    </row>
    <row r="34988" spans="1:2" x14ac:dyDescent="0.25">
      <c r="A34988" s="2">
        <v>34983</v>
      </c>
      <c r="B34988" s="3" t="str">
        <f>"201511030968"</f>
        <v>201511030968</v>
      </c>
    </row>
    <row r="34989" spans="1:2" x14ac:dyDescent="0.25">
      <c r="A34989" s="2">
        <v>34984</v>
      </c>
      <c r="B34989" s="3" t="str">
        <f>"201511030972"</f>
        <v>201511030972</v>
      </c>
    </row>
    <row r="34990" spans="1:2" x14ac:dyDescent="0.25">
      <c r="A34990" s="2">
        <v>34985</v>
      </c>
      <c r="B34990" s="3" t="str">
        <f>"201511030982"</f>
        <v>201511030982</v>
      </c>
    </row>
    <row r="34991" spans="1:2" x14ac:dyDescent="0.25">
      <c r="A34991" s="2">
        <v>34986</v>
      </c>
      <c r="B34991" s="3" t="str">
        <f>"201511030995"</f>
        <v>201511030995</v>
      </c>
    </row>
    <row r="34992" spans="1:2" x14ac:dyDescent="0.25">
      <c r="A34992" s="2">
        <v>34987</v>
      </c>
      <c r="B34992" s="3" t="str">
        <f>"201511031023"</f>
        <v>201511031023</v>
      </c>
    </row>
    <row r="34993" spans="1:2" x14ac:dyDescent="0.25">
      <c r="A34993" s="2">
        <v>34988</v>
      </c>
      <c r="B34993" s="3" t="str">
        <f>"201511031032"</f>
        <v>201511031032</v>
      </c>
    </row>
    <row r="34994" spans="1:2" x14ac:dyDescent="0.25">
      <c r="A34994" s="2">
        <v>34989</v>
      </c>
      <c r="B34994" s="3" t="str">
        <f>"201511031033"</f>
        <v>201511031033</v>
      </c>
    </row>
    <row r="34995" spans="1:2" x14ac:dyDescent="0.25">
      <c r="A34995" s="2">
        <v>34990</v>
      </c>
      <c r="B34995" s="3" t="str">
        <f>"201511031037"</f>
        <v>201511031037</v>
      </c>
    </row>
    <row r="34996" spans="1:2" x14ac:dyDescent="0.25">
      <c r="A34996" s="2">
        <v>34991</v>
      </c>
      <c r="B34996" s="3" t="str">
        <f>"201511031038"</f>
        <v>201511031038</v>
      </c>
    </row>
    <row r="34997" spans="1:2" x14ac:dyDescent="0.25">
      <c r="A34997" s="2">
        <v>34992</v>
      </c>
      <c r="B34997" s="3" t="str">
        <f>"201511031043"</f>
        <v>201511031043</v>
      </c>
    </row>
    <row r="34998" spans="1:2" x14ac:dyDescent="0.25">
      <c r="A34998" s="2">
        <v>34993</v>
      </c>
      <c r="B34998" s="3" t="str">
        <f>"201511031091"</f>
        <v>201511031091</v>
      </c>
    </row>
    <row r="34999" spans="1:2" x14ac:dyDescent="0.25">
      <c r="A34999" s="2">
        <v>34994</v>
      </c>
      <c r="B34999" s="3" t="str">
        <f>"201511031104"</f>
        <v>201511031104</v>
      </c>
    </row>
    <row r="35000" spans="1:2" x14ac:dyDescent="0.25">
      <c r="A35000" s="2">
        <v>34995</v>
      </c>
      <c r="B35000" s="3" t="str">
        <f>"201511031106"</f>
        <v>201511031106</v>
      </c>
    </row>
    <row r="35001" spans="1:2" x14ac:dyDescent="0.25">
      <c r="A35001" s="2">
        <v>34996</v>
      </c>
      <c r="B35001" s="3" t="str">
        <f>"201511031114"</f>
        <v>201511031114</v>
      </c>
    </row>
    <row r="35002" spans="1:2" x14ac:dyDescent="0.25">
      <c r="A35002" s="2">
        <v>34997</v>
      </c>
      <c r="B35002" s="3" t="str">
        <f>"201511031115"</f>
        <v>201511031115</v>
      </c>
    </row>
    <row r="35003" spans="1:2" x14ac:dyDescent="0.25">
      <c r="A35003" s="2">
        <v>34998</v>
      </c>
      <c r="B35003" s="3" t="str">
        <f>"201511031129"</f>
        <v>201511031129</v>
      </c>
    </row>
    <row r="35004" spans="1:2" x14ac:dyDescent="0.25">
      <c r="A35004" s="2">
        <v>34999</v>
      </c>
      <c r="B35004" s="3" t="str">
        <f>"201511031150"</f>
        <v>201511031150</v>
      </c>
    </row>
    <row r="35005" spans="1:2" x14ac:dyDescent="0.25">
      <c r="A35005" s="2">
        <v>35000</v>
      </c>
      <c r="B35005" s="3" t="str">
        <f>"201511031158"</f>
        <v>201511031158</v>
      </c>
    </row>
    <row r="35006" spans="1:2" x14ac:dyDescent="0.25">
      <c r="A35006" s="2">
        <v>35001</v>
      </c>
      <c r="B35006" s="3" t="str">
        <f>"201511031175"</f>
        <v>201511031175</v>
      </c>
    </row>
    <row r="35007" spans="1:2" x14ac:dyDescent="0.25">
      <c r="A35007" s="2">
        <v>35002</v>
      </c>
      <c r="B35007" s="3" t="str">
        <f>"201511031197"</f>
        <v>201511031197</v>
      </c>
    </row>
    <row r="35008" spans="1:2" x14ac:dyDescent="0.25">
      <c r="A35008" s="2">
        <v>35003</v>
      </c>
      <c r="B35008" s="3" t="str">
        <f>"201511031201"</f>
        <v>201511031201</v>
      </c>
    </row>
    <row r="35009" spans="1:2" x14ac:dyDescent="0.25">
      <c r="A35009" s="2">
        <v>35004</v>
      </c>
      <c r="B35009" s="3" t="str">
        <f>"201511031216"</f>
        <v>201511031216</v>
      </c>
    </row>
    <row r="35010" spans="1:2" x14ac:dyDescent="0.25">
      <c r="A35010" s="2">
        <v>35005</v>
      </c>
      <c r="B35010" s="3" t="str">
        <f>"201511031288"</f>
        <v>201511031288</v>
      </c>
    </row>
    <row r="35011" spans="1:2" x14ac:dyDescent="0.25">
      <c r="A35011" s="2">
        <v>35006</v>
      </c>
      <c r="B35011" s="3" t="str">
        <f>"201511031295"</f>
        <v>201511031295</v>
      </c>
    </row>
    <row r="35012" spans="1:2" x14ac:dyDescent="0.25">
      <c r="A35012" s="2">
        <v>35007</v>
      </c>
      <c r="B35012" s="3" t="str">
        <f>"201511031301"</f>
        <v>201511031301</v>
      </c>
    </row>
    <row r="35013" spans="1:2" x14ac:dyDescent="0.25">
      <c r="A35013" s="2">
        <v>35008</v>
      </c>
      <c r="B35013" s="3" t="str">
        <f>"201511031304"</f>
        <v>201511031304</v>
      </c>
    </row>
    <row r="35014" spans="1:2" x14ac:dyDescent="0.25">
      <c r="A35014" s="2">
        <v>35009</v>
      </c>
      <c r="B35014" s="3" t="str">
        <f>"201511031355"</f>
        <v>201511031355</v>
      </c>
    </row>
    <row r="35015" spans="1:2" x14ac:dyDescent="0.25">
      <c r="A35015" s="2">
        <v>35010</v>
      </c>
      <c r="B35015" s="3" t="str">
        <f>"201511031377"</f>
        <v>201511031377</v>
      </c>
    </row>
    <row r="35016" spans="1:2" x14ac:dyDescent="0.25">
      <c r="A35016" s="2">
        <v>35011</v>
      </c>
      <c r="B35016" s="3" t="str">
        <f>"201511031389"</f>
        <v>201511031389</v>
      </c>
    </row>
    <row r="35017" spans="1:2" x14ac:dyDescent="0.25">
      <c r="A35017" s="2">
        <v>35012</v>
      </c>
      <c r="B35017" s="3" t="str">
        <f>"201511031395"</f>
        <v>201511031395</v>
      </c>
    </row>
    <row r="35018" spans="1:2" x14ac:dyDescent="0.25">
      <c r="A35018" s="2">
        <v>35013</v>
      </c>
      <c r="B35018" s="3" t="str">
        <f>"201511031399"</f>
        <v>201511031399</v>
      </c>
    </row>
    <row r="35019" spans="1:2" x14ac:dyDescent="0.25">
      <c r="A35019" s="2">
        <v>35014</v>
      </c>
      <c r="B35019" s="3" t="str">
        <f>"201511031410"</f>
        <v>201511031410</v>
      </c>
    </row>
    <row r="35020" spans="1:2" x14ac:dyDescent="0.25">
      <c r="A35020" s="2">
        <v>35015</v>
      </c>
      <c r="B35020" s="3" t="str">
        <f>"201511031413"</f>
        <v>201511031413</v>
      </c>
    </row>
    <row r="35021" spans="1:2" x14ac:dyDescent="0.25">
      <c r="A35021" s="2">
        <v>35016</v>
      </c>
      <c r="B35021" s="3" t="str">
        <f>"201511031456"</f>
        <v>201511031456</v>
      </c>
    </row>
    <row r="35022" spans="1:2" x14ac:dyDescent="0.25">
      <c r="A35022" s="2">
        <v>35017</v>
      </c>
      <c r="B35022" s="3" t="str">
        <f>"201511031477"</f>
        <v>201511031477</v>
      </c>
    </row>
    <row r="35023" spans="1:2" x14ac:dyDescent="0.25">
      <c r="A35023" s="2">
        <v>35018</v>
      </c>
      <c r="B35023" s="3" t="str">
        <f>"201511031480"</f>
        <v>201511031480</v>
      </c>
    </row>
    <row r="35024" spans="1:2" x14ac:dyDescent="0.25">
      <c r="A35024" s="2">
        <v>35019</v>
      </c>
      <c r="B35024" s="3" t="str">
        <f>"201511031484"</f>
        <v>201511031484</v>
      </c>
    </row>
    <row r="35025" spans="1:2" x14ac:dyDescent="0.25">
      <c r="A35025" s="2">
        <v>35020</v>
      </c>
      <c r="B35025" s="3" t="str">
        <f>"201511031506"</f>
        <v>201511031506</v>
      </c>
    </row>
    <row r="35026" spans="1:2" x14ac:dyDescent="0.25">
      <c r="A35026" s="2">
        <v>35021</v>
      </c>
      <c r="B35026" s="3" t="str">
        <f>"201511031513"</f>
        <v>201511031513</v>
      </c>
    </row>
    <row r="35027" spans="1:2" x14ac:dyDescent="0.25">
      <c r="A35027" s="2">
        <v>35022</v>
      </c>
      <c r="B35027" s="3" t="str">
        <f>"201511031544"</f>
        <v>201511031544</v>
      </c>
    </row>
    <row r="35028" spans="1:2" x14ac:dyDescent="0.25">
      <c r="A35028" s="2">
        <v>35023</v>
      </c>
      <c r="B35028" s="3" t="str">
        <f>"201511031547"</f>
        <v>201511031547</v>
      </c>
    </row>
    <row r="35029" spans="1:2" x14ac:dyDescent="0.25">
      <c r="A35029" s="2">
        <v>35024</v>
      </c>
      <c r="B35029" s="3" t="str">
        <f>"201511031552"</f>
        <v>201511031552</v>
      </c>
    </row>
    <row r="35030" spans="1:2" x14ac:dyDescent="0.25">
      <c r="A35030" s="2">
        <v>35025</v>
      </c>
      <c r="B35030" s="3" t="str">
        <f>"201511031565"</f>
        <v>201511031565</v>
      </c>
    </row>
    <row r="35031" spans="1:2" x14ac:dyDescent="0.25">
      <c r="A35031" s="2">
        <v>35026</v>
      </c>
      <c r="B35031" s="3" t="str">
        <f>"201511031567"</f>
        <v>201511031567</v>
      </c>
    </row>
    <row r="35032" spans="1:2" x14ac:dyDescent="0.25">
      <c r="A35032" s="2">
        <v>35027</v>
      </c>
      <c r="B35032" s="3" t="str">
        <f>"201511031571"</f>
        <v>201511031571</v>
      </c>
    </row>
    <row r="35033" spans="1:2" x14ac:dyDescent="0.25">
      <c r="A35033" s="2">
        <v>35028</v>
      </c>
      <c r="B35033" s="3" t="str">
        <f>"201511031573"</f>
        <v>201511031573</v>
      </c>
    </row>
    <row r="35034" spans="1:2" x14ac:dyDescent="0.25">
      <c r="A35034" s="2">
        <v>35029</v>
      </c>
      <c r="B35034" s="3" t="str">
        <f>"201511031605"</f>
        <v>201511031605</v>
      </c>
    </row>
    <row r="35035" spans="1:2" x14ac:dyDescent="0.25">
      <c r="A35035" s="2">
        <v>35030</v>
      </c>
      <c r="B35035" s="3" t="str">
        <f>"201511031606"</f>
        <v>201511031606</v>
      </c>
    </row>
    <row r="35036" spans="1:2" x14ac:dyDescent="0.25">
      <c r="A35036" s="2">
        <v>35031</v>
      </c>
      <c r="B35036" s="3" t="str">
        <f>"201511031618"</f>
        <v>201511031618</v>
      </c>
    </row>
    <row r="35037" spans="1:2" x14ac:dyDescent="0.25">
      <c r="A35037" s="2">
        <v>35032</v>
      </c>
      <c r="B35037" s="3" t="str">
        <f>"201511031629"</f>
        <v>201511031629</v>
      </c>
    </row>
    <row r="35038" spans="1:2" x14ac:dyDescent="0.25">
      <c r="A35038" s="2">
        <v>35033</v>
      </c>
      <c r="B35038" s="3" t="str">
        <f>"201511031641"</f>
        <v>201511031641</v>
      </c>
    </row>
    <row r="35039" spans="1:2" x14ac:dyDescent="0.25">
      <c r="A35039" s="2">
        <v>35034</v>
      </c>
      <c r="B35039" s="3" t="str">
        <f>"201511031651"</f>
        <v>201511031651</v>
      </c>
    </row>
    <row r="35040" spans="1:2" x14ac:dyDescent="0.25">
      <c r="A35040" s="2">
        <v>35035</v>
      </c>
      <c r="B35040" s="3" t="str">
        <f>"201511031666"</f>
        <v>201511031666</v>
      </c>
    </row>
    <row r="35041" spans="1:2" x14ac:dyDescent="0.25">
      <c r="A35041" s="2">
        <v>35036</v>
      </c>
      <c r="B35041" s="3" t="str">
        <f>"201511031702"</f>
        <v>201511031702</v>
      </c>
    </row>
    <row r="35042" spans="1:2" x14ac:dyDescent="0.25">
      <c r="A35042" s="2">
        <v>35037</v>
      </c>
      <c r="B35042" s="3" t="str">
        <f>"201511031727"</f>
        <v>201511031727</v>
      </c>
    </row>
    <row r="35043" spans="1:2" x14ac:dyDescent="0.25">
      <c r="A35043" s="2">
        <v>35038</v>
      </c>
      <c r="B35043" s="3" t="str">
        <f>"201511031748"</f>
        <v>201511031748</v>
      </c>
    </row>
    <row r="35044" spans="1:2" x14ac:dyDescent="0.25">
      <c r="A35044" s="2">
        <v>35039</v>
      </c>
      <c r="B35044" s="3" t="str">
        <f>"201511031769"</f>
        <v>201511031769</v>
      </c>
    </row>
    <row r="35045" spans="1:2" x14ac:dyDescent="0.25">
      <c r="A35045" s="2">
        <v>35040</v>
      </c>
      <c r="B35045" s="3" t="str">
        <f>"201511031798"</f>
        <v>201511031798</v>
      </c>
    </row>
    <row r="35046" spans="1:2" x14ac:dyDescent="0.25">
      <c r="A35046" s="2">
        <v>35041</v>
      </c>
      <c r="B35046" s="3" t="str">
        <f>"201511031861"</f>
        <v>201511031861</v>
      </c>
    </row>
    <row r="35047" spans="1:2" x14ac:dyDescent="0.25">
      <c r="A35047" s="2">
        <v>35042</v>
      </c>
      <c r="B35047" s="3" t="str">
        <f>"201511031874"</f>
        <v>201511031874</v>
      </c>
    </row>
    <row r="35048" spans="1:2" x14ac:dyDescent="0.25">
      <c r="A35048" s="2">
        <v>35043</v>
      </c>
      <c r="B35048" s="3" t="str">
        <f>"201511031882"</f>
        <v>201511031882</v>
      </c>
    </row>
    <row r="35049" spans="1:2" x14ac:dyDescent="0.25">
      <c r="A35049" s="2">
        <v>35044</v>
      </c>
      <c r="B35049" s="3" t="str">
        <f>"201511031908"</f>
        <v>201511031908</v>
      </c>
    </row>
    <row r="35050" spans="1:2" x14ac:dyDescent="0.25">
      <c r="A35050" s="2">
        <v>35045</v>
      </c>
      <c r="B35050" s="3" t="str">
        <f>"201511031918"</f>
        <v>201511031918</v>
      </c>
    </row>
    <row r="35051" spans="1:2" x14ac:dyDescent="0.25">
      <c r="A35051" s="2">
        <v>35046</v>
      </c>
      <c r="B35051" s="3" t="str">
        <f>"201511031935"</f>
        <v>201511031935</v>
      </c>
    </row>
    <row r="35052" spans="1:2" x14ac:dyDescent="0.25">
      <c r="A35052" s="2">
        <v>35047</v>
      </c>
      <c r="B35052" s="3" t="str">
        <f>"201511031941"</f>
        <v>201511031941</v>
      </c>
    </row>
    <row r="35053" spans="1:2" x14ac:dyDescent="0.25">
      <c r="A35053" s="2">
        <v>35048</v>
      </c>
      <c r="B35053" s="3" t="str">
        <f>"201511031957"</f>
        <v>201511031957</v>
      </c>
    </row>
    <row r="35054" spans="1:2" x14ac:dyDescent="0.25">
      <c r="A35054" s="2">
        <v>35049</v>
      </c>
      <c r="B35054" s="3" t="str">
        <f>"201511031965"</f>
        <v>201511031965</v>
      </c>
    </row>
    <row r="35055" spans="1:2" x14ac:dyDescent="0.25">
      <c r="A35055" s="2">
        <v>35050</v>
      </c>
      <c r="B35055" s="3" t="str">
        <f>"201511032001"</f>
        <v>201511032001</v>
      </c>
    </row>
    <row r="35056" spans="1:2" x14ac:dyDescent="0.25">
      <c r="A35056" s="2">
        <v>35051</v>
      </c>
      <c r="B35056" s="3" t="str">
        <f>"201511032002"</f>
        <v>201511032002</v>
      </c>
    </row>
    <row r="35057" spans="1:2" x14ac:dyDescent="0.25">
      <c r="A35057" s="2">
        <v>35052</v>
      </c>
      <c r="B35057" s="3" t="str">
        <f>"201511032032"</f>
        <v>201511032032</v>
      </c>
    </row>
    <row r="35058" spans="1:2" x14ac:dyDescent="0.25">
      <c r="A35058" s="2">
        <v>35053</v>
      </c>
      <c r="B35058" s="3" t="str">
        <f>"201511032043"</f>
        <v>201511032043</v>
      </c>
    </row>
    <row r="35059" spans="1:2" x14ac:dyDescent="0.25">
      <c r="A35059" s="2">
        <v>35054</v>
      </c>
      <c r="B35059" s="3" t="str">
        <f>"201511032072"</f>
        <v>201511032072</v>
      </c>
    </row>
    <row r="35060" spans="1:2" x14ac:dyDescent="0.25">
      <c r="A35060" s="2">
        <v>35055</v>
      </c>
      <c r="B35060" s="3" t="str">
        <f>"201511032077"</f>
        <v>201511032077</v>
      </c>
    </row>
    <row r="35061" spans="1:2" x14ac:dyDescent="0.25">
      <c r="A35061" s="2">
        <v>35056</v>
      </c>
      <c r="B35061" s="3" t="str">
        <f>"201511032088"</f>
        <v>201511032088</v>
      </c>
    </row>
    <row r="35062" spans="1:2" x14ac:dyDescent="0.25">
      <c r="A35062" s="2">
        <v>35057</v>
      </c>
      <c r="B35062" s="3" t="str">
        <f>"201511032097"</f>
        <v>201511032097</v>
      </c>
    </row>
    <row r="35063" spans="1:2" x14ac:dyDescent="0.25">
      <c r="A35063" s="2">
        <v>35058</v>
      </c>
      <c r="B35063" s="3" t="str">
        <f>"201511032115"</f>
        <v>201511032115</v>
      </c>
    </row>
    <row r="35064" spans="1:2" x14ac:dyDescent="0.25">
      <c r="A35064" s="2">
        <v>35059</v>
      </c>
      <c r="B35064" s="3" t="str">
        <f>"201511032199"</f>
        <v>201511032199</v>
      </c>
    </row>
    <row r="35065" spans="1:2" x14ac:dyDescent="0.25">
      <c r="A35065" s="2">
        <v>35060</v>
      </c>
      <c r="B35065" s="3" t="str">
        <f>"201511032217"</f>
        <v>201511032217</v>
      </c>
    </row>
    <row r="35066" spans="1:2" x14ac:dyDescent="0.25">
      <c r="A35066" s="2">
        <v>35061</v>
      </c>
      <c r="B35066" s="3" t="str">
        <f>"201511032223"</f>
        <v>201511032223</v>
      </c>
    </row>
    <row r="35067" spans="1:2" x14ac:dyDescent="0.25">
      <c r="A35067" s="2">
        <v>35062</v>
      </c>
      <c r="B35067" s="3" t="str">
        <f>"201511032242"</f>
        <v>201511032242</v>
      </c>
    </row>
    <row r="35068" spans="1:2" x14ac:dyDescent="0.25">
      <c r="A35068" s="2">
        <v>35063</v>
      </c>
      <c r="B35068" s="3" t="str">
        <f>"201511032255"</f>
        <v>201511032255</v>
      </c>
    </row>
    <row r="35069" spans="1:2" x14ac:dyDescent="0.25">
      <c r="A35069" s="2">
        <v>35064</v>
      </c>
      <c r="B35069" s="3" t="str">
        <f>"201511032267"</f>
        <v>201511032267</v>
      </c>
    </row>
    <row r="35070" spans="1:2" x14ac:dyDescent="0.25">
      <c r="A35070" s="2">
        <v>35065</v>
      </c>
      <c r="B35070" s="3" t="str">
        <f>"201511032294"</f>
        <v>201511032294</v>
      </c>
    </row>
    <row r="35071" spans="1:2" x14ac:dyDescent="0.25">
      <c r="A35071" s="2">
        <v>35066</v>
      </c>
      <c r="B35071" s="3" t="str">
        <f>"201511032300"</f>
        <v>201511032300</v>
      </c>
    </row>
    <row r="35072" spans="1:2" x14ac:dyDescent="0.25">
      <c r="A35072" s="2">
        <v>35067</v>
      </c>
      <c r="B35072" s="3" t="str">
        <f>"201511032337"</f>
        <v>201511032337</v>
      </c>
    </row>
    <row r="35073" spans="1:2" x14ac:dyDescent="0.25">
      <c r="A35073" s="2">
        <v>35068</v>
      </c>
      <c r="B35073" s="3" t="str">
        <f>"201511032362"</f>
        <v>201511032362</v>
      </c>
    </row>
    <row r="35074" spans="1:2" x14ac:dyDescent="0.25">
      <c r="A35074" s="2">
        <v>35069</v>
      </c>
      <c r="B35074" s="3" t="str">
        <f>"201511032370"</f>
        <v>201511032370</v>
      </c>
    </row>
    <row r="35075" spans="1:2" x14ac:dyDescent="0.25">
      <c r="A35075" s="2">
        <v>35070</v>
      </c>
      <c r="B35075" s="3" t="str">
        <f>"201511032375"</f>
        <v>201511032375</v>
      </c>
    </row>
    <row r="35076" spans="1:2" x14ac:dyDescent="0.25">
      <c r="A35076" s="2">
        <v>35071</v>
      </c>
      <c r="B35076" s="3" t="str">
        <f>"201511032376"</f>
        <v>201511032376</v>
      </c>
    </row>
    <row r="35077" spans="1:2" x14ac:dyDescent="0.25">
      <c r="A35077" s="2">
        <v>35072</v>
      </c>
      <c r="B35077" s="3" t="str">
        <f>"201511032381"</f>
        <v>201511032381</v>
      </c>
    </row>
    <row r="35078" spans="1:2" x14ac:dyDescent="0.25">
      <c r="A35078" s="2">
        <v>35073</v>
      </c>
      <c r="B35078" s="3" t="str">
        <f>"201511032390"</f>
        <v>201511032390</v>
      </c>
    </row>
    <row r="35079" spans="1:2" x14ac:dyDescent="0.25">
      <c r="A35079" s="2">
        <v>35074</v>
      </c>
      <c r="B35079" s="3" t="str">
        <f>"201511032435"</f>
        <v>201511032435</v>
      </c>
    </row>
    <row r="35080" spans="1:2" x14ac:dyDescent="0.25">
      <c r="A35080" s="2">
        <v>35075</v>
      </c>
      <c r="B35080" s="3" t="str">
        <f>"201511032454"</f>
        <v>201511032454</v>
      </c>
    </row>
    <row r="35081" spans="1:2" x14ac:dyDescent="0.25">
      <c r="A35081" s="2">
        <v>35076</v>
      </c>
      <c r="B35081" s="3" t="str">
        <f>"201511032464"</f>
        <v>201511032464</v>
      </c>
    </row>
    <row r="35082" spans="1:2" x14ac:dyDescent="0.25">
      <c r="A35082" s="2">
        <v>35077</v>
      </c>
      <c r="B35082" s="3" t="str">
        <f>"201511032470"</f>
        <v>201511032470</v>
      </c>
    </row>
    <row r="35083" spans="1:2" x14ac:dyDescent="0.25">
      <c r="A35083" s="2">
        <v>35078</v>
      </c>
      <c r="B35083" s="3" t="str">
        <f>"201511032488"</f>
        <v>201511032488</v>
      </c>
    </row>
    <row r="35084" spans="1:2" x14ac:dyDescent="0.25">
      <c r="A35084" s="2">
        <v>35079</v>
      </c>
      <c r="B35084" s="3" t="str">
        <f>"201511032495"</f>
        <v>201511032495</v>
      </c>
    </row>
    <row r="35085" spans="1:2" x14ac:dyDescent="0.25">
      <c r="A35085" s="2">
        <v>35080</v>
      </c>
      <c r="B35085" s="3" t="str">
        <f>"201511032511"</f>
        <v>201511032511</v>
      </c>
    </row>
    <row r="35086" spans="1:2" x14ac:dyDescent="0.25">
      <c r="A35086" s="2">
        <v>35081</v>
      </c>
      <c r="B35086" s="3" t="str">
        <f>"201511032523"</f>
        <v>201511032523</v>
      </c>
    </row>
    <row r="35087" spans="1:2" x14ac:dyDescent="0.25">
      <c r="A35087" s="2">
        <v>35082</v>
      </c>
      <c r="B35087" s="3" t="str">
        <f>"201511032543"</f>
        <v>201511032543</v>
      </c>
    </row>
    <row r="35088" spans="1:2" x14ac:dyDescent="0.25">
      <c r="A35088" s="2">
        <v>35083</v>
      </c>
      <c r="B35088" s="3" t="str">
        <f>"201511032597"</f>
        <v>201511032597</v>
      </c>
    </row>
    <row r="35089" spans="1:2" x14ac:dyDescent="0.25">
      <c r="A35089" s="2">
        <v>35084</v>
      </c>
      <c r="B35089" s="3" t="str">
        <f>"201511032598"</f>
        <v>201511032598</v>
      </c>
    </row>
    <row r="35090" spans="1:2" x14ac:dyDescent="0.25">
      <c r="A35090" s="2">
        <v>35085</v>
      </c>
      <c r="B35090" s="3" t="str">
        <f>"201511032631"</f>
        <v>201511032631</v>
      </c>
    </row>
    <row r="35091" spans="1:2" x14ac:dyDescent="0.25">
      <c r="A35091" s="2">
        <v>35086</v>
      </c>
      <c r="B35091" s="3" t="str">
        <f>"201511032634"</f>
        <v>201511032634</v>
      </c>
    </row>
    <row r="35092" spans="1:2" x14ac:dyDescent="0.25">
      <c r="A35092" s="2">
        <v>35087</v>
      </c>
      <c r="B35092" s="3" t="str">
        <f>"201511032637"</f>
        <v>201511032637</v>
      </c>
    </row>
    <row r="35093" spans="1:2" x14ac:dyDescent="0.25">
      <c r="A35093" s="2">
        <v>35088</v>
      </c>
      <c r="B35093" s="3" t="str">
        <f>"201511032638"</f>
        <v>201511032638</v>
      </c>
    </row>
    <row r="35094" spans="1:2" x14ac:dyDescent="0.25">
      <c r="A35094" s="2">
        <v>35089</v>
      </c>
      <c r="B35094" s="3" t="str">
        <f>"201511032652"</f>
        <v>201511032652</v>
      </c>
    </row>
    <row r="35095" spans="1:2" x14ac:dyDescent="0.25">
      <c r="A35095" s="2">
        <v>35090</v>
      </c>
      <c r="B35095" s="3" t="str">
        <f>"201511032665"</f>
        <v>201511032665</v>
      </c>
    </row>
    <row r="35096" spans="1:2" x14ac:dyDescent="0.25">
      <c r="A35096" s="2">
        <v>35091</v>
      </c>
      <c r="B35096" s="3" t="str">
        <f>"201511032673"</f>
        <v>201511032673</v>
      </c>
    </row>
    <row r="35097" spans="1:2" x14ac:dyDescent="0.25">
      <c r="A35097" s="2">
        <v>35092</v>
      </c>
      <c r="B35097" s="3" t="str">
        <f>"201511032707"</f>
        <v>201511032707</v>
      </c>
    </row>
    <row r="35098" spans="1:2" x14ac:dyDescent="0.25">
      <c r="A35098" s="2">
        <v>35093</v>
      </c>
      <c r="B35098" s="3" t="str">
        <f>"201511032757"</f>
        <v>201511032757</v>
      </c>
    </row>
    <row r="35099" spans="1:2" x14ac:dyDescent="0.25">
      <c r="A35099" s="2">
        <v>35094</v>
      </c>
      <c r="B35099" s="3" t="str">
        <f>"201511032809"</f>
        <v>201511032809</v>
      </c>
    </row>
    <row r="35100" spans="1:2" x14ac:dyDescent="0.25">
      <c r="A35100" s="2">
        <v>35095</v>
      </c>
      <c r="B35100" s="3" t="str">
        <f>"201511032815"</f>
        <v>201511032815</v>
      </c>
    </row>
    <row r="35101" spans="1:2" x14ac:dyDescent="0.25">
      <c r="A35101" s="2">
        <v>35096</v>
      </c>
      <c r="B35101" s="3" t="str">
        <f>"201511032817"</f>
        <v>201511032817</v>
      </c>
    </row>
    <row r="35102" spans="1:2" x14ac:dyDescent="0.25">
      <c r="A35102" s="2">
        <v>35097</v>
      </c>
      <c r="B35102" s="3" t="str">
        <f>"201511032834"</f>
        <v>201511032834</v>
      </c>
    </row>
    <row r="35103" spans="1:2" x14ac:dyDescent="0.25">
      <c r="A35103" s="2">
        <v>35098</v>
      </c>
      <c r="B35103" s="3" t="str">
        <f>"201511032869"</f>
        <v>201511032869</v>
      </c>
    </row>
    <row r="35104" spans="1:2" x14ac:dyDescent="0.25">
      <c r="A35104" s="2">
        <v>35099</v>
      </c>
      <c r="B35104" s="3" t="str">
        <f>"201511032881"</f>
        <v>201511032881</v>
      </c>
    </row>
    <row r="35105" spans="1:2" x14ac:dyDescent="0.25">
      <c r="A35105" s="2">
        <v>35100</v>
      </c>
      <c r="B35105" s="3" t="str">
        <f>"201511032903"</f>
        <v>201511032903</v>
      </c>
    </row>
    <row r="35106" spans="1:2" x14ac:dyDescent="0.25">
      <c r="A35106" s="2">
        <v>35101</v>
      </c>
      <c r="B35106" s="3" t="str">
        <f>"201511032909"</f>
        <v>201511032909</v>
      </c>
    </row>
    <row r="35107" spans="1:2" x14ac:dyDescent="0.25">
      <c r="A35107" s="2">
        <v>35102</v>
      </c>
      <c r="B35107" s="3" t="str">
        <f>"201511032924"</f>
        <v>201511032924</v>
      </c>
    </row>
    <row r="35108" spans="1:2" x14ac:dyDescent="0.25">
      <c r="A35108" s="2">
        <v>35103</v>
      </c>
      <c r="B35108" s="3" t="str">
        <f>"201511032942"</f>
        <v>201511032942</v>
      </c>
    </row>
    <row r="35109" spans="1:2" x14ac:dyDescent="0.25">
      <c r="A35109" s="2">
        <v>35104</v>
      </c>
      <c r="B35109" s="3" t="str">
        <f>"201511032972"</f>
        <v>201511032972</v>
      </c>
    </row>
    <row r="35110" spans="1:2" x14ac:dyDescent="0.25">
      <c r="A35110" s="2">
        <v>35105</v>
      </c>
      <c r="B35110" s="3" t="str">
        <f>"201511033009"</f>
        <v>201511033009</v>
      </c>
    </row>
    <row r="35111" spans="1:2" x14ac:dyDescent="0.25">
      <c r="A35111" s="2">
        <v>35106</v>
      </c>
      <c r="B35111" s="3" t="str">
        <f>"201511033017"</f>
        <v>201511033017</v>
      </c>
    </row>
    <row r="35112" spans="1:2" x14ac:dyDescent="0.25">
      <c r="A35112" s="2">
        <v>35107</v>
      </c>
      <c r="B35112" s="3" t="str">
        <f>"201511033028"</f>
        <v>201511033028</v>
      </c>
    </row>
    <row r="35113" spans="1:2" x14ac:dyDescent="0.25">
      <c r="A35113" s="2">
        <v>35108</v>
      </c>
      <c r="B35113" s="3" t="str">
        <f>"201511033029"</f>
        <v>201511033029</v>
      </c>
    </row>
    <row r="35114" spans="1:2" x14ac:dyDescent="0.25">
      <c r="A35114" s="2">
        <v>35109</v>
      </c>
      <c r="B35114" s="3" t="str">
        <f>"201511033032"</f>
        <v>201511033032</v>
      </c>
    </row>
    <row r="35115" spans="1:2" x14ac:dyDescent="0.25">
      <c r="A35115" s="2">
        <v>35110</v>
      </c>
      <c r="B35115" s="3" t="str">
        <f>"201511033044"</f>
        <v>201511033044</v>
      </c>
    </row>
    <row r="35116" spans="1:2" x14ac:dyDescent="0.25">
      <c r="A35116" s="2">
        <v>35111</v>
      </c>
      <c r="B35116" s="3" t="str">
        <f>"201511033064"</f>
        <v>201511033064</v>
      </c>
    </row>
    <row r="35117" spans="1:2" x14ac:dyDescent="0.25">
      <c r="A35117" s="2">
        <v>35112</v>
      </c>
      <c r="B35117" s="3" t="str">
        <f>"201511033113"</f>
        <v>201511033113</v>
      </c>
    </row>
    <row r="35118" spans="1:2" x14ac:dyDescent="0.25">
      <c r="A35118" s="2">
        <v>35113</v>
      </c>
      <c r="B35118" s="3" t="str">
        <f>"201511033120"</f>
        <v>201511033120</v>
      </c>
    </row>
    <row r="35119" spans="1:2" x14ac:dyDescent="0.25">
      <c r="A35119" s="2">
        <v>35114</v>
      </c>
      <c r="B35119" s="3" t="str">
        <f>"201511033140"</f>
        <v>201511033140</v>
      </c>
    </row>
    <row r="35120" spans="1:2" x14ac:dyDescent="0.25">
      <c r="A35120" s="2">
        <v>35115</v>
      </c>
      <c r="B35120" s="3" t="str">
        <f>"201511033141"</f>
        <v>201511033141</v>
      </c>
    </row>
    <row r="35121" spans="1:2" x14ac:dyDescent="0.25">
      <c r="A35121" s="2">
        <v>35116</v>
      </c>
      <c r="B35121" s="3" t="str">
        <f>"201511033145"</f>
        <v>201511033145</v>
      </c>
    </row>
    <row r="35122" spans="1:2" x14ac:dyDescent="0.25">
      <c r="A35122" s="2">
        <v>35117</v>
      </c>
      <c r="B35122" s="3" t="str">
        <f>"201511033151"</f>
        <v>201511033151</v>
      </c>
    </row>
    <row r="35123" spans="1:2" x14ac:dyDescent="0.25">
      <c r="A35123" s="2">
        <v>35118</v>
      </c>
      <c r="B35123" s="3" t="str">
        <f>"201511033170"</f>
        <v>201511033170</v>
      </c>
    </row>
    <row r="35124" spans="1:2" x14ac:dyDescent="0.25">
      <c r="A35124" s="2">
        <v>35119</v>
      </c>
      <c r="B35124" s="3" t="str">
        <f>"201511033181"</f>
        <v>201511033181</v>
      </c>
    </row>
    <row r="35125" spans="1:2" x14ac:dyDescent="0.25">
      <c r="A35125" s="2">
        <v>35120</v>
      </c>
      <c r="B35125" s="3" t="str">
        <f>"201511033183"</f>
        <v>201511033183</v>
      </c>
    </row>
    <row r="35126" spans="1:2" x14ac:dyDescent="0.25">
      <c r="A35126" s="2">
        <v>35121</v>
      </c>
      <c r="B35126" s="3" t="str">
        <f>"201511033186"</f>
        <v>201511033186</v>
      </c>
    </row>
    <row r="35127" spans="1:2" x14ac:dyDescent="0.25">
      <c r="A35127" s="2">
        <v>35122</v>
      </c>
      <c r="B35127" s="3" t="str">
        <f>"201511033189"</f>
        <v>201511033189</v>
      </c>
    </row>
    <row r="35128" spans="1:2" x14ac:dyDescent="0.25">
      <c r="A35128" s="2">
        <v>35123</v>
      </c>
      <c r="B35128" s="3" t="str">
        <f>"201511033205"</f>
        <v>201511033205</v>
      </c>
    </row>
    <row r="35129" spans="1:2" x14ac:dyDescent="0.25">
      <c r="A35129" s="2">
        <v>35124</v>
      </c>
      <c r="B35129" s="3" t="str">
        <f>"201511033206"</f>
        <v>201511033206</v>
      </c>
    </row>
    <row r="35130" spans="1:2" x14ac:dyDescent="0.25">
      <c r="A35130" s="2">
        <v>35125</v>
      </c>
      <c r="B35130" s="3" t="str">
        <f>"201511033252"</f>
        <v>201511033252</v>
      </c>
    </row>
    <row r="35131" spans="1:2" x14ac:dyDescent="0.25">
      <c r="A35131" s="2">
        <v>35126</v>
      </c>
      <c r="B35131" s="3" t="str">
        <f>"201511033265"</f>
        <v>201511033265</v>
      </c>
    </row>
    <row r="35132" spans="1:2" x14ac:dyDescent="0.25">
      <c r="A35132" s="2">
        <v>35127</v>
      </c>
      <c r="B35132" s="3" t="str">
        <f>"201511033279"</f>
        <v>201511033279</v>
      </c>
    </row>
    <row r="35133" spans="1:2" x14ac:dyDescent="0.25">
      <c r="A35133" s="2">
        <v>35128</v>
      </c>
      <c r="B35133" s="3" t="str">
        <f>"201511033293"</f>
        <v>201511033293</v>
      </c>
    </row>
    <row r="35134" spans="1:2" x14ac:dyDescent="0.25">
      <c r="A35134" s="2">
        <v>35129</v>
      </c>
      <c r="B35134" s="3" t="str">
        <f>"201511033296"</f>
        <v>201511033296</v>
      </c>
    </row>
    <row r="35135" spans="1:2" x14ac:dyDescent="0.25">
      <c r="A35135" s="2">
        <v>35130</v>
      </c>
      <c r="B35135" s="3" t="str">
        <f>"201511033307"</f>
        <v>201511033307</v>
      </c>
    </row>
    <row r="35136" spans="1:2" x14ac:dyDescent="0.25">
      <c r="A35136" s="2">
        <v>35131</v>
      </c>
      <c r="B35136" s="3" t="str">
        <f>"201511033311"</f>
        <v>201511033311</v>
      </c>
    </row>
    <row r="35137" spans="1:2" x14ac:dyDescent="0.25">
      <c r="A35137" s="2">
        <v>35132</v>
      </c>
      <c r="B35137" s="3" t="str">
        <f>"201511033330"</f>
        <v>201511033330</v>
      </c>
    </row>
    <row r="35138" spans="1:2" x14ac:dyDescent="0.25">
      <c r="A35138" s="2">
        <v>35133</v>
      </c>
      <c r="B35138" s="3" t="str">
        <f>"201511033334"</f>
        <v>201511033334</v>
      </c>
    </row>
    <row r="35139" spans="1:2" x14ac:dyDescent="0.25">
      <c r="A35139" s="2">
        <v>35134</v>
      </c>
      <c r="B35139" s="3" t="str">
        <f>"201511033336"</f>
        <v>201511033336</v>
      </c>
    </row>
    <row r="35140" spans="1:2" x14ac:dyDescent="0.25">
      <c r="A35140" s="2">
        <v>35135</v>
      </c>
      <c r="B35140" s="3" t="str">
        <f>"201511033367"</f>
        <v>201511033367</v>
      </c>
    </row>
    <row r="35141" spans="1:2" x14ac:dyDescent="0.25">
      <c r="A35141" s="2">
        <v>35136</v>
      </c>
      <c r="B35141" s="3" t="str">
        <f>"201511033383"</f>
        <v>201511033383</v>
      </c>
    </row>
    <row r="35142" spans="1:2" x14ac:dyDescent="0.25">
      <c r="A35142" s="2">
        <v>35137</v>
      </c>
      <c r="B35142" s="3" t="str">
        <f>"201511033390"</f>
        <v>201511033390</v>
      </c>
    </row>
    <row r="35143" spans="1:2" x14ac:dyDescent="0.25">
      <c r="A35143" s="2">
        <v>35138</v>
      </c>
      <c r="B35143" s="3" t="str">
        <f>"201511033453"</f>
        <v>201511033453</v>
      </c>
    </row>
    <row r="35144" spans="1:2" x14ac:dyDescent="0.25">
      <c r="A35144" s="2">
        <v>35139</v>
      </c>
      <c r="B35144" s="3" t="str">
        <f>"201511033480"</f>
        <v>201511033480</v>
      </c>
    </row>
    <row r="35145" spans="1:2" x14ac:dyDescent="0.25">
      <c r="A35145" s="2">
        <v>35140</v>
      </c>
      <c r="B35145" s="3" t="str">
        <f>"201511033484"</f>
        <v>201511033484</v>
      </c>
    </row>
    <row r="35146" spans="1:2" x14ac:dyDescent="0.25">
      <c r="A35146" s="2">
        <v>35141</v>
      </c>
      <c r="B35146" s="3" t="str">
        <f>"201511033499"</f>
        <v>201511033499</v>
      </c>
    </row>
    <row r="35147" spans="1:2" x14ac:dyDescent="0.25">
      <c r="A35147" s="2">
        <v>35142</v>
      </c>
      <c r="B35147" s="3" t="str">
        <f>"201511033513"</f>
        <v>201511033513</v>
      </c>
    </row>
    <row r="35148" spans="1:2" x14ac:dyDescent="0.25">
      <c r="A35148" s="2">
        <v>35143</v>
      </c>
      <c r="B35148" s="3" t="str">
        <f>"201511033526"</f>
        <v>201511033526</v>
      </c>
    </row>
    <row r="35149" spans="1:2" x14ac:dyDescent="0.25">
      <c r="A35149" s="2">
        <v>35144</v>
      </c>
      <c r="B35149" s="3" t="str">
        <f>"201511033561"</f>
        <v>201511033561</v>
      </c>
    </row>
    <row r="35150" spans="1:2" x14ac:dyDescent="0.25">
      <c r="A35150" s="2">
        <v>35145</v>
      </c>
      <c r="B35150" s="3" t="str">
        <f>"201511033583"</f>
        <v>201511033583</v>
      </c>
    </row>
    <row r="35151" spans="1:2" x14ac:dyDescent="0.25">
      <c r="A35151" s="2">
        <v>35146</v>
      </c>
      <c r="B35151" s="3" t="str">
        <f>"201511033591"</f>
        <v>201511033591</v>
      </c>
    </row>
    <row r="35152" spans="1:2" x14ac:dyDescent="0.25">
      <c r="A35152" s="2">
        <v>35147</v>
      </c>
      <c r="B35152" s="3" t="str">
        <f>"201511033595"</f>
        <v>201511033595</v>
      </c>
    </row>
    <row r="35153" spans="1:2" x14ac:dyDescent="0.25">
      <c r="A35153" s="2">
        <v>35148</v>
      </c>
      <c r="B35153" s="3" t="str">
        <f>"201511033672"</f>
        <v>201511033672</v>
      </c>
    </row>
    <row r="35154" spans="1:2" x14ac:dyDescent="0.25">
      <c r="A35154" s="2">
        <v>35149</v>
      </c>
      <c r="B35154" s="3" t="str">
        <f>"201511033682"</f>
        <v>201511033682</v>
      </c>
    </row>
    <row r="35155" spans="1:2" x14ac:dyDescent="0.25">
      <c r="A35155" s="2">
        <v>35150</v>
      </c>
      <c r="B35155" s="3" t="str">
        <f>"201511033693"</f>
        <v>201511033693</v>
      </c>
    </row>
    <row r="35156" spans="1:2" x14ac:dyDescent="0.25">
      <c r="A35156" s="2">
        <v>35151</v>
      </c>
      <c r="B35156" s="3" t="str">
        <f>"201511033703"</f>
        <v>201511033703</v>
      </c>
    </row>
    <row r="35157" spans="1:2" x14ac:dyDescent="0.25">
      <c r="A35157" s="2">
        <v>35152</v>
      </c>
      <c r="B35157" s="3" t="str">
        <f>"201511033749"</f>
        <v>201511033749</v>
      </c>
    </row>
    <row r="35158" spans="1:2" x14ac:dyDescent="0.25">
      <c r="A35158" s="2">
        <v>35153</v>
      </c>
      <c r="B35158" s="3" t="str">
        <f>"201511033938"</f>
        <v>201511033938</v>
      </c>
    </row>
    <row r="35159" spans="1:2" x14ac:dyDescent="0.25">
      <c r="A35159" s="2">
        <v>35154</v>
      </c>
      <c r="B35159" s="3" t="str">
        <f>"201511033940"</f>
        <v>201511033940</v>
      </c>
    </row>
    <row r="35160" spans="1:2" x14ac:dyDescent="0.25">
      <c r="A35160" s="2">
        <v>35155</v>
      </c>
      <c r="B35160" s="3" t="str">
        <f>"201511033942"</f>
        <v>201511033942</v>
      </c>
    </row>
    <row r="35161" spans="1:2" x14ac:dyDescent="0.25">
      <c r="A35161" s="2">
        <v>35156</v>
      </c>
      <c r="B35161" s="3" t="str">
        <f>"201511033947"</f>
        <v>201511033947</v>
      </c>
    </row>
    <row r="35162" spans="1:2" x14ac:dyDescent="0.25">
      <c r="A35162" s="2">
        <v>35157</v>
      </c>
      <c r="B35162" s="3" t="str">
        <f>"201511033954"</f>
        <v>201511033954</v>
      </c>
    </row>
    <row r="35163" spans="1:2" x14ac:dyDescent="0.25">
      <c r="A35163" s="2">
        <v>35158</v>
      </c>
      <c r="B35163" s="3" t="str">
        <f>"201511033967"</f>
        <v>201511033967</v>
      </c>
    </row>
    <row r="35164" spans="1:2" x14ac:dyDescent="0.25">
      <c r="A35164" s="2">
        <v>35159</v>
      </c>
      <c r="B35164" s="3" t="str">
        <f>"201511033976"</f>
        <v>201511033976</v>
      </c>
    </row>
    <row r="35165" spans="1:2" x14ac:dyDescent="0.25">
      <c r="A35165" s="2">
        <v>35160</v>
      </c>
      <c r="B35165" s="3" t="str">
        <f>"201511033991"</f>
        <v>201511033991</v>
      </c>
    </row>
    <row r="35166" spans="1:2" x14ac:dyDescent="0.25">
      <c r="A35166" s="2">
        <v>35161</v>
      </c>
      <c r="B35166" s="3" t="str">
        <f>"201511033993"</f>
        <v>201511033993</v>
      </c>
    </row>
    <row r="35167" spans="1:2" x14ac:dyDescent="0.25">
      <c r="A35167" s="2">
        <v>35162</v>
      </c>
      <c r="B35167" s="3" t="str">
        <f>"201511034020"</f>
        <v>201511034020</v>
      </c>
    </row>
    <row r="35168" spans="1:2" x14ac:dyDescent="0.25">
      <c r="A35168" s="2">
        <v>35163</v>
      </c>
      <c r="B35168" s="3" t="str">
        <f>"201511034025"</f>
        <v>201511034025</v>
      </c>
    </row>
    <row r="35169" spans="1:2" x14ac:dyDescent="0.25">
      <c r="A35169" s="2">
        <v>35164</v>
      </c>
      <c r="B35169" s="3" t="str">
        <f>"201511034045"</f>
        <v>201511034045</v>
      </c>
    </row>
    <row r="35170" spans="1:2" x14ac:dyDescent="0.25">
      <c r="A35170" s="2">
        <v>35165</v>
      </c>
      <c r="B35170" s="3" t="str">
        <f>"201511034068"</f>
        <v>201511034068</v>
      </c>
    </row>
    <row r="35171" spans="1:2" x14ac:dyDescent="0.25">
      <c r="A35171" s="2">
        <v>35166</v>
      </c>
      <c r="B35171" s="3" t="str">
        <f>"201511034085"</f>
        <v>201511034085</v>
      </c>
    </row>
    <row r="35172" spans="1:2" x14ac:dyDescent="0.25">
      <c r="A35172" s="2">
        <v>35167</v>
      </c>
      <c r="B35172" s="3" t="str">
        <f>"201511034087"</f>
        <v>201511034087</v>
      </c>
    </row>
    <row r="35173" spans="1:2" x14ac:dyDescent="0.25">
      <c r="A35173" s="2">
        <v>35168</v>
      </c>
      <c r="B35173" s="3" t="str">
        <f>"201511034121"</f>
        <v>201511034121</v>
      </c>
    </row>
    <row r="35174" spans="1:2" x14ac:dyDescent="0.25">
      <c r="A35174" s="2">
        <v>35169</v>
      </c>
      <c r="B35174" s="3" t="str">
        <f>"201511034132"</f>
        <v>201511034132</v>
      </c>
    </row>
    <row r="35175" spans="1:2" x14ac:dyDescent="0.25">
      <c r="A35175" s="2">
        <v>35170</v>
      </c>
      <c r="B35175" s="3" t="str">
        <f>"201511034137"</f>
        <v>201511034137</v>
      </c>
    </row>
    <row r="35176" spans="1:2" x14ac:dyDescent="0.25">
      <c r="A35176" s="2">
        <v>35171</v>
      </c>
      <c r="B35176" s="3" t="str">
        <f>"201511034148"</f>
        <v>201511034148</v>
      </c>
    </row>
    <row r="35177" spans="1:2" x14ac:dyDescent="0.25">
      <c r="A35177" s="2">
        <v>35172</v>
      </c>
      <c r="B35177" s="3" t="str">
        <f>"201511034210"</f>
        <v>201511034210</v>
      </c>
    </row>
    <row r="35178" spans="1:2" x14ac:dyDescent="0.25">
      <c r="A35178" s="2">
        <v>35173</v>
      </c>
      <c r="B35178" s="3" t="str">
        <f>"201511034223"</f>
        <v>201511034223</v>
      </c>
    </row>
    <row r="35179" spans="1:2" x14ac:dyDescent="0.25">
      <c r="A35179" s="2">
        <v>35174</v>
      </c>
      <c r="B35179" s="3" t="str">
        <f>"201511034224"</f>
        <v>201511034224</v>
      </c>
    </row>
    <row r="35180" spans="1:2" x14ac:dyDescent="0.25">
      <c r="A35180" s="2">
        <v>35175</v>
      </c>
      <c r="B35180" s="3" t="str">
        <f>"201511034254"</f>
        <v>201511034254</v>
      </c>
    </row>
    <row r="35181" spans="1:2" x14ac:dyDescent="0.25">
      <c r="A35181" s="2">
        <v>35176</v>
      </c>
      <c r="B35181" s="3" t="str">
        <f>"201511034282"</f>
        <v>201511034282</v>
      </c>
    </row>
    <row r="35182" spans="1:2" x14ac:dyDescent="0.25">
      <c r="A35182" s="2">
        <v>35177</v>
      </c>
      <c r="B35182" s="3" t="str">
        <f>"201511034293"</f>
        <v>201511034293</v>
      </c>
    </row>
    <row r="35183" spans="1:2" x14ac:dyDescent="0.25">
      <c r="A35183" s="2">
        <v>35178</v>
      </c>
      <c r="B35183" s="3" t="str">
        <f>"201511034294"</f>
        <v>201511034294</v>
      </c>
    </row>
    <row r="35184" spans="1:2" x14ac:dyDescent="0.25">
      <c r="A35184" s="2">
        <v>35179</v>
      </c>
      <c r="B35184" s="3" t="str">
        <f>"201511034325"</f>
        <v>201511034325</v>
      </c>
    </row>
    <row r="35185" spans="1:2" x14ac:dyDescent="0.25">
      <c r="A35185" s="2">
        <v>35180</v>
      </c>
      <c r="B35185" s="3" t="str">
        <f>"201511034342"</f>
        <v>201511034342</v>
      </c>
    </row>
    <row r="35186" spans="1:2" x14ac:dyDescent="0.25">
      <c r="A35186" s="2">
        <v>35181</v>
      </c>
      <c r="B35186" s="3" t="str">
        <f>"201511034371"</f>
        <v>201511034371</v>
      </c>
    </row>
    <row r="35187" spans="1:2" x14ac:dyDescent="0.25">
      <c r="A35187" s="2">
        <v>35182</v>
      </c>
      <c r="B35187" s="3" t="str">
        <f>"201511034389"</f>
        <v>201511034389</v>
      </c>
    </row>
    <row r="35188" spans="1:2" x14ac:dyDescent="0.25">
      <c r="A35188" s="2">
        <v>35183</v>
      </c>
      <c r="B35188" s="3" t="str">
        <f>"201511034406"</f>
        <v>201511034406</v>
      </c>
    </row>
    <row r="35189" spans="1:2" x14ac:dyDescent="0.25">
      <c r="A35189" s="2">
        <v>35184</v>
      </c>
      <c r="B35189" s="3" t="str">
        <f>"201511034422"</f>
        <v>201511034422</v>
      </c>
    </row>
    <row r="35190" spans="1:2" x14ac:dyDescent="0.25">
      <c r="A35190" s="2">
        <v>35185</v>
      </c>
      <c r="B35190" s="3" t="str">
        <f>"201511034447"</f>
        <v>201511034447</v>
      </c>
    </row>
    <row r="35191" spans="1:2" x14ac:dyDescent="0.25">
      <c r="A35191" s="2">
        <v>35186</v>
      </c>
      <c r="B35191" s="3" t="str">
        <f>"201511034457"</f>
        <v>201511034457</v>
      </c>
    </row>
    <row r="35192" spans="1:2" x14ac:dyDescent="0.25">
      <c r="A35192" s="2">
        <v>35187</v>
      </c>
      <c r="B35192" s="3" t="str">
        <f>"201511034462"</f>
        <v>201511034462</v>
      </c>
    </row>
    <row r="35193" spans="1:2" x14ac:dyDescent="0.25">
      <c r="A35193" s="2">
        <v>35188</v>
      </c>
      <c r="B35193" s="3" t="str">
        <f>"201511034489"</f>
        <v>201511034489</v>
      </c>
    </row>
    <row r="35194" spans="1:2" x14ac:dyDescent="0.25">
      <c r="A35194" s="2">
        <v>35189</v>
      </c>
      <c r="B35194" s="3" t="str">
        <f>"201511034514"</f>
        <v>201511034514</v>
      </c>
    </row>
    <row r="35195" spans="1:2" x14ac:dyDescent="0.25">
      <c r="A35195" s="2">
        <v>35190</v>
      </c>
      <c r="B35195" s="3" t="str">
        <f>"201511034540"</f>
        <v>201511034540</v>
      </c>
    </row>
    <row r="35196" spans="1:2" x14ac:dyDescent="0.25">
      <c r="A35196" s="2">
        <v>35191</v>
      </c>
      <c r="B35196" s="3" t="str">
        <f>"201511034562"</f>
        <v>201511034562</v>
      </c>
    </row>
    <row r="35197" spans="1:2" x14ac:dyDescent="0.25">
      <c r="A35197" s="2">
        <v>35192</v>
      </c>
      <c r="B35197" s="3" t="str">
        <f>"201511034563"</f>
        <v>201511034563</v>
      </c>
    </row>
    <row r="35198" spans="1:2" x14ac:dyDescent="0.25">
      <c r="A35198" s="2">
        <v>35193</v>
      </c>
      <c r="B35198" s="3" t="str">
        <f>"201511034568"</f>
        <v>201511034568</v>
      </c>
    </row>
    <row r="35199" spans="1:2" x14ac:dyDescent="0.25">
      <c r="A35199" s="2">
        <v>35194</v>
      </c>
      <c r="B35199" s="3" t="str">
        <f>"201511034603"</f>
        <v>201511034603</v>
      </c>
    </row>
    <row r="35200" spans="1:2" x14ac:dyDescent="0.25">
      <c r="A35200" s="2">
        <v>35195</v>
      </c>
      <c r="B35200" s="3" t="str">
        <f>"201511034626"</f>
        <v>201511034626</v>
      </c>
    </row>
    <row r="35201" spans="1:2" x14ac:dyDescent="0.25">
      <c r="A35201" s="2">
        <v>35196</v>
      </c>
      <c r="B35201" s="3" t="str">
        <f>"201511034633"</f>
        <v>201511034633</v>
      </c>
    </row>
    <row r="35202" spans="1:2" x14ac:dyDescent="0.25">
      <c r="A35202" s="2">
        <v>35197</v>
      </c>
      <c r="B35202" s="3" t="str">
        <f>"201511034636"</f>
        <v>201511034636</v>
      </c>
    </row>
    <row r="35203" spans="1:2" x14ac:dyDescent="0.25">
      <c r="A35203" s="2">
        <v>35198</v>
      </c>
      <c r="B35203" s="3" t="str">
        <f>"201511034646"</f>
        <v>201511034646</v>
      </c>
    </row>
    <row r="35204" spans="1:2" x14ac:dyDescent="0.25">
      <c r="A35204" s="2">
        <v>35199</v>
      </c>
      <c r="B35204" s="3" t="str">
        <f>"201511034663"</f>
        <v>201511034663</v>
      </c>
    </row>
    <row r="35205" spans="1:2" x14ac:dyDescent="0.25">
      <c r="A35205" s="2">
        <v>35200</v>
      </c>
      <c r="B35205" s="3" t="str">
        <f>"201511034713"</f>
        <v>201511034713</v>
      </c>
    </row>
    <row r="35206" spans="1:2" x14ac:dyDescent="0.25">
      <c r="A35206" s="2">
        <v>35201</v>
      </c>
      <c r="B35206" s="3" t="str">
        <f>"201511034715"</f>
        <v>201511034715</v>
      </c>
    </row>
    <row r="35207" spans="1:2" x14ac:dyDescent="0.25">
      <c r="A35207" s="2">
        <v>35202</v>
      </c>
      <c r="B35207" s="3" t="str">
        <f>"201511034725"</f>
        <v>201511034725</v>
      </c>
    </row>
    <row r="35208" spans="1:2" x14ac:dyDescent="0.25">
      <c r="A35208" s="2">
        <v>35203</v>
      </c>
      <c r="B35208" s="3" t="str">
        <f>"201511034773"</f>
        <v>201511034773</v>
      </c>
    </row>
    <row r="35209" spans="1:2" x14ac:dyDescent="0.25">
      <c r="A35209" s="2">
        <v>35204</v>
      </c>
      <c r="B35209" s="3" t="str">
        <f>"201511034786"</f>
        <v>201511034786</v>
      </c>
    </row>
    <row r="35210" spans="1:2" x14ac:dyDescent="0.25">
      <c r="A35210" s="2">
        <v>35205</v>
      </c>
      <c r="B35210" s="3" t="str">
        <f>"201511034790"</f>
        <v>201511034790</v>
      </c>
    </row>
    <row r="35211" spans="1:2" x14ac:dyDescent="0.25">
      <c r="A35211" s="2">
        <v>35206</v>
      </c>
      <c r="B35211" s="3" t="str">
        <f>"201511034804"</f>
        <v>201511034804</v>
      </c>
    </row>
    <row r="35212" spans="1:2" x14ac:dyDescent="0.25">
      <c r="A35212" s="2">
        <v>35207</v>
      </c>
      <c r="B35212" s="3" t="str">
        <f>"201511034805"</f>
        <v>201511034805</v>
      </c>
    </row>
    <row r="35213" spans="1:2" x14ac:dyDescent="0.25">
      <c r="A35213" s="2">
        <v>35208</v>
      </c>
      <c r="B35213" s="3" t="str">
        <f>"201511034818"</f>
        <v>201511034818</v>
      </c>
    </row>
    <row r="35214" spans="1:2" x14ac:dyDescent="0.25">
      <c r="A35214" s="2">
        <v>35209</v>
      </c>
      <c r="B35214" s="3" t="str">
        <f>"201511034864"</f>
        <v>201511034864</v>
      </c>
    </row>
    <row r="35215" spans="1:2" x14ac:dyDescent="0.25">
      <c r="A35215" s="2">
        <v>35210</v>
      </c>
      <c r="B35215" s="3" t="str">
        <f>"201511034893"</f>
        <v>201511034893</v>
      </c>
    </row>
    <row r="35216" spans="1:2" x14ac:dyDescent="0.25">
      <c r="A35216" s="2">
        <v>35211</v>
      </c>
      <c r="B35216" s="3" t="str">
        <f>"201511034915"</f>
        <v>201511034915</v>
      </c>
    </row>
    <row r="35217" spans="1:2" x14ac:dyDescent="0.25">
      <c r="A35217" s="2">
        <v>35212</v>
      </c>
      <c r="B35217" s="3" t="str">
        <f>"201511034938"</f>
        <v>201511034938</v>
      </c>
    </row>
    <row r="35218" spans="1:2" x14ac:dyDescent="0.25">
      <c r="A35218" s="2">
        <v>35213</v>
      </c>
      <c r="B35218" s="3" t="str">
        <f>"201511034943"</f>
        <v>201511034943</v>
      </c>
    </row>
    <row r="35219" spans="1:2" x14ac:dyDescent="0.25">
      <c r="A35219" s="2">
        <v>35214</v>
      </c>
      <c r="B35219" s="3" t="str">
        <f>"201511034946"</f>
        <v>201511034946</v>
      </c>
    </row>
    <row r="35220" spans="1:2" x14ac:dyDescent="0.25">
      <c r="A35220" s="2">
        <v>35215</v>
      </c>
      <c r="B35220" s="3" t="str">
        <f>"201511034956"</f>
        <v>201511034956</v>
      </c>
    </row>
    <row r="35221" spans="1:2" x14ac:dyDescent="0.25">
      <c r="A35221" s="2">
        <v>35216</v>
      </c>
      <c r="B35221" s="3" t="str">
        <f>"201511034970"</f>
        <v>201511034970</v>
      </c>
    </row>
    <row r="35222" spans="1:2" x14ac:dyDescent="0.25">
      <c r="A35222" s="2">
        <v>35217</v>
      </c>
      <c r="B35222" s="3" t="str">
        <f>"201511034973"</f>
        <v>201511034973</v>
      </c>
    </row>
    <row r="35223" spans="1:2" x14ac:dyDescent="0.25">
      <c r="A35223" s="2">
        <v>35218</v>
      </c>
      <c r="B35223" s="3" t="str">
        <f>"201511034994"</f>
        <v>201511034994</v>
      </c>
    </row>
    <row r="35224" spans="1:2" x14ac:dyDescent="0.25">
      <c r="A35224" s="2">
        <v>35219</v>
      </c>
      <c r="B35224" s="3" t="str">
        <f>"201511035031"</f>
        <v>201511035031</v>
      </c>
    </row>
    <row r="35225" spans="1:2" x14ac:dyDescent="0.25">
      <c r="A35225" s="2">
        <v>35220</v>
      </c>
      <c r="B35225" s="3" t="str">
        <f>"201511035037"</f>
        <v>201511035037</v>
      </c>
    </row>
    <row r="35226" spans="1:2" x14ac:dyDescent="0.25">
      <c r="A35226" s="2">
        <v>35221</v>
      </c>
      <c r="B35226" s="3" t="str">
        <f>"201511035062"</f>
        <v>201511035062</v>
      </c>
    </row>
    <row r="35227" spans="1:2" x14ac:dyDescent="0.25">
      <c r="A35227" s="2">
        <v>35222</v>
      </c>
      <c r="B35227" s="3" t="str">
        <f>"201511035074"</f>
        <v>201511035074</v>
      </c>
    </row>
    <row r="35228" spans="1:2" x14ac:dyDescent="0.25">
      <c r="A35228" s="2">
        <v>35223</v>
      </c>
      <c r="B35228" s="3" t="str">
        <f>"201511035088"</f>
        <v>201511035088</v>
      </c>
    </row>
    <row r="35229" spans="1:2" x14ac:dyDescent="0.25">
      <c r="A35229" s="2">
        <v>35224</v>
      </c>
      <c r="B35229" s="3" t="str">
        <f>"201511035116"</f>
        <v>201511035116</v>
      </c>
    </row>
    <row r="35230" spans="1:2" x14ac:dyDescent="0.25">
      <c r="A35230" s="2">
        <v>35225</v>
      </c>
      <c r="B35230" s="3" t="str">
        <f>"201511035126"</f>
        <v>201511035126</v>
      </c>
    </row>
    <row r="35231" spans="1:2" x14ac:dyDescent="0.25">
      <c r="A35231" s="2">
        <v>35226</v>
      </c>
      <c r="B35231" s="3" t="str">
        <f>"201511035156"</f>
        <v>201511035156</v>
      </c>
    </row>
    <row r="35232" spans="1:2" x14ac:dyDescent="0.25">
      <c r="A35232" s="2">
        <v>35227</v>
      </c>
      <c r="B35232" s="3" t="str">
        <f>"201511035167"</f>
        <v>201511035167</v>
      </c>
    </row>
    <row r="35233" spans="1:2" x14ac:dyDescent="0.25">
      <c r="A35233" s="2">
        <v>35228</v>
      </c>
      <c r="B35233" s="3" t="str">
        <f>"201511035177"</f>
        <v>201511035177</v>
      </c>
    </row>
    <row r="35234" spans="1:2" x14ac:dyDescent="0.25">
      <c r="A35234" s="2">
        <v>35229</v>
      </c>
      <c r="B35234" s="3" t="str">
        <f>"201511035180"</f>
        <v>201511035180</v>
      </c>
    </row>
    <row r="35235" spans="1:2" x14ac:dyDescent="0.25">
      <c r="A35235" s="2">
        <v>35230</v>
      </c>
      <c r="B35235" s="3" t="str">
        <f>"201511035181"</f>
        <v>201511035181</v>
      </c>
    </row>
    <row r="35236" spans="1:2" x14ac:dyDescent="0.25">
      <c r="A35236" s="2">
        <v>35231</v>
      </c>
      <c r="B35236" s="3" t="str">
        <f>"201511035187"</f>
        <v>201511035187</v>
      </c>
    </row>
    <row r="35237" spans="1:2" x14ac:dyDescent="0.25">
      <c r="A35237" s="2">
        <v>35232</v>
      </c>
      <c r="B35237" s="3" t="str">
        <f>"201511035192"</f>
        <v>201511035192</v>
      </c>
    </row>
    <row r="35238" spans="1:2" x14ac:dyDescent="0.25">
      <c r="A35238" s="2">
        <v>35233</v>
      </c>
      <c r="B35238" s="3" t="str">
        <f>"201511035200"</f>
        <v>201511035200</v>
      </c>
    </row>
    <row r="35239" spans="1:2" x14ac:dyDescent="0.25">
      <c r="A35239" s="2">
        <v>35234</v>
      </c>
      <c r="B35239" s="3" t="str">
        <f>"201511035234"</f>
        <v>201511035234</v>
      </c>
    </row>
    <row r="35240" spans="1:2" x14ac:dyDescent="0.25">
      <c r="A35240" s="2">
        <v>35235</v>
      </c>
      <c r="B35240" s="3" t="str">
        <f>"201511035260"</f>
        <v>201511035260</v>
      </c>
    </row>
    <row r="35241" spans="1:2" x14ac:dyDescent="0.25">
      <c r="A35241" s="2">
        <v>35236</v>
      </c>
      <c r="B35241" s="3" t="str">
        <f>"201511035274"</f>
        <v>201511035274</v>
      </c>
    </row>
    <row r="35242" spans="1:2" x14ac:dyDescent="0.25">
      <c r="A35242" s="2">
        <v>35237</v>
      </c>
      <c r="B35242" s="3" t="str">
        <f>"201511035276"</f>
        <v>201511035276</v>
      </c>
    </row>
    <row r="35243" spans="1:2" x14ac:dyDescent="0.25">
      <c r="A35243" s="2">
        <v>35238</v>
      </c>
      <c r="B35243" s="3" t="str">
        <f>"201511035279"</f>
        <v>201511035279</v>
      </c>
    </row>
    <row r="35244" spans="1:2" x14ac:dyDescent="0.25">
      <c r="A35244" s="2">
        <v>35239</v>
      </c>
      <c r="B35244" s="3" t="str">
        <f>"201511035304"</f>
        <v>201511035304</v>
      </c>
    </row>
    <row r="35245" spans="1:2" x14ac:dyDescent="0.25">
      <c r="A35245" s="2">
        <v>35240</v>
      </c>
      <c r="B35245" s="3" t="str">
        <f>"201511035316"</f>
        <v>201511035316</v>
      </c>
    </row>
    <row r="35246" spans="1:2" x14ac:dyDescent="0.25">
      <c r="A35246" s="2">
        <v>35241</v>
      </c>
      <c r="B35246" s="3" t="str">
        <f>"201511035324"</f>
        <v>201511035324</v>
      </c>
    </row>
    <row r="35247" spans="1:2" x14ac:dyDescent="0.25">
      <c r="A35247" s="2">
        <v>35242</v>
      </c>
      <c r="B35247" s="3" t="str">
        <f>"201511035360"</f>
        <v>201511035360</v>
      </c>
    </row>
    <row r="35248" spans="1:2" x14ac:dyDescent="0.25">
      <c r="A35248" s="2">
        <v>35243</v>
      </c>
      <c r="B35248" s="3" t="str">
        <f>"201511035365"</f>
        <v>201511035365</v>
      </c>
    </row>
    <row r="35249" spans="1:2" x14ac:dyDescent="0.25">
      <c r="A35249" s="2">
        <v>35244</v>
      </c>
      <c r="B35249" s="3" t="str">
        <f>"201511035374"</f>
        <v>201511035374</v>
      </c>
    </row>
    <row r="35250" spans="1:2" x14ac:dyDescent="0.25">
      <c r="A35250" s="2">
        <v>35245</v>
      </c>
      <c r="B35250" s="3" t="str">
        <f>"201511035381"</f>
        <v>201511035381</v>
      </c>
    </row>
    <row r="35251" spans="1:2" x14ac:dyDescent="0.25">
      <c r="A35251" s="2">
        <v>35246</v>
      </c>
      <c r="B35251" s="3" t="str">
        <f>"201511035383"</f>
        <v>201511035383</v>
      </c>
    </row>
    <row r="35252" spans="1:2" x14ac:dyDescent="0.25">
      <c r="A35252" s="2">
        <v>35247</v>
      </c>
      <c r="B35252" s="3" t="str">
        <f>"201511035389"</f>
        <v>201511035389</v>
      </c>
    </row>
    <row r="35253" spans="1:2" x14ac:dyDescent="0.25">
      <c r="A35253" s="2">
        <v>35248</v>
      </c>
      <c r="B35253" s="3" t="str">
        <f>"201511035436"</f>
        <v>201511035436</v>
      </c>
    </row>
    <row r="35254" spans="1:2" x14ac:dyDescent="0.25">
      <c r="A35254" s="2">
        <v>35249</v>
      </c>
      <c r="B35254" s="3" t="str">
        <f>"201511035437"</f>
        <v>201511035437</v>
      </c>
    </row>
    <row r="35255" spans="1:2" x14ac:dyDescent="0.25">
      <c r="A35255" s="2">
        <v>35250</v>
      </c>
      <c r="B35255" s="3" t="str">
        <f>"201511035440"</f>
        <v>201511035440</v>
      </c>
    </row>
    <row r="35256" spans="1:2" x14ac:dyDescent="0.25">
      <c r="A35256" s="2">
        <v>35251</v>
      </c>
      <c r="B35256" s="3" t="str">
        <f>"201511035493"</f>
        <v>201511035493</v>
      </c>
    </row>
    <row r="35257" spans="1:2" x14ac:dyDescent="0.25">
      <c r="A35257" s="2">
        <v>35252</v>
      </c>
      <c r="B35257" s="3" t="str">
        <f>"201511035496"</f>
        <v>201511035496</v>
      </c>
    </row>
    <row r="35258" spans="1:2" x14ac:dyDescent="0.25">
      <c r="A35258" s="2">
        <v>35253</v>
      </c>
      <c r="B35258" s="3" t="str">
        <f>"201511035538"</f>
        <v>201511035538</v>
      </c>
    </row>
    <row r="35259" spans="1:2" x14ac:dyDescent="0.25">
      <c r="A35259" s="2">
        <v>35254</v>
      </c>
      <c r="B35259" s="3" t="str">
        <f>"201511035566"</f>
        <v>201511035566</v>
      </c>
    </row>
    <row r="35260" spans="1:2" x14ac:dyDescent="0.25">
      <c r="A35260" s="2">
        <v>35255</v>
      </c>
      <c r="B35260" s="3" t="str">
        <f>"201511035644"</f>
        <v>201511035644</v>
      </c>
    </row>
    <row r="35261" spans="1:2" x14ac:dyDescent="0.25">
      <c r="A35261" s="2">
        <v>35256</v>
      </c>
      <c r="B35261" s="3" t="str">
        <f>"201511035645"</f>
        <v>201511035645</v>
      </c>
    </row>
    <row r="35262" spans="1:2" x14ac:dyDescent="0.25">
      <c r="A35262" s="2">
        <v>35257</v>
      </c>
      <c r="B35262" s="3" t="str">
        <f>"201511035658"</f>
        <v>201511035658</v>
      </c>
    </row>
    <row r="35263" spans="1:2" x14ac:dyDescent="0.25">
      <c r="A35263" s="2">
        <v>35258</v>
      </c>
      <c r="B35263" s="3" t="str">
        <f>"201511035667"</f>
        <v>201511035667</v>
      </c>
    </row>
    <row r="35264" spans="1:2" x14ac:dyDescent="0.25">
      <c r="A35264" s="2">
        <v>35259</v>
      </c>
      <c r="B35264" s="3" t="str">
        <f>"201511035693"</f>
        <v>201511035693</v>
      </c>
    </row>
    <row r="35265" spans="1:2" x14ac:dyDescent="0.25">
      <c r="A35265" s="2">
        <v>35260</v>
      </c>
      <c r="B35265" s="3" t="str">
        <f>"201511035704"</f>
        <v>201511035704</v>
      </c>
    </row>
    <row r="35266" spans="1:2" x14ac:dyDescent="0.25">
      <c r="A35266" s="2">
        <v>35261</v>
      </c>
      <c r="B35266" s="3" t="str">
        <f>"201511035747"</f>
        <v>201511035747</v>
      </c>
    </row>
    <row r="35267" spans="1:2" x14ac:dyDescent="0.25">
      <c r="A35267" s="2">
        <v>35262</v>
      </c>
      <c r="B35267" s="3" t="str">
        <f>"201511035760"</f>
        <v>201511035760</v>
      </c>
    </row>
    <row r="35268" spans="1:2" x14ac:dyDescent="0.25">
      <c r="A35268" s="2">
        <v>35263</v>
      </c>
      <c r="B35268" s="3" t="str">
        <f>"201511035783"</f>
        <v>201511035783</v>
      </c>
    </row>
    <row r="35269" spans="1:2" x14ac:dyDescent="0.25">
      <c r="A35269" s="2">
        <v>35264</v>
      </c>
      <c r="B35269" s="3" t="str">
        <f>"201511035788"</f>
        <v>201511035788</v>
      </c>
    </row>
    <row r="35270" spans="1:2" x14ac:dyDescent="0.25">
      <c r="A35270" s="2">
        <v>35265</v>
      </c>
      <c r="B35270" s="3" t="str">
        <f>"201511035790"</f>
        <v>201511035790</v>
      </c>
    </row>
    <row r="35271" spans="1:2" x14ac:dyDescent="0.25">
      <c r="A35271" s="2">
        <v>35266</v>
      </c>
      <c r="B35271" s="3" t="str">
        <f>"201511035802"</f>
        <v>201511035802</v>
      </c>
    </row>
    <row r="35272" spans="1:2" x14ac:dyDescent="0.25">
      <c r="A35272" s="2">
        <v>35267</v>
      </c>
      <c r="B35272" s="3" t="str">
        <f>"201511035806"</f>
        <v>201511035806</v>
      </c>
    </row>
    <row r="35273" spans="1:2" x14ac:dyDescent="0.25">
      <c r="A35273" s="2">
        <v>35268</v>
      </c>
      <c r="B35273" s="3" t="str">
        <f>"201511035829"</f>
        <v>201511035829</v>
      </c>
    </row>
    <row r="35274" spans="1:2" x14ac:dyDescent="0.25">
      <c r="A35274" s="2">
        <v>35269</v>
      </c>
      <c r="B35274" s="3" t="str">
        <f>"201511035842"</f>
        <v>201511035842</v>
      </c>
    </row>
    <row r="35275" spans="1:2" x14ac:dyDescent="0.25">
      <c r="A35275" s="2">
        <v>35270</v>
      </c>
      <c r="B35275" s="3" t="str">
        <f>"201511035851"</f>
        <v>201511035851</v>
      </c>
    </row>
    <row r="35276" spans="1:2" x14ac:dyDescent="0.25">
      <c r="A35276" s="2">
        <v>35271</v>
      </c>
      <c r="B35276" s="3" t="str">
        <f>"201511035857"</f>
        <v>201511035857</v>
      </c>
    </row>
    <row r="35277" spans="1:2" x14ac:dyDescent="0.25">
      <c r="A35277" s="2">
        <v>35272</v>
      </c>
      <c r="B35277" s="3" t="str">
        <f>"201511035870"</f>
        <v>201511035870</v>
      </c>
    </row>
    <row r="35278" spans="1:2" x14ac:dyDescent="0.25">
      <c r="A35278" s="2">
        <v>35273</v>
      </c>
      <c r="B35278" s="3" t="str">
        <f>"201511035874"</f>
        <v>201511035874</v>
      </c>
    </row>
    <row r="35279" spans="1:2" x14ac:dyDescent="0.25">
      <c r="A35279" s="2">
        <v>35274</v>
      </c>
      <c r="B35279" s="3" t="str">
        <f>"201511035909"</f>
        <v>201511035909</v>
      </c>
    </row>
    <row r="35280" spans="1:2" x14ac:dyDescent="0.25">
      <c r="A35280" s="2">
        <v>35275</v>
      </c>
      <c r="B35280" s="3" t="str">
        <f>"201511035931"</f>
        <v>201511035931</v>
      </c>
    </row>
    <row r="35281" spans="1:2" x14ac:dyDescent="0.25">
      <c r="A35281" s="2">
        <v>35276</v>
      </c>
      <c r="B35281" s="3" t="str">
        <f>"201511035932"</f>
        <v>201511035932</v>
      </c>
    </row>
    <row r="35282" spans="1:2" x14ac:dyDescent="0.25">
      <c r="A35282" s="2">
        <v>35277</v>
      </c>
      <c r="B35282" s="3" t="str">
        <f>"201511035962"</f>
        <v>201511035962</v>
      </c>
    </row>
    <row r="35283" spans="1:2" x14ac:dyDescent="0.25">
      <c r="A35283" s="2">
        <v>35278</v>
      </c>
      <c r="B35283" s="3" t="str">
        <f>"201511035967"</f>
        <v>201511035967</v>
      </c>
    </row>
    <row r="35284" spans="1:2" x14ac:dyDescent="0.25">
      <c r="A35284" s="2">
        <v>35279</v>
      </c>
      <c r="B35284" s="3" t="str">
        <f>"201511035979"</f>
        <v>201511035979</v>
      </c>
    </row>
    <row r="35285" spans="1:2" x14ac:dyDescent="0.25">
      <c r="A35285" s="2">
        <v>35280</v>
      </c>
      <c r="B35285" s="3" t="str">
        <f>"201511036000"</f>
        <v>201511036000</v>
      </c>
    </row>
    <row r="35286" spans="1:2" x14ac:dyDescent="0.25">
      <c r="A35286" s="2">
        <v>35281</v>
      </c>
      <c r="B35286" s="3" t="str">
        <f>"201511036004"</f>
        <v>201511036004</v>
      </c>
    </row>
    <row r="35287" spans="1:2" x14ac:dyDescent="0.25">
      <c r="A35287" s="2">
        <v>35282</v>
      </c>
      <c r="B35287" s="3" t="str">
        <f>"201511036030"</f>
        <v>201511036030</v>
      </c>
    </row>
    <row r="35288" spans="1:2" x14ac:dyDescent="0.25">
      <c r="A35288" s="2">
        <v>35283</v>
      </c>
      <c r="B35288" s="3" t="str">
        <f>"201511036065"</f>
        <v>201511036065</v>
      </c>
    </row>
    <row r="35289" spans="1:2" x14ac:dyDescent="0.25">
      <c r="A35289" s="2">
        <v>35284</v>
      </c>
      <c r="B35289" s="3" t="str">
        <f>"201511036066"</f>
        <v>201511036066</v>
      </c>
    </row>
    <row r="35290" spans="1:2" x14ac:dyDescent="0.25">
      <c r="A35290" s="2">
        <v>35285</v>
      </c>
      <c r="B35290" s="3" t="str">
        <f>"201511036081"</f>
        <v>201511036081</v>
      </c>
    </row>
    <row r="35291" spans="1:2" x14ac:dyDescent="0.25">
      <c r="A35291" s="2">
        <v>35286</v>
      </c>
      <c r="B35291" s="3" t="str">
        <f>"201511036095"</f>
        <v>201511036095</v>
      </c>
    </row>
    <row r="35292" spans="1:2" x14ac:dyDescent="0.25">
      <c r="A35292" s="2">
        <v>35287</v>
      </c>
      <c r="B35292" s="3" t="str">
        <f>"201511036099"</f>
        <v>201511036099</v>
      </c>
    </row>
    <row r="35293" spans="1:2" x14ac:dyDescent="0.25">
      <c r="A35293" s="2">
        <v>35288</v>
      </c>
      <c r="B35293" s="3" t="str">
        <f>"201511036102"</f>
        <v>201511036102</v>
      </c>
    </row>
    <row r="35294" spans="1:2" x14ac:dyDescent="0.25">
      <c r="A35294" s="2">
        <v>35289</v>
      </c>
      <c r="B35294" s="3" t="str">
        <f>"201511036113"</f>
        <v>201511036113</v>
      </c>
    </row>
    <row r="35295" spans="1:2" x14ac:dyDescent="0.25">
      <c r="A35295" s="2">
        <v>35290</v>
      </c>
      <c r="B35295" s="3" t="str">
        <f>"201511036133"</f>
        <v>201511036133</v>
      </c>
    </row>
    <row r="35296" spans="1:2" x14ac:dyDescent="0.25">
      <c r="A35296" s="2">
        <v>35291</v>
      </c>
      <c r="B35296" s="3" t="str">
        <f>"201511036153"</f>
        <v>201511036153</v>
      </c>
    </row>
    <row r="35297" spans="1:2" x14ac:dyDescent="0.25">
      <c r="A35297" s="2">
        <v>35292</v>
      </c>
      <c r="B35297" s="3" t="str">
        <f>"201511036160"</f>
        <v>201511036160</v>
      </c>
    </row>
    <row r="35298" spans="1:2" x14ac:dyDescent="0.25">
      <c r="A35298" s="2">
        <v>35293</v>
      </c>
      <c r="B35298" s="3" t="str">
        <f>"201511036173"</f>
        <v>201511036173</v>
      </c>
    </row>
    <row r="35299" spans="1:2" x14ac:dyDescent="0.25">
      <c r="A35299" s="2">
        <v>35294</v>
      </c>
      <c r="B35299" s="3" t="str">
        <f>"201511036208"</f>
        <v>201511036208</v>
      </c>
    </row>
    <row r="35300" spans="1:2" x14ac:dyDescent="0.25">
      <c r="A35300" s="2">
        <v>35295</v>
      </c>
      <c r="B35300" s="3" t="str">
        <f>"201511036236"</f>
        <v>201511036236</v>
      </c>
    </row>
    <row r="35301" spans="1:2" x14ac:dyDescent="0.25">
      <c r="A35301" s="2">
        <v>35296</v>
      </c>
      <c r="B35301" s="3" t="str">
        <f>"201511036242"</f>
        <v>201511036242</v>
      </c>
    </row>
    <row r="35302" spans="1:2" x14ac:dyDescent="0.25">
      <c r="A35302" s="2">
        <v>35297</v>
      </c>
      <c r="B35302" s="3" t="str">
        <f>"201511036246"</f>
        <v>201511036246</v>
      </c>
    </row>
    <row r="35303" spans="1:2" x14ac:dyDescent="0.25">
      <c r="A35303" s="2">
        <v>35298</v>
      </c>
      <c r="B35303" s="3" t="str">
        <f>"201511036260"</f>
        <v>201511036260</v>
      </c>
    </row>
    <row r="35304" spans="1:2" x14ac:dyDescent="0.25">
      <c r="A35304" s="2">
        <v>35299</v>
      </c>
      <c r="B35304" s="3" t="str">
        <f>"201511036291"</f>
        <v>201511036291</v>
      </c>
    </row>
    <row r="35305" spans="1:2" x14ac:dyDescent="0.25">
      <c r="A35305" s="2">
        <v>35300</v>
      </c>
      <c r="B35305" s="3" t="str">
        <f>"201511036301"</f>
        <v>201511036301</v>
      </c>
    </row>
    <row r="35306" spans="1:2" x14ac:dyDescent="0.25">
      <c r="A35306" s="2">
        <v>35301</v>
      </c>
      <c r="B35306" s="3" t="str">
        <f>"201511036311"</f>
        <v>201511036311</v>
      </c>
    </row>
    <row r="35307" spans="1:2" x14ac:dyDescent="0.25">
      <c r="A35307" s="2">
        <v>35302</v>
      </c>
      <c r="B35307" s="3" t="str">
        <f>"201511036319"</f>
        <v>201511036319</v>
      </c>
    </row>
    <row r="35308" spans="1:2" x14ac:dyDescent="0.25">
      <c r="A35308" s="2">
        <v>35303</v>
      </c>
      <c r="B35308" s="3" t="str">
        <f>"201511036320"</f>
        <v>201511036320</v>
      </c>
    </row>
    <row r="35309" spans="1:2" x14ac:dyDescent="0.25">
      <c r="A35309" s="2">
        <v>35304</v>
      </c>
      <c r="B35309" s="3" t="str">
        <f>"201511036336"</f>
        <v>201511036336</v>
      </c>
    </row>
    <row r="35310" spans="1:2" x14ac:dyDescent="0.25">
      <c r="A35310" s="2">
        <v>35305</v>
      </c>
      <c r="B35310" s="3" t="str">
        <f>"201511036350"</f>
        <v>201511036350</v>
      </c>
    </row>
    <row r="35311" spans="1:2" x14ac:dyDescent="0.25">
      <c r="A35311" s="2">
        <v>35306</v>
      </c>
      <c r="B35311" s="3" t="str">
        <f>"201511036371"</f>
        <v>201511036371</v>
      </c>
    </row>
    <row r="35312" spans="1:2" x14ac:dyDescent="0.25">
      <c r="A35312" s="2">
        <v>35307</v>
      </c>
      <c r="B35312" s="3" t="str">
        <f>"201511036384"</f>
        <v>201511036384</v>
      </c>
    </row>
    <row r="35313" spans="1:2" x14ac:dyDescent="0.25">
      <c r="A35313" s="2">
        <v>35308</v>
      </c>
      <c r="B35313" s="3" t="str">
        <f>"201511036388"</f>
        <v>201511036388</v>
      </c>
    </row>
    <row r="35314" spans="1:2" x14ac:dyDescent="0.25">
      <c r="A35314" s="2">
        <v>35309</v>
      </c>
      <c r="B35314" s="3" t="str">
        <f>"201511036494"</f>
        <v>201511036494</v>
      </c>
    </row>
    <row r="35315" spans="1:2" x14ac:dyDescent="0.25">
      <c r="A35315" s="2">
        <v>35310</v>
      </c>
      <c r="B35315" s="3" t="str">
        <f>"201511036506"</f>
        <v>201511036506</v>
      </c>
    </row>
    <row r="35316" spans="1:2" x14ac:dyDescent="0.25">
      <c r="A35316" s="2">
        <v>35311</v>
      </c>
      <c r="B35316" s="3" t="str">
        <f>"201511036516"</f>
        <v>201511036516</v>
      </c>
    </row>
    <row r="35317" spans="1:2" x14ac:dyDescent="0.25">
      <c r="A35317" s="2">
        <v>35312</v>
      </c>
      <c r="B35317" s="3" t="str">
        <f>"201511036547"</f>
        <v>201511036547</v>
      </c>
    </row>
    <row r="35318" spans="1:2" x14ac:dyDescent="0.25">
      <c r="A35318" s="2">
        <v>35313</v>
      </c>
      <c r="B35318" s="3" t="str">
        <f>"201511036591"</f>
        <v>201511036591</v>
      </c>
    </row>
    <row r="35319" spans="1:2" x14ac:dyDescent="0.25">
      <c r="A35319" s="2">
        <v>35314</v>
      </c>
      <c r="B35319" s="3" t="str">
        <f>"201511036604"</f>
        <v>201511036604</v>
      </c>
    </row>
    <row r="35320" spans="1:2" x14ac:dyDescent="0.25">
      <c r="A35320" s="2">
        <v>35315</v>
      </c>
      <c r="B35320" s="3" t="str">
        <f>"201511036647"</f>
        <v>201511036647</v>
      </c>
    </row>
    <row r="35321" spans="1:2" x14ac:dyDescent="0.25">
      <c r="A35321" s="2">
        <v>35316</v>
      </c>
      <c r="B35321" s="3" t="str">
        <f>"201511036650"</f>
        <v>201511036650</v>
      </c>
    </row>
    <row r="35322" spans="1:2" x14ac:dyDescent="0.25">
      <c r="A35322" s="2">
        <v>35317</v>
      </c>
      <c r="B35322" s="3" t="str">
        <f>"201511036659"</f>
        <v>201511036659</v>
      </c>
    </row>
    <row r="35323" spans="1:2" x14ac:dyDescent="0.25">
      <c r="A35323" s="2">
        <v>35318</v>
      </c>
      <c r="B35323" s="3" t="str">
        <f>"201511036710"</f>
        <v>201511036710</v>
      </c>
    </row>
    <row r="35324" spans="1:2" x14ac:dyDescent="0.25">
      <c r="A35324" s="2">
        <v>35319</v>
      </c>
      <c r="B35324" s="3" t="str">
        <f>"201511036717"</f>
        <v>201511036717</v>
      </c>
    </row>
    <row r="35325" spans="1:2" x14ac:dyDescent="0.25">
      <c r="A35325" s="2">
        <v>35320</v>
      </c>
      <c r="B35325" s="3" t="str">
        <f>"201511036724"</f>
        <v>201511036724</v>
      </c>
    </row>
    <row r="35326" spans="1:2" x14ac:dyDescent="0.25">
      <c r="A35326" s="2">
        <v>35321</v>
      </c>
      <c r="B35326" s="3" t="str">
        <f>"201511036732"</f>
        <v>201511036732</v>
      </c>
    </row>
    <row r="35327" spans="1:2" x14ac:dyDescent="0.25">
      <c r="A35327" s="2">
        <v>35322</v>
      </c>
      <c r="B35327" s="3" t="str">
        <f>"201511036741"</f>
        <v>201511036741</v>
      </c>
    </row>
    <row r="35328" spans="1:2" x14ac:dyDescent="0.25">
      <c r="A35328" s="2">
        <v>35323</v>
      </c>
      <c r="B35328" s="3" t="str">
        <f>"201511036748"</f>
        <v>201511036748</v>
      </c>
    </row>
    <row r="35329" spans="1:2" x14ac:dyDescent="0.25">
      <c r="A35329" s="2">
        <v>35324</v>
      </c>
      <c r="B35329" s="3" t="str">
        <f>"201511036754"</f>
        <v>201511036754</v>
      </c>
    </row>
    <row r="35330" spans="1:2" x14ac:dyDescent="0.25">
      <c r="A35330" s="2">
        <v>35325</v>
      </c>
      <c r="B35330" s="3" t="str">
        <f>"201511036789"</f>
        <v>201511036789</v>
      </c>
    </row>
    <row r="35331" spans="1:2" x14ac:dyDescent="0.25">
      <c r="A35331" s="2">
        <v>35326</v>
      </c>
      <c r="B35331" s="3" t="str">
        <f>"201511036801"</f>
        <v>201511036801</v>
      </c>
    </row>
    <row r="35332" spans="1:2" x14ac:dyDescent="0.25">
      <c r="A35332" s="2">
        <v>35327</v>
      </c>
      <c r="B35332" s="3" t="str">
        <f>"201511036806"</f>
        <v>201511036806</v>
      </c>
    </row>
    <row r="35333" spans="1:2" x14ac:dyDescent="0.25">
      <c r="A35333" s="2">
        <v>35328</v>
      </c>
      <c r="B35333" s="3" t="str">
        <f>"201511036816"</f>
        <v>201511036816</v>
      </c>
    </row>
    <row r="35334" spans="1:2" x14ac:dyDescent="0.25">
      <c r="A35334" s="2">
        <v>35329</v>
      </c>
      <c r="B35334" s="3" t="str">
        <f>"201511036854"</f>
        <v>201511036854</v>
      </c>
    </row>
    <row r="35335" spans="1:2" x14ac:dyDescent="0.25">
      <c r="A35335" s="2">
        <v>35330</v>
      </c>
      <c r="B35335" s="3" t="str">
        <f>"201511036893"</f>
        <v>201511036893</v>
      </c>
    </row>
    <row r="35336" spans="1:2" x14ac:dyDescent="0.25">
      <c r="A35336" s="2">
        <v>35331</v>
      </c>
      <c r="B35336" s="3" t="str">
        <f>"201511036911"</f>
        <v>201511036911</v>
      </c>
    </row>
    <row r="35337" spans="1:2" x14ac:dyDescent="0.25">
      <c r="A35337" s="2">
        <v>35332</v>
      </c>
      <c r="B35337" s="3" t="str">
        <f>"201511036912"</f>
        <v>201511036912</v>
      </c>
    </row>
    <row r="35338" spans="1:2" x14ac:dyDescent="0.25">
      <c r="A35338" s="2">
        <v>35333</v>
      </c>
      <c r="B35338" s="3" t="str">
        <f>"201511036962"</f>
        <v>201511036962</v>
      </c>
    </row>
    <row r="35339" spans="1:2" x14ac:dyDescent="0.25">
      <c r="A35339" s="2">
        <v>35334</v>
      </c>
      <c r="B35339" s="3" t="str">
        <f>"201511036988"</f>
        <v>201511036988</v>
      </c>
    </row>
    <row r="35340" spans="1:2" x14ac:dyDescent="0.25">
      <c r="A35340" s="2">
        <v>35335</v>
      </c>
      <c r="B35340" s="3" t="str">
        <f>"201511037002"</f>
        <v>201511037002</v>
      </c>
    </row>
    <row r="35341" spans="1:2" x14ac:dyDescent="0.25">
      <c r="A35341" s="2">
        <v>35336</v>
      </c>
      <c r="B35341" s="3" t="str">
        <f>"201511037016"</f>
        <v>201511037016</v>
      </c>
    </row>
    <row r="35342" spans="1:2" x14ac:dyDescent="0.25">
      <c r="A35342" s="2">
        <v>35337</v>
      </c>
      <c r="B35342" s="3" t="str">
        <f>"201511037045"</f>
        <v>201511037045</v>
      </c>
    </row>
    <row r="35343" spans="1:2" x14ac:dyDescent="0.25">
      <c r="A35343" s="2">
        <v>35338</v>
      </c>
      <c r="B35343" s="3" t="str">
        <f>"201511037049"</f>
        <v>201511037049</v>
      </c>
    </row>
    <row r="35344" spans="1:2" x14ac:dyDescent="0.25">
      <c r="A35344" s="2">
        <v>35339</v>
      </c>
      <c r="B35344" s="3" t="str">
        <f>"201511037066"</f>
        <v>201511037066</v>
      </c>
    </row>
    <row r="35345" spans="1:2" x14ac:dyDescent="0.25">
      <c r="A35345" s="2">
        <v>35340</v>
      </c>
      <c r="B35345" s="3" t="str">
        <f>"201511037070"</f>
        <v>201511037070</v>
      </c>
    </row>
    <row r="35346" spans="1:2" x14ac:dyDescent="0.25">
      <c r="A35346" s="2">
        <v>35341</v>
      </c>
      <c r="B35346" s="3" t="str">
        <f>"201511037072"</f>
        <v>201511037072</v>
      </c>
    </row>
    <row r="35347" spans="1:2" x14ac:dyDescent="0.25">
      <c r="A35347" s="2">
        <v>35342</v>
      </c>
      <c r="B35347" s="3" t="str">
        <f>"201511037092"</f>
        <v>201511037092</v>
      </c>
    </row>
    <row r="35348" spans="1:2" x14ac:dyDescent="0.25">
      <c r="A35348" s="2">
        <v>35343</v>
      </c>
      <c r="B35348" s="3" t="str">
        <f>"201511037095"</f>
        <v>201511037095</v>
      </c>
    </row>
    <row r="35349" spans="1:2" x14ac:dyDescent="0.25">
      <c r="A35349" s="2">
        <v>35344</v>
      </c>
      <c r="B35349" s="3" t="str">
        <f>"201511037096"</f>
        <v>201511037096</v>
      </c>
    </row>
    <row r="35350" spans="1:2" x14ac:dyDescent="0.25">
      <c r="A35350" s="2">
        <v>35345</v>
      </c>
      <c r="B35350" s="3" t="str">
        <f>"201511037118"</f>
        <v>201511037118</v>
      </c>
    </row>
    <row r="35351" spans="1:2" x14ac:dyDescent="0.25">
      <c r="A35351" s="2">
        <v>35346</v>
      </c>
      <c r="B35351" s="3" t="str">
        <f>"201511037123"</f>
        <v>201511037123</v>
      </c>
    </row>
    <row r="35352" spans="1:2" x14ac:dyDescent="0.25">
      <c r="A35352" s="2">
        <v>35347</v>
      </c>
      <c r="B35352" s="3" t="str">
        <f>"201511037130"</f>
        <v>201511037130</v>
      </c>
    </row>
    <row r="35353" spans="1:2" x14ac:dyDescent="0.25">
      <c r="A35353" s="2">
        <v>35348</v>
      </c>
      <c r="B35353" s="3" t="str">
        <f>"201511037142"</f>
        <v>201511037142</v>
      </c>
    </row>
    <row r="35354" spans="1:2" x14ac:dyDescent="0.25">
      <c r="A35354" s="2">
        <v>35349</v>
      </c>
      <c r="B35354" s="3" t="str">
        <f>"201511037231"</f>
        <v>201511037231</v>
      </c>
    </row>
    <row r="35355" spans="1:2" x14ac:dyDescent="0.25">
      <c r="A35355" s="2">
        <v>35350</v>
      </c>
      <c r="B35355" s="3" t="str">
        <f>"201511037238"</f>
        <v>201511037238</v>
      </c>
    </row>
    <row r="35356" spans="1:2" x14ac:dyDescent="0.25">
      <c r="A35356" s="2">
        <v>35351</v>
      </c>
      <c r="B35356" s="3" t="str">
        <f>"201511037251"</f>
        <v>201511037251</v>
      </c>
    </row>
    <row r="35357" spans="1:2" x14ac:dyDescent="0.25">
      <c r="A35357" s="2">
        <v>35352</v>
      </c>
      <c r="B35357" s="3" t="str">
        <f>"201511037283"</f>
        <v>201511037283</v>
      </c>
    </row>
    <row r="35358" spans="1:2" x14ac:dyDescent="0.25">
      <c r="A35358" s="2">
        <v>35353</v>
      </c>
      <c r="B35358" s="3" t="str">
        <f>"201511037333"</f>
        <v>201511037333</v>
      </c>
    </row>
    <row r="35359" spans="1:2" x14ac:dyDescent="0.25">
      <c r="A35359" s="2">
        <v>35354</v>
      </c>
      <c r="B35359" s="3" t="str">
        <f>"201511037336"</f>
        <v>201511037336</v>
      </c>
    </row>
    <row r="35360" spans="1:2" x14ac:dyDescent="0.25">
      <c r="A35360" s="2">
        <v>35355</v>
      </c>
      <c r="B35360" s="3" t="str">
        <f>"201511037367"</f>
        <v>201511037367</v>
      </c>
    </row>
    <row r="35361" spans="1:2" x14ac:dyDescent="0.25">
      <c r="A35361" s="2">
        <v>35356</v>
      </c>
      <c r="B35361" s="3" t="str">
        <f>"201511037372"</f>
        <v>201511037372</v>
      </c>
    </row>
    <row r="35362" spans="1:2" x14ac:dyDescent="0.25">
      <c r="A35362" s="2">
        <v>35357</v>
      </c>
      <c r="B35362" s="3" t="str">
        <f>"201511037424"</f>
        <v>201511037424</v>
      </c>
    </row>
    <row r="35363" spans="1:2" x14ac:dyDescent="0.25">
      <c r="A35363" s="2">
        <v>35358</v>
      </c>
      <c r="B35363" s="3" t="str">
        <f>"201511037448"</f>
        <v>201511037448</v>
      </c>
    </row>
    <row r="35364" spans="1:2" x14ac:dyDescent="0.25">
      <c r="A35364" s="2">
        <v>35359</v>
      </c>
      <c r="B35364" s="3" t="str">
        <f>"201511037457"</f>
        <v>201511037457</v>
      </c>
    </row>
    <row r="35365" spans="1:2" x14ac:dyDescent="0.25">
      <c r="A35365" s="2">
        <v>35360</v>
      </c>
      <c r="B35365" s="3" t="str">
        <f>"201511037472"</f>
        <v>201511037472</v>
      </c>
    </row>
    <row r="35366" spans="1:2" x14ac:dyDescent="0.25">
      <c r="A35366" s="2">
        <v>35361</v>
      </c>
      <c r="B35366" s="3" t="str">
        <f>"201511037475"</f>
        <v>201511037475</v>
      </c>
    </row>
    <row r="35367" spans="1:2" x14ac:dyDescent="0.25">
      <c r="A35367" s="2">
        <v>35362</v>
      </c>
      <c r="B35367" s="3" t="str">
        <f>"201511037481"</f>
        <v>201511037481</v>
      </c>
    </row>
    <row r="35368" spans="1:2" x14ac:dyDescent="0.25">
      <c r="A35368" s="2">
        <v>35363</v>
      </c>
      <c r="B35368" s="3" t="str">
        <f>"201511037495"</f>
        <v>201511037495</v>
      </c>
    </row>
    <row r="35369" spans="1:2" x14ac:dyDescent="0.25">
      <c r="A35369" s="2">
        <v>35364</v>
      </c>
      <c r="B35369" s="3" t="str">
        <f>"201511037499"</f>
        <v>201511037499</v>
      </c>
    </row>
    <row r="35370" spans="1:2" x14ac:dyDescent="0.25">
      <c r="A35370" s="2">
        <v>35365</v>
      </c>
      <c r="B35370" s="3" t="str">
        <f>"201511037501"</f>
        <v>201511037501</v>
      </c>
    </row>
    <row r="35371" spans="1:2" x14ac:dyDescent="0.25">
      <c r="A35371" s="2">
        <v>35366</v>
      </c>
      <c r="B35371" s="3" t="str">
        <f>"201511037505"</f>
        <v>201511037505</v>
      </c>
    </row>
    <row r="35372" spans="1:2" x14ac:dyDescent="0.25">
      <c r="A35372" s="2">
        <v>35367</v>
      </c>
      <c r="B35372" s="3" t="str">
        <f>"201511037544"</f>
        <v>201511037544</v>
      </c>
    </row>
    <row r="35373" spans="1:2" x14ac:dyDescent="0.25">
      <c r="A35373" s="2">
        <v>35368</v>
      </c>
      <c r="B35373" s="3" t="str">
        <f>"201511037550"</f>
        <v>201511037550</v>
      </c>
    </row>
    <row r="35374" spans="1:2" x14ac:dyDescent="0.25">
      <c r="A35374" s="2">
        <v>35369</v>
      </c>
      <c r="B35374" s="3" t="str">
        <f>"201511037560"</f>
        <v>201511037560</v>
      </c>
    </row>
    <row r="35375" spans="1:2" x14ac:dyDescent="0.25">
      <c r="A35375" s="2">
        <v>35370</v>
      </c>
      <c r="B35375" s="3" t="str">
        <f>"201511037580"</f>
        <v>201511037580</v>
      </c>
    </row>
    <row r="35376" spans="1:2" x14ac:dyDescent="0.25">
      <c r="A35376" s="2">
        <v>35371</v>
      </c>
      <c r="B35376" s="3" t="str">
        <f>"201511037599"</f>
        <v>201511037599</v>
      </c>
    </row>
    <row r="35377" spans="1:2" x14ac:dyDescent="0.25">
      <c r="A35377" s="2">
        <v>35372</v>
      </c>
      <c r="B35377" s="3" t="str">
        <f>"201511037600"</f>
        <v>201511037600</v>
      </c>
    </row>
    <row r="35378" spans="1:2" x14ac:dyDescent="0.25">
      <c r="A35378" s="2">
        <v>35373</v>
      </c>
      <c r="B35378" s="3" t="str">
        <f>"201511037647"</f>
        <v>201511037647</v>
      </c>
    </row>
    <row r="35379" spans="1:2" x14ac:dyDescent="0.25">
      <c r="A35379" s="2">
        <v>35374</v>
      </c>
      <c r="B35379" s="3" t="str">
        <f>"201511037670"</f>
        <v>201511037670</v>
      </c>
    </row>
    <row r="35380" spans="1:2" x14ac:dyDescent="0.25">
      <c r="A35380" s="2">
        <v>35375</v>
      </c>
      <c r="B35380" s="3" t="str">
        <f>"201511037677"</f>
        <v>201511037677</v>
      </c>
    </row>
    <row r="35381" spans="1:2" x14ac:dyDescent="0.25">
      <c r="A35381" s="2">
        <v>35376</v>
      </c>
      <c r="B35381" s="3" t="str">
        <f>"201511037683"</f>
        <v>201511037683</v>
      </c>
    </row>
    <row r="35382" spans="1:2" x14ac:dyDescent="0.25">
      <c r="A35382" s="2">
        <v>35377</v>
      </c>
      <c r="B35382" s="3" t="str">
        <f>"201511037697"</f>
        <v>201511037697</v>
      </c>
    </row>
    <row r="35383" spans="1:2" x14ac:dyDescent="0.25">
      <c r="A35383" s="2">
        <v>35378</v>
      </c>
      <c r="B35383" s="3" t="str">
        <f>"201511037706"</f>
        <v>201511037706</v>
      </c>
    </row>
    <row r="35384" spans="1:2" x14ac:dyDescent="0.25">
      <c r="A35384" s="2">
        <v>35379</v>
      </c>
      <c r="B35384" s="3" t="str">
        <f>"201511037710"</f>
        <v>201511037710</v>
      </c>
    </row>
    <row r="35385" spans="1:2" x14ac:dyDescent="0.25">
      <c r="A35385" s="2">
        <v>35380</v>
      </c>
      <c r="B35385" s="3" t="str">
        <f>"201511037712"</f>
        <v>201511037712</v>
      </c>
    </row>
    <row r="35386" spans="1:2" x14ac:dyDescent="0.25">
      <c r="A35386" s="2">
        <v>35381</v>
      </c>
      <c r="B35386" s="3" t="str">
        <f>"201511037740"</f>
        <v>201511037740</v>
      </c>
    </row>
    <row r="35387" spans="1:2" x14ac:dyDescent="0.25">
      <c r="A35387" s="2">
        <v>35382</v>
      </c>
      <c r="B35387" s="3" t="str">
        <f>"201511037771"</f>
        <v>201511037771</v>
      </c>
    </row>
    <row r="35388" spans="1:2" x14ac:dyDescent="0.25">
      <c r="A35388" s="2">
        <v>35383</v>
      </c>
      <c r="B35388" s="3" t="str">
        <f>"201511037792"</f>
        <v>201511037792</v>
      </c>
    </row>
    <row r="35389" spans="1:2" x14ac:dyDescent="0.25">
      <c r="A35389" s="2">
        <v>35384</v>
      </c>
      <c r="B35389" s="3" t="str">
        <f>"201511037801"</f>
        <v>201511037801</v>
      </c>
    </row>
    <row r="35390" spans="1:2" x14ac:dyDescent="0.25">
      <c r="A35390" s="2">
        <v>35385</v>
      </c>
      <c r="B35390" s="3" t="str">
        <f>"201511037807"</f>
        <v>201511037807</v>
      </c>
    </row>
    <row r="35391" spans="1:2" x14ac:dyDescent="0.25">
      <c r="A35391" s="2">
        <v>35386</v>
      </c>
      <c r="B35391" s="3" t="str">
        <f>"201511037819"</f>
        <v>201511037819</v>
      </c>
    </row>
    <row r="35392" spans="1:2" x14ac:dyDescent="0.25">
      <c r="A35392" s="2">
        <v>35387</v>
      </c>
      <c r="B35392" s="3" t="str">
        <f>"201511037873"</f>
        <v>201511037873</v>
      </c>
    </row>
    <row r="35393" spans="1:2" x14ac:dyDescent="0.25">
      <c r="A35393" s="2">
        <v>35388</v>
      </c>
      <c r="B35393" s="3" t="str">
        <f>"201511037892"</f>
        <v>201511037892</v>
      </c>
    </row>
    <row r="35394" spans="1:2" x14ac:dyDescent="0.25">
      <c r="A35394" s="2">
        <v>35389</v>
      </c>
      <c r="B35394" s="3" t="str">
        <f>"201511037905"</f>
        <v>201511037905</v>
      </c>
    </row>
    <row r="35395" spans="1:2" x14ac:dyDescent="0.25">
      <c r="A35395" s="2">
        <v>35390</v>
      </c>
      <c r="B35395" s="3" t="str">
        <f>"201511037961"</f>
        <v>201511037961</v>
      </c>
    </row>
    <row r="35396" spans="1:2" x14ac:dyDescent="0.25">
      <c r="A35396" s="2">
        <v>35391</v>
      </c>
      <c r="B35396" s="3" t="str">
        <f>"201511037968"</f>
        <v>201511037968</v>
      </c>
    </row>
    <row r="35397" spans="1:2" x14ac:dyDescent="0.25">
      <c r="A35397" s="2">
        <v>35392</v>
      </c>
      <c r="B35397" s="3" t="str">
        <f>"201511037972"</f>
        <v>201511037972</v>
      </c>
    </row>
    <row r="35398" spans="1:2" x14ac:dyDescent="0.25">
      <c r="A35398" s="2">
        <v>35393</v>
      </c>
      <c r="B35398" s="3" t="str">
        <f>"201511037993"</f>
        <v>201511037993</v>
      </c>
    </row>
    <row r="35399" spans="1:2" x14ac:dyDescent="0.25">
      <c r="A35399" s="2">
        <v>35394</v>
      </c>
      <c r="B35399" s="3" t="str">
        <f>"201511037994"</f>
        <v>201511037994</v>
      </c>
    </row>
    <row r="35400" spans="1:2" x14ac:dyDescent="0.25">
      <c r="A35400" s="2">
        <v>35395</v>
      </c>
      <c r="B35400" s="3" t="str">
        <f>"201511038001"</f>
        <v>201511038001</v>
      </c>
    </row>
    <row r="35401" spans="1:2" x14ac:dyDescent="0.25">
      <c r="A35401" s="2">
        <v>35396</v>
      </c>
      <c r="B35401" s="3" t="str">
        <f>"201511038022"</f>
        <v>201511038022</v>
      </c>
    </row>
    <row r="35402" spans="1:2" x14ac:dyDescent="0.25">
      <c r="A35402" s="2">
        <v>35397</v>
      </c>
      <c r="B35402" s="3" t="str">
        <f>"201511038030"</f>
        <v>201511038030</v>
      </c>
    </row>
    <row r="35403" spans="1:2" x14ac:dyDescent="0.25">
      <c r="A35403" s="2">
        <v>35398</v>
      </c>
      <c r="B35403" s="3" t="str">
        <f>"201511038037"</f>
        <v>201511038037</v>
      </c>
    </row>
    <row r="35404" spans="1:2" x14ac:dyDescent="0.25">
      <c r="A35404" s="2">
        <v>35399</v>
      </c>
      <c r="B35404" s="3" t="str">
        <f>"201511038042"</f>
        <v>201511038042</v>
      </c>
    </row>
    <row r="35405" spans="1:2" x14ac:dyDescent="0.25">
      <c r="A35405" s="2">
        <v>35400</v>
      </c>
      <c r="B35405" s="3" t="str">
        <f>"201511038084"</f>
        <v>201511038084</v>
      </c>
    </row>
    <row r="35406" spans="1:2" x14ac:dyDescent="0.25">
      <c r="A35406" s="2">
        <v>35401</v>
      </c>
      <c r="B35406" s="3" t="str">
        <f>"201511038099"</f>
        <v>201511038099</v>
      </c>
    </row>
    <row r="35407" spans="1:2" x14ac:dyDescent="0.25">
      <c r="A35407" s="2">
        <v>35402</v>
      </c>
      <c r="B35407" s="3" t="str">
        <f>"201511038101"</f>
        <v>201511038101</v>
      </c>
    </row>
    <row r="35408" spans="1:2" x14ac:dyDescent="0.25">
      <c r="A35408" s="2">
        <v>35403</v>
      </c>
      <c r="B35408" s="3" t="str">
        <f>"201511038126"</f>
        <v>201511038126</v>
      </c>
    </row>
    <row r="35409" spans="1:2" x14ac:dyDescent="0.25">
      <c r="A35409" s="2">
        <v>35404</v>
      </c>
      <c r="B35409" s="3" t="str">
        <f>"201511038156"</f>
        <v>201511038156</v>
      </c>
    </row>
    <row r="35410" spans="1:2" x14ac:dyDescent="0.25">
      <c r="A35410" s="2">
        <v>35405</v>
      </c>
      <c r="B35410" s="3" t="str">
        <f>"201511038187"</f>
        <v>201511038187</v>
      </c>
    </row>
    <row r="35411" spans="1:2" x14ac:dyDescent="0.25">
      <c r="A35411" s="2">
        <v>35406</v>
      </c>
      <c r="B35411" s="3" t="str">
        <f>"201511038188"</f>
        <v>201511038188</v>
      </c>
    </row>
    <row r="35412" spans="1:2" x14ac:dyDescent="0.25">
      <c r="A35412" s="2">
        <v>35407</v>
      </c>
      <c r="B35412" s="3" t="str">
        <f>"201511038199"</f>
        <v>201511038199</v>
      </c>
    </row>
    <row r="35413" spans="1:2" x14ac:dyDescent="0.25">
      <c r="A35413" s="2">
        <v>35408</v>
      </c>
      <c r="B35413" s="3" t="str">
        <f>"201511038235"</f>
        <v>201511038235</v>
      </c>
    </row>
    <row r="35414" spans="1:2" x14ac:dyDescent="0.25">
      <c r="A35414" s="2">
        <v>35409</v>
      </c>
      <c r="B35414" s="3" t="str">
        <f>"201511038243"</f>
        <v>201511038243</v>
      </c>
    </row>
    <row r="35415" spans="1:2" x14ac:dyDescent="0.25">
      <c r="A35415" s="2">
        <v>35410</v>
      </c>
      <c r="B35415" s="3" t="str">
        <f>"201511038263"</f>
        <v>201511038263</v>
      </c>
    </row>
    <row r="35416" spans="1:2" x14ac:dyDescent="0.25">
      <c r="A35416" s="2">
        <v>35411</v>
      </c>
      <c r="B35416" s="3" t="str">
        <f>"201511038269"</f>
        <v>201511038269</v>
      </c>
    </row>
    <row r="35417" spans="1:2" x14ac:dyDescent="0.25">
      <c r="A35417" s="2">
        <v>35412</v>
      </c>
      <c r="B35417" s="3" t="str">
        <f>"201511038278"</f>
        <v>201511038278</v>
      </c>
    </row>
    <row r="35418" spans="1:2" x14ac:dyDescent="0.25">
      <c r="A35418" s="2">
        <v>35413</v>
      </c>
      <c r="B35418" s="3" t="str">
        <f>"201511038290"</f>
        <v>201511038290</v>
      </c>
    </row>
    <row r="35419" spans="1:2" x14ac:dyDescent="0.25">
      <c r="A35419" s="2">
        <v>35414</v>
      </c>
      <c r="B35419" s="3" t="str">
        <f>"201511038309"</f>
        <v>201511038309</v>
      </c>
    </row>
    <row r="35420" spans="1:2" x14ac:dyDescent="0.25">
      <c r="A35420" s="2">
        <v>35415</v>
      </c>
      <c r="B35420" s="3" t="str">
        <f>"201511038321"</f>
        <v>201511038321</v>
      </c>
    </row>
    <row r="35421" spans="1:2" x14ac:dyDescent="0.25">
      <c r="A35421" s="2">
        <v>35416</v>
      </c>
      <c r="B35421" s="3" t="str">
        <f>"201511038325"</f>
        <v>201511038325</v>
      </c>
    </row>
    <row r="35422" spans="1:2" x14ac:dyDescent="0.25">
      <c r="A35422" s="2">
        <v>35417</v>
      </c>
      <c r="B35422" s="3" t="str">
        <f>"201511038353"</f>
        <v>201511038353</v>
      </c>
    </row>
    <row r="35423" spans="1:2" x14ac:dyDescent="0.25">
      <c r="A35423" s="2">
        <v>35418</v>
      </c>
      <c r="B35423" s="3" t="str">
        <f>"201511038388"</f>
        <v>201511038388</v>
      </c>
    </row>
    <row r="35424" spans="1:2" x14ac:dyDescent="0.25">
      <c r="A35424" s="2">
        <v>35419</v>
      </c>
      <c r="B35424" s="3" t="str">
        <f>"201511038437"</f>
        <v>201511038437</v>
      </c>
    </row>
    <row r="35425" spans="1:2" x14ac:dyDescent="0.25">
      <c r="A35425" s="2">
        <v>35420</v>
      </c>
      <c r="B35425" s="3" t="str">
        <f>"201511038444"</f>
        <v>201511038444</v>
      </c>
    </row>
    <row r="35426" spans="1:2" x14ac:dyDescent="0.25">
      <c r="A35426" s="2">
        <v>35421</v>
      </c>
      <c r="B35426" s="3" t="str">
        <f>"201511038447"</f>
        <v>201511038447</v>
      </c>
    </row>
    <row r="35427" spans="1:2" x14ac:dyDescent="0.25">
      <c r="A35427" s="2">
        <v>35422</v>
      </c>
      <c r="B35427" s="3" t="str">
        <f>"201511038459"</f>
        <v>201511038459</v>
      </c>
    </row>
    <row r="35428" spans="1:2" x14ac:dyDescent="0.25">
      <c r="A35428" s="2">
        <v>35423</v>
      </c>
      <c r="B35428" s="3" t="str">
        <f>"201511038484"</f>
        <v>201511038484</v>
      </c>
    </row>
    <row r="35429" spans="1:2" x14ac:dyDescent="0.25">
      <c r="A35429" s="2">
        <v>35424</v>
      </c>
      <c r="B35429" s="3" t="str">
        <f>"201511038522"</f>
        <v>201511038522</v>
      </c>
    </row>
    <row r="35430" spans="1:2" x14ac:dyDescent="0.25">
      <c r="A35430" s="2">
        <v>35425</v>
      </c>
      <c r="B35430" s="3" t="str">
        <f>"201511038528"</f>
        <v>201511038528</v>
      </c>
    </row>
    <row r="35431" spans="1:2" x14ac:dyDescent="0.25">
      <c r="A35431" s="2">
        <v>35426</v>
      </c>
      <c r="B35431" s="3" t="str">
        <f>"201511038552"</f>
        <v>201511038552</v>
      </c>
    </row>
    <row r="35432" spans="1:2" x14ac:dyDescent="0.25">
      <c r="A35432" s="2">
        <v>35427</v>
      </c>
      <c r="B35432" s="3" t="str">
        <f>"201511038556"</f>
        <v>201511038556</v>
      </c>
    </row>
    <row r="35433" spans="1:2" x14ac:dyDescent="0.25">
      <c r="A35433" s="2">
        <v>35428</v>
      </c>
      <c r="B35433" s="3" t="str">
        <f>"201511038592"</f>
        <v>201511038592</v>
      </c>
    </row>
    <row r="35434" spans="1:2" x14ac:dyDescent="0.25">
      <c r="A35434" s="2">
        <v>35429</v>
      </c>
      <c r="B35434" s="3" t="str">
        <f>"201511038618"</f>
        <v>201511038618</v>
      </c>
    </row>
    <row r="35435" spans="1:2" x14ac:dyDescent="0.25">
      <c r="A35435" s="2">
        <v>35430</v>
      </c>
      <c r="B35435" s="3" t="str">
        <f>"201511038635"</f>
        <v>201511038635</v>
      </c>
    </row>
    <row r="35436" spans="1:2" x14ac:dyDescent="0.25">
      <c r="A35436" s="2">
        <v>35431</v>
      </c>
      <c r="B35436" s="3" t="str">
        <f>"201511038651"</f>
        <v>201511038651</v>
      </c>
    </row>
    <row r="35437" spans="1:2" x14ac:dyDescent="0.25">
      <c r="A35437" s="2">
        <v>35432</v>
      </c>
      <c r="B35437" s="3" t="str">
        <f>"201511038717"</f>
        <v>201511038717</v>
      </c>
    </row>
    <row r="35438" spans="1:2" x14ac:dyDescent="0.25">
      <c r="A35438" s="2">
        <v>35433</v>
      </c>
      <c r="B35438" s="3" t="str">
        <f>"201511038718"</f>
        <v>201511038718</v>
      </c>
    </row>
    <row r="35439" spans="1:2" x14ac:dyDescent="0.25">
      <c r="A35439" s="2">
        <v>35434</v>
      </c>
      <c r="B35439" s="3" t="str">
        <f>"201511038768"</f>
        <v>201511038768</v>
      </c>
    </row>
    <row r="35440" spans="1:2" x14ac:dyDescent="0.25">
      <c r="A35440" s="2">
        <v>35435</v>
      </c>
      <c r="B35440" s="3" t="str">
        <f>"201511038778"</f>
        <v>201511038778</v>
      </c>
    </row>
    <row r="35441" spans="1:2" x14ac:dyDescent="0.25">
      <c r="A35441" s="2">
        <v>35436</v>
      </c>
      <c r="B35441" s="3" t="str">
        <f>"201511038784"</f>
        <v>201511038784</v>
      </c>
    </row>
    <row r="35442" spans="1:2" x14ac:dyDescent="0.25">
      <c r="A35442" s="2">
        <v>35437</v>
      </c>
      <c r="B35442" s="3" t="str">
        <f>"201511038789"</f>
        <v>201511038789</v>
      </c>
    </row>
    <row r="35443" spans="1:2" x14ac:dyDescent="0.25">
      <c r="A35443" s="2">
        <v>35438</v>
      </c>
      <c r="B35443" s="3" t="str">
        <f>"201511038797"</f>
        <v>201511038797</v>
      </c>
    </row>
    <row r="35444" spans="1:2" x14ac:dyDescent="0.25">
      <c r="A35444" s="2">
        <v>35439</v>
      </c>
      <c r="B35444" s="3" t="str">
        <f>"201511038812"</f>
        <v>201511038812</v>
      </c>
    </row>
    <row r="35445" spans="1:2" x14ac:dyDescent="0.25">
      <c r="A35445" s="2">
        <v>35440</v>
      </c>
      <c r="B35445" s="3" t="str">
        <f>"201511038817"</f>
        <v>201511038817</v>
      </c>
    </row>
    <row r="35446" spans="1:2" x14ac:dyDescent="0.25">
      <c r="A35446" s="2">
        <v>35441</v>
      </c>
      <c r="B35446" s="3" t="str">
        <f>"201511038819"</f>
        <v>201511038819</v>
      </c>
    </row>
    <row r="35447" spans="1:2" x14ac:dyDescent="0.25">
      <c r="A35447" s="2">
        <v>35442</v>
      </c>
      <c r="B35447" s="3" t="str">
        <f>"201511038822"</f>
        <v>201511038822</v>
      </c>
    </row>
    <row r="35448" spans="1:2" x14ac:dyDescent="0.25">
      <c r="A35448" s="2">
        <v>35443</v>
      </c>
      <c r="B35448" s="3" t="str">
        <f>"201511038828"</f>
        <v>201511038828</v>
      </c>
    </row>
    <row r="35449" spans="1:2" x14ac:dyDescent="0.25">
      <c r="A35449" s="2">
        <v>35444</v>
      </c>
      <c r="B35449" s="3" t="str">
        <f>"201511038855"</f>
        <v>201511038855</v>
      </c>
    </row>
    <row r="35450" spans="1:2" x14ac:dyDescent="0.25">
      <c r="A35450" s="2">
        <v>35445</v>
      </c>
      <c r="B35450" s="3" t="str">
        <f>"201511038862"</f>
        <v>201511038862</v>
      </c>
    </row>
    <row r="35451" spans="1:2" x14ac:dyDescent="0.25">
      <c r="A35451" s="2">
        <v>35446</v>
      </c>
      <c r="B35451" s="3" t="str">
        <f>"201511038876"</f>
        <v>201511038876</v>
      </c>
    </row>
    <row r="35452" spans="1:2" x14ac:dyDescent="0.25">
      <c r="A35452" s="2">
        <v>35447</v>
      </c>
      <c r="B35452" s="3" t="str">
        <f>"201511038880"</f>
        <v>201511038880</v>
      </c>
    </row>
    <row r="35453" spans="1:2" x14ac:dyDescent="0.25">
      <c r="A35453" s="2">
        <v>35448</v>
      </c>
      <c r="B35453" s="3" t="str">
        <f>"201511038889"</f>
        <v>201511038889</v>
      </c>
    </row>
    <row r="35454" spans="1:2" x14ac:dyDescent="0.25">
      <c r="A35454" s="2">
        <v>35449</v>
      </c>
      <c r="B35454" s="3" t="str">
        <f>"201511038945"</f>
        <v>201511038945</v>
      </c>
    </row>
    <row r="35455" spans="1:2" x14ac:dyDescent="0.25">
      <c r="A35455" s="2">
        <v>35450</v>
      </c>
      <c r="B35455" s="3" t="str">
        <f>"201511038946"</f>
        <v>201511038946</v>
      </c>
    </row>
    <row r="35456" spans="1:2" x14ac:dyDescent="0.25">
      <c r="A35456" s="2">
        <v>35451</v>
      </c>
      <c r="B35456" s="3" t="str">
        <f>"201511038954"</f>
        <v>201511038954</v>
      </c>
    </row>
    <row r="35457" spans="1:2" x14ac:dyDescent="0.25">
      <c r="A35457" s="2">
        <v>35452</v>
      </c>
      <c r="B35457" s="3" t="str">
        <f>"201511038963"</f>
        <v>201511038963</v>
      </c>
    </row>
    <row r="35458" spans="1:2" x14ac:dyDescent="0.25">
      <c r="A35458" s="2">
        <v>35453</v>
      </c>
      <c r="B35458" s="3" t="str">
        <f>"201511038969"</f>
        <v>201511038969</v>
      </c>
    </row>
    <row r="35459" spans="1:2" x14ac:dyDescent="0.25">
      <c r="A35459" s="2">
        <v>35454</v>
      </c>
      <c r="B35459" s="3" t="str">
        <f>"201511038970"</f>
        <v>201511038970</v>
      </c>
    </row>
    <row r="35460" spans="1:2" x14ac:dyDescent="0.25">
      <c r="A35460" s="2">
        <v>35455</v>
      </c>
      <c r="B35460" s="3" t="str">
        <f>"201511038989"</f>
        <v>201511038989</v>
      </c>
    </row>
    <row r="35461" spans="1:2" x14ac:dyDescent="0.25">
      <c r="A35461" s="2">
        <v>35456</v>
      </c>
      <c r="B35461" s="3" t="str">
        <f>"201511038999"</f>
        <v>201511038999</v>
      </c>
    </row>
    <row r="35462" spans="1:2" x14ac:dyDescent="0.25">
      <c r="A35462" s="2">
        <v>35457</v>
      </c>
      <c r="B35462" s="3" t="str">
        <f>"201511039014"</f>
        <v>201511039014</v>
      </c>
    </row>
    <row r="35463" spans="1:2" x14ac:dyDescent="0.25">
      <c r="A35463" s="2">
        <v>35458</v>
      </c>
      <c r="B35463" s="3" t="str">
        <f>"201511039052"</f>
        <v>201511039052</v>
      </c>
    </row>
    <row r="35464" spans="1:2" x14ac:dyDescent="0.25">
      <c r="A35464" s="2">
        <v>35459</v>
      </c>
      <c r="B35464" s="3" t="str">
        <f>"201511039054"</f>
        <v>201511039054</v>
      </c>
    </row>
    <row r="35465" spans="1:2" x14ac:dyDescent="0.25">
      <c r="A35465" s="2">
        <v>35460</v>
      </c>
      <c r="B35465" s="3" t="str">
        <f>"201511039080"</f>
        <v>201511039080</v>
      </c>
    </row>
    <row r="35466" spans="1:2" x14ac:dyDescent="0.25">
      <c r="A35466" s="2">
        <v>35461</v>
      </c>
      <c r="B35466" s="3" t="str">
        <f>"201511039154"</f>
        <v>201511039154</v>
      </c>
    </row>
    <row r="35467" spans="1:2" x14ac:dyDescent="0.25">
      <c r="A35467" s="2">
        <v>35462</v>
      </c>
      <c r="B35467" s="3" t="str">
        <f>"201511039178"</f>
        <v>201511039178</v>
      </c>
    </row>
    <row r="35468" spans="1:2" x14ac:dyDescent="0.25">
      <c r="A35468" s="2">
        <v>35463</v>
      </c>
      <c r="B35468" s="3" t="str">
        <f>"201511039195"</f>
        <v>201511039195</v>
      </c>
    </row>
    <row r="35469" spans="1:2" x14ac:dyDescent="0.25">
      <c r="A35469" s="2">
        <v>35464</v>
      </c>
      <c r="B35469" s="3" t="str">
        <f>"201511039209"</f>
        <v>201511039209</v>
      </c>
    </row>
    <row r="35470" spans="1:2" x14ac:dyDescent="0.25">
      <c r="A35470" s="2">
        <v>35465</v>
      </c>
      <c r="B35470" s="3" t="str">
        <f>"201511039246"</f>
        <v>201511039246</v>
      </c>
    </row>
    <row r="35471" spans="1:2" x14ac:dyDescent="0.25">
      <c r="A35471" s="2">
        <v>35466</v>
      </c>
      <c r="B35471" s="3" t="str">
        <f>"201511039252"</f>
        <v>201511039252</v>
      </c>
    </row>
    <row r="35472" spans="1:2" x14ac:dyDescent="0.25">
      <c r="A35472" s="2">
        <v>35467</v>
      </c>
      <c r="B35472" s="3" t="str">
        <f>"201511039282"</f>
        <v>201511039282</v>
      </c>
    </row>
    <row r="35473" spans="1:2" x14ac:dyDescent="0.25">
      <c r="A35473" s="2">
        <v>35468</v>
      </c>
      <c r="B35473" s="3" t="str">
        <f>"201511039297"</f>
        <v>201511039297</v>
      </c>
    </row>
    <row r="35474" spans="1:2" x14ac:dyDescent="0.25">
      <c r="A35474" s="2">
        <v>35469</v>
      </c>
      <c r="B35474" s="3" t="str">
        <f>"201511039311"</f>
        <v>201511039311</v>
      </c>
    </row>
    <row r="35475" spans="1:2" x14ac:dyDescent="0.25">
      <c r="A35475" s="2">
        <v>35470</v>
      </c>
      <c r="B35475" s="3" t="str">
        <f>"201511039312"</f>
        <v>201511039312</v>
      </c>
    </row>
    <row r="35476" spans="1:2" x14ac:dyDescent="0.25">
      <c r="A35476" s="2">
        <v>35471</v>
      </c>
      <c r="B35476" s="3" t="str">
        <f>"201511039356"</f>
        <v>201511039356</v>
      </c>
    </row>
    <row r="35477" spans="1:2" x14ac:dyDescent="0.25">
      <c r="A35477" s="2">
        <v>35472</v>
      </c>
      <c r="B35477" s="3" t="str">
        <f>"201511039358"</f>
        <v>201511039358</v>
      </c>
    </row>
    <row r="35478" spans="1:2" x14ac:dyDescent="0.25">
      <c r="A35478" s="2">
        <v>35473</v>
      </c>
      <c r="B35478" s="3" t="str">
        <f>"201511039362"</f>
        <v>201511039362</v>
      </c>
    </row>
    <row r="35479" spans="1:2" x14ac:dyDescent="0.25">
      <c r="A35479" s="2">
        <v>35474</v>
      </c>
      <c r="B35479" s="3" t="str">
        <f>"201511039370"</f>
        <v>201511039370</v>
      </c>
    </row>
    <row r="35480" spans="1:2" x14ac:dyDescent="0.25">
      <c r="A35480" s="2">
        <v>35475</v>
      </c>
      <c r="B35480" s="3" t="str">
        <f>"201511039374"</f>
        <v>201511039374</v>
      </c>
    </row>
    <row r="35481" spans="1:2" x14ac:dyDescent="0.25">
      <c r="A35481" s="2">
        <v>35476</v>
      </c>
      <c r="B35481" s="3" t="str">
        <f>"201511039381"</f>
        <v>201511039381</v>
      </c>
    </row>
    <row r="35482" spans="1:2" x14ac:dyDescent="0.25">
      <c r="A35482" s="2">
        <v>35477</v>
      </c>
      <c r="B35482" s="3" t="str">
        <f>"201511039416"</f>
        <v>201511039416</v>
      </c>
    </row>
    <row r="35483" spans="1:2" x14ac:dyDescent="0.25">
      <c r="A35483" s="2">
        <v>35478</v>
      </c>
      <c r="B35483" s="3" t="str">
        <f>"201511039418"</f>
        <v>201511039418</v>
      </c>
    </row>
    <row r="35484" spans="1:2" x14ac:dyDescent="0.25">
      <c r="A35484" s="2">
        <v>35479</v>
      </c>
      <c r="B35484" s="3" t="str">
        <f>"201511039442"</f>
        <v>201511039442</v>
      </c>
    </row>
    <row r="35485" spans="1:2" x14ac:dyDescent="0.25">
      <c r="A35485" s="2">
        <v>35480</v>
      </c>
      <c r="B35485" s="3" t="str">
        <f>"201511039464"</f>
        <v>201511039464</v>
      </c>
    </row>
    <row r="35486" spans="1:2" x14ac:dyDescent="0.25">
      <c r="A35486" s="2">
        <v>35481</v>
      </c>
      <c r="B35486" s="3" t="str">
        <f>"201511039465"</f>
        <v>201511039465</v>
      </c>
    </row>
    <row r="35487" spans="1:2" x14ac:dyDescent="0.25">
      <c r="A35487" s="2">
        <v>35482</v>
      </c>
      <c r="B35487" s="3" t="str">
        <f>"201511039476"</f>
        <v>201511039476</v>
      </c>
    </row>
    <row r="35488" spans="1:2" x14ac:dyDescent="0.25">
      <c r="A35488" s="2">
        <v>35483</v>
      </c>
      <c r="B35488" s="3" t="str">
        <f>"201511039486"</f>
        <v>201511039486</v>
      </c>
    </row>
    <row r="35489" spans="1:2" x14ac:dyDescent="0.25">
      <c r="A35489" s="2">
        <v>35484</v>
      </c>
      <c r="B35489" s="3" t="str">
        <f>"201511039488"</f>
        <v>201511039488</v>
      </c>
    </row>
    <row r="35490" spans="1:2" x14ac:dyDescent="0.25">
      <c r="A35490" s="2">
        <v>35485</v>
      </c>
      <c r="B35490" s="3" t="str">
        <f>"201511039493"</f>
        <v>201511039493</v>
      </c>
    </row>
    <row r="35491" spans="1:2" x14ac:dyDescent="0.25">
      <c r="A35491" s="2">
        <v>35486</v>
      </c>
      <c r="B35491" s="3" t="str">
        <f>"201511039508"</f>
        <v>201511039508</v>
      </c>
    </row>
    <row r="35492" spans="1:2" x14ac:dyDescent="0.25">
      <c r="A35492" s="2">
        <v>35487</v>
      </c>
      <c r="B35492" s="3" t="str">
        <f>"201511039509"</f>
        <v>201511039509</v>
      </c>
    </row>
    <row r="35493" spans="1:2" x14ac:dyDescent="0.25">
      <c r="A35493" s="2">
        <v>35488</v>
      </c>
      <c r="B35493" s="3" t="str">
        <f>"201511039520"</f>
        <v>201511039520</v>
      </c>
    </row>
    <row r="35494" spans="1:2" x14ac:dyDescent="0.25">
      <c r="A35494" s="2">
        <v>35489</v>
      </c>
      <c r="B35494" s="3" t="str">
        <f>"201511039521"</f>
        <v>201511039521</v>
      </c>
    </row>
    <row r="35495" spans="1:2" x14ac:dyDescent="0.25">
      <c r="A35495" s="2">
        <v>35490</v>
      </c>
      <c r="B35495" s="3" t="str">
        <f>"201511039525"</f>
        <v>201511039525</v>
      </c>
    </row>
    <row r="35496" spans="1:2" x14ac:dyDescent="0.25">
      <c r="A35496" s="2">
        <v>35491</v>
      </c>
      <c r="B35496" s="3" t="str">
        <f>"201511039535"</f>
        <v>201511039535</v>
      </c>
    </row>
    <row r="35497" spans="1:2" x14ac:dyDescent="0.25">
      <c r="A35497" s="2">
        <v>35492</v>
      </c>
      <c r="B35497" s="3" t="str">
        <f>"201511039553"</f>
        <v>201511039553</v>
      </c>
    </row>
    <row r="35498" spans="1:2" x14ac:dyDescent="0.25">
      <c r="A35498" s="2">
        <v>35493</v>
      </c>
      <c r="B35498" s="3" t="str">
        <f>"201511039562"</f>
        <v>201511039562</v>
      </c>
    </row>
    <row r="35499" spans="1:2" x14ac:dyDescent="0.25">
      <c r="A35499" s="2">
        <v>35494</v>
      </c>
      <c r="B35499" s="3" t="str">
        <f>"201511039577"</f>
        <v>201511039577</v>
      </c>
    </row>
    <row r="35500" spans="1:2" x14ac:dyDescent="0.25">
      <c r="A35500" s="2">
        <v>35495</v>
      </c>
      <c r="B35500" s="3" t="str">
        <f>"201511039583"</f>
        <v>201511039583</v>
      </c>
    </row>
    <row r="35501" spans="1:2" x14ac:dyDescent="0.25">
      <c r="A35501" s="2">
        <v>35496</v>
      </c>
      <c r="B35501" s="3" t="str">
        <f>"201511039605"</f>
        <v>201511039605</v>
      </c>
    </row>
    <row r="35502" spans="1:2" x14ac:dyDescent="0.25">
      <c r="A35502" s="2">
        <v>35497</v>
      </c>
      <c r="B35502" s="3" t="str">
        <f>"201511039606"</f>
        <v>201511039606</v>
      </c>
    </row>
    <row r="35503" spans="1:2" x14ac:dyDescent="0.25">
      <c r="A35503" s="2">
        <v>35498</v>
      </c>
      <c r="B35503" s="3" t="str">
        <f>"201511039618"</f>
        <v>201511039618</v>
      </c>
    </row>
    <row r="35504" spans="1:2" x14ac:dyDescent="0.25">
      <c r="A35504" s="2">
        <v>35499</v>
      </c>
      <c r="B35504" s="3" t="str">
        <f>"201511039634"</f>
        <v>201511039634</v>
      </c>
    </row>
    <row r="35505" spans="1:2" x14ac:dyDescent="0.25">
      <c r="A35505" s="2">
        <v>35500</v>
      </c>
      <c r="B35505" s="3" t="str">
        <f>"201511039641"</f>
        <v>201511039641</v>
      </c>
    </row>
    <row r="35506" spans="1:2" x14ac:dyDescent="0.25">
      <c r="A35506" s="2">
        <v>35501</v>
      </c>
      <c r="B35506" s="3" t="str">
        <f>"201511039683"</f>
        <v>201511039683</v>
      </c>
    </row>
    <row r="35507" spans="1:2" x14ac:dyDescent="0.25">
      <c r="A35507" s="2">
        <v>35502</v>
      </c>
      <c r="B35507" s="3" t="str">
        <f>"201511039689"</f>
        <v>201511039689</v>
      </c>
    </row>
    <row r="35508" spans="1:2" x14ac:dyDescent="0.25">
      <c r="A35508" s="2">
        <v>35503</v>
      </c>
      <c r="B35508" s="3" t="str">
        <f>"201511039691"</f>
        <v>201511039691</v>
      </c>
    </row>
    <row r="35509" spans="1:2" x14ac:dyDescent="0.25">
      <c r="A35509" s="2">
        <v>35504</v>
      </c>
      <c r="B35509" s="3" t="str">
        <f>"201511039718"</f>
        <v>201511039718</v>
      </c>
    </row>
    <row r="35510" spans="1:2" x14ac:dyDescent="0.25">
      <c r="A35510" s="2">
        <v>35505</v>
      </c>
      <c r="B35510" s="3" t="str">
        <f>"201511039721"</f>
        <v>201511039721</v>
      </c>
    </row>
    <row r="35511" spans="1:2" x14ac:dyDescent="0.25">
      <c r="A35511" s="2">
        <v>35506</v>
      </c>
      <c r="B35511" s="3" t="str">
        <f>"201511039740"</f>
        <v>201511039740</v>
      </c>
    </row>
    <row r="35512" spans="1:2" x14ac:dyDescent="0.25">
      <c r="A35512" s="2">
        <v>35507</v>
      </c>
      <c r="B35512" s="3" t="str">
        <f>"201511039741"</f>
        <v>201511039741</v>
      </c>
    </row>
    <row r="35513" spans="1:2" x14ac:dyDescent="0.25">
      <c r="A35513" s="2">
        <v>35508</v>
      </c>
      <c r="B35513" s="3" t="str">
        <f>"201511039775"</f>
        <v>201511039775</v>
      </c>
    </row>
    <row r="35514" spans="1:2" x14ac:dyDescent="0.25">
      <c r="A35514" s="2">
        <v>35509</v>
      </c>
      <c r="B35514" s="3" t="str">
        <f>"201511039780"</f>
        <v>201511039780</v>
      </c>
    </row>
    <row r="35515" spans="1:2" x14ac:dyDescent="0.25">
      <c r="A35515" s="2">
        <v>35510</v>
      </c>
      <c r="B35515" s="3" t="str">
        <f>"201511039784"</f>
        <v>201511039784</v>
      </c>
    </row>
    <row r="35516" spans="1:2" x14ac:dyDescent="0.25">
      <c r="A35516" s="2">
        <v>35511</v>
      </c>
      <c r="B35516" s="3" t="str">
        <f>"201511039797"</f>
        <v>201511039797</v>
      </c>
    </row>
    <row r="35517" spans="1:2" x14ac:dyDescent="0.25">
      <c r="A35517" s="2">
        <v>35512</v>
      </c>
      <c r="B35517" s="3" t="str">
        <f>"201511039826"</f>
        <v>201511039826</v>
      </c>
    </row>
    <row r="35518" spans="1:2" x14ac:dyDescent="0.25">
      <c r="A35518" s="2">
        <v>35513</v>
      </c>
      <c r="B35518" s="3" t="str">
        <f>"201511039832"</f>
        <v>201511039832</v>
      </c>
    </row>
    <row r="35519" spans="1:2" x14ac:dyDescent="0.25">
      <c r="A35519" s="2">
        <v>35514</v>
      </c>
      <c r="B35519" s="3" t="str">
        <f>"201511039843"</f>
        <v>201511039843</v>
      </c>
    </row>
    <row r="35520" spans="1:2" x14ac:dyDescent="0.25">
      <c r="A35520" s="2">
        <v>35515</v>
      </c>
      <c r="B35520" s="3" t="str">
        <f>"201511039891"</f>
        <v>201511039891</v>
      </c>
    </row>
    <row r="35521" spans="1:2" x14ac:dyDescent="0.25">
      <c r="A35521" s="2">
        <v>35516</v>
      </c>
      <c r="B35521" s="3" t="str">
        <f>"201511039908"</f>
        <v>201511039908</v>
      </c>
    </row>
    <row r="35522" spans="1:2" x14ac:dyDescent="0.25">
      <c r="A35522" s="2">
        <v>35517</v>
      </c>
      <c r="B35522" s="3" t="str">
        <f>"201511039915"</f>
        <v>201511039915</v>
      </c>
    </row>
    <row r="35523" spans="1:2" x14ac:dyDescent="0.25">
      <c r="A35523" s="2">
        <v>35518</v>
      </c>
      <c r="B35523" s="3" t="str">
        <f>"201511039921"</f>
        <v>201511039921</v>
      </c>
    </row>
    <row r="35524" spans="1:2" x14ac:dyDescent="0.25">
      <c r="A35524" s="2">
        <v>35519</v>
      </c>
      <c r="B35524" s="3" t="str">
        <f>"201511039936"</f>
        <v>201511039936</v>
      </c>
    </row>
    <row r="35525" spans="1:2" x14ac:dyDescent="0.25">
      <c r="A35525" s="2">
        <v>35520</v>
      </c>
      <c r="B35525" s="3" t="str">
        <f>"201511039961"</f>
        <v>201511039961</v>
      </c>
    </row>
    <row r="35526" spans="1:2" x14ac:dyDescent="0.25">
      <c r="A35526" s="2">
        <v>35521</v>
      </c>
      <c r="B35526" s="3" t="str">
        <f>"201511039996"</f>
        <v>201511039996</v>
      </c>
    </row>
    <row r="35527" spans="1:2" x14ac:dyDescent="0.25">
      <c r="A35527" s="2">
        <v>35522</v>
      </c>
      <c r="B35527" s="3" t="str">
        <f>"201511040003"</f>
        <v>201511040003</v>
      </c>
    </row>
    <row r="35528" spans="1:2" x14ac:dyDescent="0.25">
      <c r="A35528" s="2">
        <v>35523</v>
      </c>
      <c r="B35528" s="3" t="str">
        <f>"201511040048"</f>
        <v>201511040048</v>
      </c>
    </row>
    <row r="35529" spans="1:2" x14ac:dyDescent="0.25">
      <c r="A35529" s="2">
        <v>35524</v>
      </c>
      <c r="B35529" s="3" t="str">
        <f>"201511040079"</f>
        <v>201511040079</v>
      </c>
    </row>
    <row r="35530" spans="1:2" x14ac:dyDescent="0.25">
      <c r="A35530" s="2">
        <v>35525</v>
      </c>
      <c r="B35530" s="3" t="str">
        <f>"201511040080"</f>
        <v>201511040080</v>
      </c>
    </row>
    <row r="35531" spans="1:2" x14ac:dyDescent="0.25">
      <c r="A35531" s="2">
        <v>35526</v>
      </c>
      <c r="B35531" s="3" t="str">
        <f>"201511040102"</f>
        <v>201511040102</v>
      </c>
    </row>
    <row r="35532" spans="1:2" x14ac:dyDescent="0.25">
      <c r="A35532" s="2">
        <v>35527</v>
      </c>
      <c r="B35532" s="3" t="str">
        <f>"201511040128"</f>
        <v>201511040128</v>
      </c>
    </row>
    <row r="35533" spans="1:2" x14ac:dyDescent="0.25">
      <c r="A35533" s="2">
        <v>35528</v>
      </c>
      <c r="B35533" s="3" t="str">
        <f>"201511040130"</f>
        <v>201511040130</v>
      </c>
    </row>
    <row r="35534" spans="1:2" x14ac:dyDescent="0.25">
      <c r="A35534" s="2">
        <v>35529</v>
      </c>
      <c r="B35534" s="3" t="str">
        <f>"201511040141"</f>
        <v>201511040141</v>
      </c>
    </row>
    <row r="35535" spans="1:2" x14ac:dyDescent="0.25">
      <c r="A35535" s="2">
        <v>35530</v>
      </c>
      <c r="B35535" s="3" t="str">
        <f>"201511040154"</f>
        <v>201511040154</v>
      </c>
    </row>
    <row r="35536" spans="1:2" x14ac:dyDescent="0.25">
      <c r="A35536" s="2">
        <v>35531</v>
      </c>
      <c r="B35536" s="3" t="str">
        <f>"201511040204"</f>
        <v>201511040204</v>
      </c>
    </row>
    <row r="35537" spans="1:2" x14ac:dyDescent="0.25">
      <c r="A35537" s="2">
        <v>35532</v>
      </c>
      <c r="B35537" s="3" t="str">
        <f>"201511040258"</f>
        <v>201511040258</v>
      </c>
    </row>
    <row r="35538" spans="1:2" x14ac:dyDescent="0.25">
      <c r="A35538" s="2">
        <v>35533</v>
      </c>
      <c r="B35538" s="3" t="str">
        <f>"201511040265"</f>
        <v>201511040265</v>
      </c>
    </row>
    <row r="35539" spans="1:2" x14ac:dyDescent="0.25">
      <c r="A35539" s="2">
        <v>35534</v>
      </c>
      <c r="B35539" s="3" t="str">
        <f>"201511040268"</f>
        <v>201511040268</v>
      </c>
    </row>
    <row r="35540" spans="1:2" x14ac:dyDescent="0.25">
      <c r="A35540" s="2">
        <v>35535</v>
      </c>
      <c r="B35540" s="3" t="str">
        <f>"201511040272"</f>
        <v>201511040272</v>
      </c>
    </row>
    <row r="35541" spans="1:2" x14ac:dyDescent="0.25">
      <c r="A35541" s="2">
        <v>35536</v>
      </c>
      <c r="B35541" s="3" t="str">
        <f>"201511040288"</f>
        <v>201511040288</v>
      </c>
    </row>
    <row r="35542" spans="1:2" x14ac:dyDescent="0.25">
      <c r="A35542" s="2">
        <v>35537</v>
      </c>
      <c r="B35542" s="3" t="str">
        <f>"201511040300"</f>
        <v>201511040300</v>
      </c>
    </row>
    <row r="35543" spans="1:2" x14ac:dyDescent="0.25">
      <c r="A35543" s="2">
        <v>35538</v>
      </c>
      <c r="B35543" s="3" t="str">
        <f>"201511040301"</f>
        <v>201511040301</v>
      </c>
    </row>
    <row r="35544" spans="1:2" x14ac:dyDescent="0.25">
      <c r="A35544" s="2">
        <v>35539</v>
      </c>
      <c r="B35544" s="3" t="str">
        <f>"201511040307"</f>
        <v>201511040307</v>
      </c>
    </row>
    <row r="35545" spans="1:2" x14ac:dyDescent="0.25">
      <c r="A35545" s="2">
        <v>35540</v>
      </c>
      <c r="B35545" s="3" t="str">
        <f>"201511040314"</f>
        <v>201511040314</v>
      </c>
    </row>
    <row r="35546" spans="1:2" x14ac:dyDescent="0.25">
      <c r="A35546" s="2">
        <v>35541</v>
      </c>
      <c r="B35546" s="3" t="str">
        <f>"201511040322"</f>
        <v>201511040322</v>
      </c>
    </row>
    <row r="35547" spans="1:2" x14ac:dyDescent="0.25">
      <c r="A35547" s="2">
        <v>35542</v>
      </c>
      <c r="B35547" s="3" t="str">
        <f>"201511040330"</f>
        <v>201511040330</v>
      </c>
    </row>
    <row r="35548" spans="1:2" x14ac:dyDescent="0.25">
      <c r="A35548" s="2">
        <v>35543</v>
      </c>
      <c r="B35548" s="3" t="str">
        <f>"201511040334"</f>
        <v>201511040334</v>
      </c>
    </row>
    <row r="35549" spans="1:2" x14ac:dyDescent="0.25">
      <c r="A35549" s="2">
        <v>35544</v>
      </c>
      <c r="B35549" s="3" t="str">
        <f>"201511040377"</f>
        <v>201511040377</v>
      </c>
    </row>
    <row r="35550" spans="1:2" x14ac:dyDescent="0.25">
      <c r="A35550" s="2">
        <v>35545</v>
      </c>
      <c r="B35550" s="3" t="str">
        <f>"201511040391"</f>
        <v>201511040391</v>
      </c>
    </row>
    <row r="35551" spans="1:2" x14ac:dyDescent="0.25">
      <c r="A35551" s="2">
        <v>35546</v>
      </c>
      <c r="B35551" s="3" t="str">
        <f>"201511040407"</f>
        <v>201511040407</v>
      </c>
    </row>
    <row r="35552" spans="1:2" x14ac:dyDescent="0.25">
      <c r="A35552" s="2">
        <v>35547</v>
      </c>
      <c r="B35552" s="3" t="str">
        <f>"201511040424"</f>
        <v>201511040424</v>
      </c>
    </row>
    <row r="35553" spans="1:2" x14ac:dyDescent="0.25">
      <c r="A35553" s="2">
        <v>35548</v>
      </c>
      <c r="B35553" s="3" t="str">
        <f>"201511040439"</f>
        <v>201511040439</v>
      </c>
    </row>
    <row r="35554" spans="1:2" x14ac:dyDescent="0.25">
      <c r="A35554" s="2">
        <v>35549</v>
      </c>
      <c r="B35554" s="3" t="str">
        <f>"201511040444"</f>
        <v>201511040444</v>
      </c>
    </row>
    <row r="35555" spans="1:2" x14ac:dyDescent="0.25">
      <c r="A35555" s="2">
        <v>35550</v>
      </c>
      <c r="B35555" s="3" t="str">
        <f>"201511040448"</f>
        <v>201511040448</v>
      </c>
    </row>
    <row r="35556" spans="1:2" x14ac:dyDescent="0.25">
      <c r="A35556" s="2">
        <v>35551</v>
      </c>
      <c r="B35556" s="3" t="str">
        <f>"201511040483"</f>
        <v>201511040483</v>
      </c>
    </row>
    <row r="35557" spans="1:2" x14ac:dyDescent="0.25">
      <c r="A35557" s="2">
        <v>35552</v>
      </c>
      <c r="B35557" s="3" t="str">
        <f>"201511040560"</f>
        <v>201511040560</v>
      </c>
    </row>
    <row r="35558" spans="1:2" x14ac:dyDescent="0.25">
      <c r="A35558" s="2">
        <v>35553</v>
      </c>
      <c r="B35558" s="3" t="str">
        <f>"201511040583"</f>
        <v>201511040583</v>
      </c>
    </row>
    <row r="35559" spans="1:2" x14ac:dyDescent="0.25">
      <c r="A35559" s="2">
        <v>35554</v>
      </c>
      <c r="B35559" s="3" t="str">
        <f>"201511040588"</f>
        <v>201511040588</v>
      </c>
    </row>
    <row r="35560" spans="1:2" x14ac:dyDescent="0.25">
      <c r="A35560" s="2">
        <v>35555</v>
      </c>
      <c r="B35560" s="3" t="str">
        <f>"201511040594"</f>
        <v>201511040594</v>
      </c>
    </row>
    <row r="35561" spans="1:2" x14ac:dyDescent="0.25">
      <c r="A35561" s="2">
        <v>35556</v>
      </c>
      <c r="B35561" s="3" t="str">
        <f>"201511040599"</f>
        <v>201511040599</v>
      </c>
    </row>
    <row r="35562" spans="1:2" x14ac:dyDescent="0.25">
      <c r="A35562" s="2">
        <v>35557</v>
      </c>
      <c r="B35562" s="3" t="str">
        <f>"201511040605"</f>
        <v>201511040605</v>
      </c>
    </row>
    <row r="35563" spans="1:2" x14ac:dyDescent="0.25">
      <c r="A35563" s="2">
        <v>35558</v>
      </c>
      <c r="B35563" s="3" t="str">
        <f>"201511040616"</f>
        <v>201511040616</v>
      </c>
    </row>
    <row r="35564" spans="1:2" x14ac:dyDescent="0.25">
      <c r="A35564" s="2">
        <v>35559</v>
      </c>
      <c r="B35564" s="3" t="str">
        <f>"201511040634"</f>
        <v>201511040634</v>
      </c>
    </row>
    <row r="35565" spans="1:2" x14ac:dyDescent="0.25">
      <c r="A35565" s="2">
        <v>35560</v>
      </c>
      <c r="B35565" s="3" t="str">
        <f>"201511040639"</f>
        <v>201511040639</v>
      </c>
    </row>
    <row r="35566" spans="1:2" x14ac:dyDescent="0.25">
      <c r="A35566" s="2">
        <v>35561</v>
      </c>
      <c r="B35566" s="3" t="str">
        <f>"201511040649"</f>
        <v>201511040649</v>
      </c>
    </row>
    <row r="35567" spans="1:2" x14ac:dyDescent="0.25">
      <c r="A35567" s="2">
        <v>35562</v>
      </c>
      <c r="B35567" s="3" t="str">
        <f>"201511040671"</f>
        <v>201511040671</v>
      </c>
    </row>
    <row r="35568" spans="1:2" x14ac:dyDescent="0.25">
      <c r="A35568" s="2">
        <v>35563</v>
      </c>
      <c r="B35568" s="3" t="str">
        <f>"201511040675"</f>
        <v>201511040675</v>
      </c>
    </row>
    <row r="35569" spans="1:2" x14ac:dyDescent="0.25">
      <c r="A35569" s="2">
        <v>35564</v>
      </c>
      <c r="B35569" s="3" t="str">
        <f>"201511040693"</f>
        <v>201511040693</v>
      </c>
    </row>
    <row r="35570" spans="1:2" x14ac:dyDescent="0.25">
      <c r="A35570" s="2">
        <v>35565</v>
      </c>
      <c r="B35570" s="3" t="str">
        <f>"201511040723"</f>
        <v>201511040723</v>
      </c>
    </row>
    <row r="35571" spans="1:2" x14ac:dyDescent="0.25">
      <c r="A35571" s="2">
        <v>35566</v>
      </c>
      <c r="B35571" s="3" t="str">
        <f>"201511040732"</f>
        <v>201511040732</v>
      </c>
    </row>
    <row r="35572" spans="1:2" x14ac:dyDescent="0.25">
      <c r="A35572" s="2">
        <v>35567</v>
      </c>
      <c r="B35572" s="3" t="str">
        <f>"201511040739"</f>
        <v>201511040739</v>
      </c>
    </row>
    <row r="35573" spans="1:2" x14ac:dyDescent="0.25">
      <c r="A35573" s="2">
        <v>35568</v>
      </c>
      <c r="B35573" s="3" t="str">
        <f>"201511040744"</f>
        <v>201511040744</v>
      </c>
    </row>
    <row r="35574" spans="1:2" x14ac:dyDescent="0.25">
      <c r="A35574" s="2">
        <v>35569</v>
      </c>
      <c r="B35574" s="3" t="str">
        <f>"201511040754"</f>
        <v>201511040754</v>
      </c>
    </row>
    <row r="35575" spans="1:2" x14ac:dyDescent="0.25">
      <c r="A35575" s="2">
        <v>35570</v>
      </c>
      <c r="B35575" s="3" t="str">
        <f>"201511040790"</f>
        <v>201511040790</v>
      </c>
    </row>
    <row r="35576" spans="1:2" x14ac:dyDescent="0.25">
      <c r="A35576" s="2">
        <v>35571</v>
      </c>
      <c r="B35576" s="3" t="str">
        <f>"201511040792"</f>
        <v>201511040792</v>
      </c>
    </row>
    <row r="35577" spans="1:2" x14ac:dyDescent="0.25">
      <c r="A35577" s="2">
        <v>35572</v>
      </c>
      <c r="B35577" s="3" t="str">
        <f>"201511040793"</f>
        <v>201511040793</v>
      </c>
    </row>
    <row r="35578" spans="1:2" x14ac:dyDescent="0.25">
      <c r="A35578" s="2">
        <v>35573</v>
      </c>
      <c r="B35578" s="3" t="str">
        <f>"201511040820"</f>
        <v>201511040820</v>
      </c>
    </row>
    <row r="35579" spans="1:2" x14ac:dyDescent="0.25">
      <c r="A35579" s="2">
        <v>35574</v>
      </c>
      <c r="B35579" s="3" t="str">
        <f>"201511040856"</f>
        <v>201511040856</v>
      </c>
    </row>
    <row r="35580" spans="1:2" x14ac:dyDescent="0.25">
      <c r="A35580" s="2">
        <v>35575</v>
      </c>
      <c r="B35580" s="3" t="str">
        <f>"201511040869"</f>
        <v>201511040869</v>
      </c>
    </row>
    <row r="35581" spans="1:2" x14ac:dyDescent="0.25">
      <c r="A35581" s="2">
        <v>35576</v>
      </c>
      <c r="B35581" s="3" t="str">
        <f>"201511040875"</f>
        <v>201511040875</v>
      </c>
    </row>
    <row r="35582" spans="1:2" x14ac:dyDescent="0.25">
      <c r="A35582" s="2">
        <v>35577</v>
      </c>
      <c r="B35582" s="3" t="str">
        <f>"201511040887"</f>
        <v>201511040887</v>
      </c>
    </row>
    <row r="35583" spans="1:2" x14ac:dyDescent="0.25">
      <c r="A35583" s="2">
        <v>35578</v>
      </c>
      <c r="B35583" s="3" t="str">
        <f>"201511040888"</f>
        <v>201511040888</v>
      </c>
    </row>
    <row r="35584" spans="1:2" x14ac:dyDescent="0.25">
      <c r="A35584" s="2">
        <v>35579</v>
      </c>
      <c r="B35584" s="3" t="str">
        <f>"201511040896"</f>
        <v>201511040896</v>
      </c>
    </row>
    <row r="35585" spans="1:2" x14ac:dyDescent="0.25">
      <c r="A35585" s="2">
        <v>35580</v>
      </c>
      <c r="B35585" s="3" t="str">
        <f>"201511040904"</f>
        <v>201511040904</v>
      </c>
    </row>
    <row r="35586" spans="1:2" x14ac:dyDescent="0.25">
      <c r="A35586" s="2">
        <v>35581</v>
      </c>
      <c r="B35586" s="3" t="str">
        <f>"201511040912"</f>
        <v>201511040912</v>
      </c>
    </row>
    <row r="35587" spans="1:2" x14ac:dyDescent="0.25">
      <c r="A35587" s="2">
        <v>35582</v>
      </c>
      <c r="B35587" s="3" t="str">
        <f>"201511040932"</f>
        <v>201511040932</v>
      </c>
    </row>
    <row r="35588" spans="1:2" x14ac:dyDescent="0.25">
      <c r="A35588" s="2">
        <v>35583</v>
      </c>
      <c r="B35588" s="3" t="str">
        <f>"201511040934"</f>
        <v>201511040934</v>
      </c>
    </row>
    <row r="35589" spans="1:2" x14ac:dyDescent="0.25">
      <c r="A35589" s="2">
        <v>35584</v>
      </c>
      <c r="B35589" s="3" t="str">
        <f>"201511040939"</f>
        <v>201511040939</v>
      </c>
    </row>
    <row r="35590" spans="1:2" x14ac:dyDescent="0.25">
      <c r="A35590" s="2">
        <v>35585</v>
      </c>
      <c r="B35590" s="3" t="str">
        <f>"201511040948"</f>
        <v>201511040948</v>
      </c>
    </row>
    <row r="35591" spans="1:2" x14ac:dyDescent="0.25">
      <c r="A35591" s="2">
        <v>35586</v>
      </c>
      <c r="B35591" s="3" t="str">
        <f>"201511040995"</f>
        <v>201511040995</v>
      </c>
    </row>
    <row r="35592" spans="1:2" x14ac:dyDescent="0.25">
      <c r="A35592" s="2">
        <v>35587</v>
      </c>
      <c r="B35592" s="3" t="str">
        <f>"201511040997"</f>
        <v>201511040997</v>
      </c>
    </row>
    <row r="35593" spans="1:2" x14ac:dyDescent="0.25">
      <c r="A35593" s="2">
        <v>35588</v>
      </c>
      <c r="B35593" s="3" t="str">
        <f>"201511041003"</f>
        <v>201511041003</v>
      </c>
    </row>
    <row r="35594" spans="1:2" x14ac:dyDescent="0.25">
      <c r="A35594" s="2">
        <v>35589</v>
      </c>
      <c r="B35594" s="3" t="str">
        <f>"201511041017"</f>
        <v>201511041017</v>
      </c>
    </row>
    <row r="35595" spans="1:2" x14ac:dyDescent="0.25">
      <c r="A35595" s="2">
        <v>35590</v>
      </c>
      <c r="B35595" s="3" t="str">
        <f>"201511041020"</f>
        <v>201511041020</v>
      </c>
    </row>
    <row r="35596" spans="1:2" x14ac:dyDescent="0.25">
      <c r="A35596" s="2">
        <v>35591</v>
      </c>
      <c r="B35596" s="3" t="str">
        <f>"201511041021"</f>
        <v>201511041021</v>
      </c>
    </row>
    <row r="35597" spans="1:2" x14ac:dyDescent="0.25">
      <c r="A35597" s="2">
        <v>35592</v>
      </c>
      <c r="B35597" s="3" t="str">
        <f>"201511041030"</f>
        <v>201511041030</v>
      </c>
    </row>
    <row r="35598" spans="1:2" x14ac:dyDescent="0.25">
      <c r="A35598" s="2">
        <v>35593</v>
      </c>
      <c r="B35598" s="3" t="str">
        <f>"201511041072"</f>
        <v>201511041072</v>
      </c>
    </row>
    <row r="35599" spans="1:2" x14ac:dyDescent="0.25">
      <c r="A35599" s="2">
        <v>35594</v>
      </c>
      <c r="B35599" s="3" t="str">
        <f>"201511041126"</f>
        <v>201511041126</v>
      </c>
    </row>
    <row r="35600" spans="1:2" x14ac:dyDescent="0.25">
      <c r="A35600" s="2">
        <v>35595</v>
      </c>
      <c r="B35600" s="3" t="str">
        <f>"201511041136"</f>
        <v>201511041136</v>
      </c>
    </row>
    <row r="35601" spans="1:2" x14ac:dyDescent="0.25">
      <c r="A35601" s="2">
        <v>35596</v>
      </c>
      <c r="B35601" s="3" t="str">
        <f>"201511041141"</f>
        <v>201511041141</v>
      </c>
    </row>
    <row r="35602" spans="1:2" x14ac:dyDescent="0.25">
      <c r="A35602" s="2">
        <v>35597</v>
      </c>
      <c r="B35602" s="3" t="str">
        <f>"201511041163"</f>
        <v>201511041163</v>
      </c>
    </row>
    <row r="35603" spans="1:2" x14ac:dyDescent="0.25">
      <c r="A35603" s="2">
        <v>35598</v>
      </c>
      <c r="B35603" s="3" t="str">
        <f>"201511041165"</f>
        <v>201511041165</v>
      </c>
    </row>
    <row r="35604" spans="1:2" x14ac:dyDescent="0.25">
      <c r="A35604" s="2">
        <v>35599</v>
      </c>
      <c r="B35604" s="3" t="str">
        <f>"201511041168"</f>
        <v>201511041168</v>
      </c>
    </row>
    <row r="35605" spans="1:2" x14ac:dyDescent="0.25">
      <c r="A35605" s="2">
        <v>35600</v>
      </c>
      <c r="B35605" s="3" t="str">
        <f>"201511041190"</f>
        <v>201511041190</v>
      </c>
    </row>
    <row r="35606" spans="1:2" x14ac:dyDescent="0.25">
      <c r="A35606" s="2">
        <v>35601</v>
      </c>
      <c r="B35606" s="3" t="str">
        <f>"201511041208"</f>
        <v>201511041208</v>
      </c>
    </row>
    <row r="35607" spans="1:2" x14ac:dyDescent="0.25">
      <c r="A35607" s="2">
        <v>35602</v>
      </c>
      <c r="B35607" s="3" t="str">
        <f>"201511041220"</f>
        <v>201511041220</v>
      </c>
    </row>
    <row r="35608" spans="1:2" x14ac:dyDescent="0.25">
      <c r="A35608" s="2">
        <v>35603</v>
      </c>
      <c r="B35608" s="3" t="str">
        <f>"201511041288"</f>
        <v>201511041288</v>
      </c>
    </row>
    <row r="35609" spans="1:2" x14ac:dyDescent="0.25">
      <c r="A35609" s="2">
        <v>35604</v>
      </c>
      <c r="B35609" s="3" t="str">
        <f>"201511041292"</f>
        <v>201511041292</v>
      </c>
    </row>
    <row r="35610" spans="1:2" x14ac:dyDescent="0.25">
      <c r="A35610" s="2">
        <v>35605</v>
      </c>
      <c r="B35610" s="3" t="str">
        <f>"201511041295"</f>
        <v>201511041295</v>
      </c>
    </row>
    <row r="35611" spans="1:2" x14ac:dyDescent="0.25">
      <c r="A35611" s="2">
        <v>35606</v>
      </c>
      <c r="B35611" s="3" t="str">
        <f>"201511041310"</f>
        <v>201511041310</v>
      </c>
    </row>
    <row r="35612" spans="1:2" x14ac:dyDescent="0.25">
      <c r="A35612" s="2">
        <v>35607</v>
      </c>
      <c r="B35612" s="3" t="str">
        <f>"201511041313"</f>
        <v>201511041313</v>
      </c>
    </row>
    <row r="35613" spans="1:2" x14ac:dyDescent="0.25">
      <c r="A35613" s="2">
        <v>35608</v>
      </c>
      <c r="B35613" s="3" t="str">
        <f>"201511041327"</f>
        <v>201511041327</v>
      </c>
    </row>
    <row r="35614" spans="1:2" x14ac:dyDescent="0.25">
      <c r="A35614" s="2">
        <v>35609</v>
      </c>
      <c r="B35614" s="3" t="str">
        <f>"201511041334"</f>
        <v>201511041334</v>
      </c>
    </row>
    <row r="35615" spans="1:2" x14ac:dyDescent="0.25">
      <c r="A35615" s="2">
        <v>35610</v>
      </c>
      <c r="B35615" s="3" t="str">
        <f>"201511041340"</f>
        <v>201511041340</v>
      </c>
    </row>
    <row r="35616" spans="1:2" x14ac:dyDescent="0.25">
      <c r="A35616" s="2">
        <v>35611</v>
      </c>
      <c r="B35616" s="3" t="str">
        <f>"201511041359"</f>
        <v>201511041359</v>
      </c>
    </row>
    <row r="35617" spans="1:2" x14ac:dyDescent="0.25">
      <c r="A35617" s="2">
        <v>35612</v>
      </c>
      <c r="B35617" s="3" t="str">
        <f>"201511041418"</f>
        <v>201511041418</v>
      </c>
    </row>
    <row r="35618" spans="1:2" x14ac:dyDescent="0.25">
      <c r="A35618" s="2">
        <v>35613</v>
      </c>
      <c r="B35618" s="3" t="str">
        <f>"201511041437"</f>
        <v>201511041437</v>
      </c>
    </row>
    <row r="35619" spans="1:2" x14ac:dyDescent="0.25">
      <c r="A35619" s="2">
        <v>35614</v>
      </c>
      <c r="B35619" s="3" t="str">
        <f>"201511041439"</f>
        <v>201511041439</v>
      </c>
    </row>
    <row r="35620" spans="1:2" x14ac:dyDescent="0.25">
      <c r="A35620" s="2">
        <v>35615</v>
      </c>
      <c r="B35620" s="3" t="str">
        <f>"201511041441"</f>
        <v>201511041441</v>
      </c>
    </row>
    <row r="35621" spans="1:2" x14ac:dyDescent="0.25">
      <c r="A35621" s="2">
        <v>35616</v>
      </c>
      <c r="B35621" s="3" t="str">
        <f>"201511041506"</f>
        <v>201511041506</v>
      </c>
    </row>
    <row r="35622" spans="1:2" x14ac:dyDescent="0.25">
      <c r="A35622" s="2">
        <v>35617</v>
      </c>
      <c r="B35622" s="3" t="str">
        <f>"201511041535"</f>
        <v>201511041535</v>
      </c>
    </row>
    <row r="35623" spans="1:2" x14ac:dyDescent="0.25">
      <c r="A35623" s="2">
        <v>35618</v>
      </c>
      <c r="B35623" s="3" t="str">
        <f>"201511041558"</f>
        <v>201511041558</v>
      </c>
    </row>
    <row r="35624" spans="1:2" x14ac:dyDescent="0.25">
      <c r="A35624" s="2">
        <v>35619</v>
      </c>
      <c r="B35624" s="3" t="str">
        <f>"201511041560"</f>
        <v>201511041560</v>
      </c>
    </row>
    <row r="35625" spans="1:2" x14ac:dyDescent="0.25">
      <c r="A35625" s="2">
        <v>35620</v>
      </c>
      <c r="B35625" s="3" t="str">
        <f>"201511041571"</f>
        <v>201511041571</v>
      </c>
    </row>
    <row r="35626" spans="1:2" x14ac:dyDescent="0.25">
      <c r="A35626" s="2">
        <v>35621</v>
      </c>
      <c r="B35626" s="3" t="str">
        <f>"201511041604"</f>
        <v>201511041604</v>
      </c>
    </row>
    <row r="35627" spans="1:2" x14ac:dyDescent="0.25">
      <c r="A35627" s="2">
        <v>35622</v>
      </c>
      <c r="B35627" s="3" t="str">
        <f>"201511041669"</f>
        <v>201511041669</v>
      </c>
    </row>
    <row r="35628" spans="1:2" x14ac:dyDescent="0.25">
      <c r="A35628" s="2">
        <v>35623</v>
      </c>
      <c r="B35628" s="3" t="str">
        <f>"201511041695"</f>
        <v>201511041695</v>
      </c>
    </row>
    <row r="35629" spans="1:2" x14ac:dyDescent="0.25">
      <c r="A35629" s="2">
        <v>35624</v>
      </c>
      <c r="B35629" s="3" t="str">
        <f>"201511041699"</f>
        <v>201511041699</v>
      </c>
    </row>
    <row r="35630" spans="1:2" x14ac:dyDescent="0.25">
      <c r="A35630" s="2">
        <v>35625</v>
      </c>
      <c r="B35630" s="3" t="str">
        <f>"201511041733"</f>
        <v>201511041733</v>
      </c>
    </row>
    <row r="35631" spans="1:2" x14ac:dyDescent="0.25">
      <c r="A35631" s="2">
        <v>35626</v>
      </c>
      <c r="B35631" s="3" t="str">
        <f>"201511041735"</f>
        <v>201511041735</v>
      </c>
    </row>
    <row r="35632" spans="1:2" x14ac:dyDescent="0.25">
      <c r="A35632" s="2">
        <v>35627</v>
      </c>
      <c r="B35632" s="3" t="str">
        <f>"201511041753"</f>
        <v>201511041753</v>
      </c>
    </row>
    <row r="35633" spans="1:2" x14ac:dyDescent="0.25">
      <c r="A35633" s="2">
        <v>35628</v>
      </c>
      <c r="B35633" s="3" t="str">
        <f>"201511041804"</f>
        <v>201511041804</v>
      </c>
    </row>
    <row r="35634" spans="1:2" x14ac:dyDescent="0.25">
      <c r="A35634" s="2">
        <v>35629</v>
      </c>
      <c r="B35634" s="3" t="str">
        <f>"201511041821"</f>
        <v>201511041821</v>
      </c>
    </row>
    <row r="35635" spans="1:2" x14ac:dyDescent="0.25">
      <c r="A35635" s="2">
        <v>35630</v>
      </c>
      <c r="B35635" s="3" t="str">
        <f>"201511041834"</f>
        <v>201511041834</v>
      </c>
    </row>
    <row r="35636" spans="1:2" x14ac:dyDescent="0.25">
      <c r="A35636" s="2">
        <v>35631</v>
      </c>
      <c r="B35636" s="3" t="str">
        <f>"201511041842"</f>
        <v>201511041842</v>
      </c>
    </row>
    <row r="35637" spans="1:2" x14ac:dyDescent="0.25">
      <c r="A35637" s="2">
        <v>35632</v>
      </c>
      <c r="B35637" s="3" t="str">
        <f>"201511041850"</f>
        <v>201511041850</v>
      </c>
    </row>
    <row r="35638" spans="1:2" x14ac:dyDescent="0.25">
      <c r="A35638" s="2">
        <v>35633</v>
      </c>
      <c r="B35638" s="3" t="str">
        <f>"201511041855"</f>
        <v>201511041855</v>
      </c>
    </row>
    <row r="35639" spans="1:2" x14ac:dyDescent="0.25">
      <c r="A35639" s="2">
        <v>35634</v>
      </c>
      <c r="B35639" s="3" t="str">
        <f>"201511041881"</f>
        <v>201511041881</v>
      </c>
    </row>
    <row r="35640" spans="1:2" x14ac:dyDescent="0.25">
      <c r="A35640" s="2">
        <v>35635</v>
      </c>
      <c r="B35640" s="3" t="str">
        <f>"201511041891"</f>
        <v>201511041891</v>
      </c>
    </row>
    <row r="35641" spans="1:2" x14ac:dyDescent="0.25">
      <c r="A35641" s="2">
        <v>35636</v>
      </c>
      <c r="B35641" s="3" t="str">
        <f>"201511041892"</f>
        <v>201511041892</v>
      </c>
    </row>
    <row r="35642" spans="1:2" x14ac:dyDescent="0.25">
      <c r="A35642" s="2">
        <v>35637</v>
      </c>
      <c r="B35642" s="3" t="str">
        <f>"201511041902"</f>
        <v>201511041902</v>
      </c>
    </row>
    <row r="35643" spans="1:2" x14ac:dyDescent="0.25">
      <c r="A35643" s="2">
        <v>35638</v>
      </c>
      <c r="B35643" s="3" t="str">
        <f>"201511041923"</f>
        <v>201511041923</v>
      </c>
    </row>
    <row r="35644" spans="1:2" x14ac:dyDescent="0.25">
      <c r="A35644" s="2">
        <v>35639</v>
      </c>
      <c r="B35644" s="3" t="str">
        <f>"201511041962"</f>
        <v>201511041962</v>
      </c>
    </row>
    <row r="35645" spans="1:2" x14ac:dyDescent="0.25">
      <c r="A35645" s="2">
        <v>35640</v>
      </c>
      <c r="B35645" s="3" t="str">
        <f>"201511041966"</f>
        <v>201511041966</v>
      </c>
    </row>
    <row r="35646" spans="1:2" x14ac:dyDescent="0.25">
      <c r="A35646" s="2">
        <v>35641</v>
      </c>
      <c r="B35646" s="3" t="str">
        <f>"201511041972"</f>
        <v>201511041972</v>
      </c>
    </row>
    <row r="35647" spans="1:2" x14ac:dyDescent="0.25">
      <c r="A35647" s="2">
        <v>35642</v>
      </c>
      <c r="B35647" s="3" t="str">
        <f>"201511042051"</f>
        <v>201511042051</v>
      </c>
    </row>
    <row r="35648" spans="1:2" x14ac:dyDescent="0.25">
      <c r="A35648" s="2">
        <v>35643</v>
      </c>
      <c r="B35648" s="3" t="str">
        <f>"201511042062"</f>
        <v>201511042062</v>
      </c>
    </row>
    <row r="35649" spans="1:2" x14ac:dyDescent="0.25">
      <c r="A35649" s="2">
        <v>35644</v>
      </c>
      <c r="B35649" s="3" t="str">
        <f>"201511042081"</f>
        <v>201511042081</v>
      </c>
    </row>
    <row r="35650" spans="1:2" x14ac:dyDescent="0.25">
      <c r="A35650" s="2">
        <v>35645</v>
      </c>
      <c r="B35650" s="3" t="str">
        <f>"201511042084"</f>
        <v>201511042084</v>
      </c>
    </row>
    <row r="35651" spans="1:2" x14ac:dyDescent="0.25">
      <c r="A35651" s="2">
        <v>35646</v>
      </c>
      <c r="B35651" s="3" t="str">
        <f>"201511042096"</f>
        <v>201511042096</v>
      </c>
    </row>
    <row r="35652" spans="1:2" x14ac:dyDescent="0.25">
      <c r="A35652" s="2">
        <v>35647</v>
      </c>
      <c r="B35652" s="3" t="str">
        <f>"201511042105"</f>
        <v>201511042105</v>
      </c>
    </row>
    <row r="35653" spans="1:2" x14ac:dyDescent="0.25">
      <c r="A35653" s="2">
        <v>35648</v>
      </c>
      <c r="B35653" s="3" t="str">
        <f>"201511042142"</f>
        <v>201511042142</v>
      </c>
    </row>
    <row r="35654" spans="1:2" x14ac:dyDescent="0.25">
      <c r="A35654" s="2">
        <v>35649</v>
      </c>
      <c r="B35654" s="3" t="str">
        <f>"201511042149"</f>
        <v>201511042149</v>
      </c>
    </row>
    <row r="35655" spans="1:2" x14ac:dyDescent="0.25">
      <c r="A35655" s="2">
        <v>35650</v>
      </c>
      <c r="B35655" s="3" t="str">
        <f>"201511042174"</f>
        <v>201511042174</v>
      </c>
    </row>
    <row r="35656" spans="1:2" x14ac:dyDescent="0.25">
      <c r="A35656" s="2">
        <v>35651</v>
      </c>
      <c r="B35656" s="3" t="str">
        <f>"201511042196"</f>
        <v>201511042196</v>
      </c>
    </row>
    <row r="35657" spans="1:2" x14ac:dyDescent="0.25">
      <c r="A35657" s="2">
        <v>35652</v>
      </c>
      <c r="B35657" s="3" t="str">
        <f>"201511042213"</f>
        <v>201511042213</v>
      </c>
    </row>
    <row r="35658" spans="1:2" x14ac:dyDescent="0.25">
      <c r="A35658" s="2">
        <v>35653</v>
      </c>
      <c r="B35658" s="3" t="str">
        <f>"201511042240"</f>
        <v>201511042240</v>
      </c>
    </row>
    <row r="35659" spans="1:2" x14ac:dyDescent="0.25">
      <c r="A35659" s="2">
        <v>35654</v>
      </c>
      <c r="B35659" s="3" t="str">
        <f>"201511042243"</f>
        <v>201511042243</v>
      </c>
    </row>
    <row r="35660" spans="1:2" x14ac:dyDescent="0.25">
      <c r="A35660" s="2">
        <v>35655</v>
      </c>
      <c r="B35660" s="3" t="str">
        <f>"201511042249"</f>
        <v>201511042249</v>
      </c>
    </row>
    <row r="35661" spans="1:2" x14ac:dyDescent="0.25">
      <c r="A35661" s="2">
        <v>35656</v>
      </c>
      <c r="B35661" s="3" t="str">
        <f>"201511042278"</f>
        <v>201511042278</v>
      </c>
    </row>
    <row r="35662" spans="1:2" x14ac:dyDescent="0.25">
      <c r="A35662" s="2">
        <v>35657</v>
      </c>
      <c r="B35662" s="3" t="str">
        <f>"201511042282"</f>
        <v>201511042282</v>
      </c>
    </row>
    <row r="35663" spans="1:2" x14ac:dyDescent="0.25">
      <c r="A35663" s="2">
        <v>35658</v>
      </c>
      <c r="B35663" s="3" t="str">
        <f>"201511042305"</f>
        <v>201511042305</v>
      </c>
    </row>
    <row r="35664" spans="1:2" x14ac:dyDescent="0.25">
      <c r="A35664" s="2">
        <v>35659</v>
      </c>
      <c r="B35664" s="3" t="str">
        <f>"201511042324"</f>
        <v>201511042324</v>
      </c>
    </row>
    <row r="35665" spans="1:2" x14ac:dyDescent="0.25">
      <c r="A35665" s="2">
        <v>35660</v>
      </c>
      <c r="B35665" s="3" t="str">
        <f>"201511042358"</f>
        <v>201511042358</v>
      </c>
    </row>
    <row r="35666" spans="1:2" x14ac:dyDescent="0.25">
      <c r="A35666" s="2">
        <v>35661</v>
      </c>
      <c r="B35666" s="3" t="str">
        <f>"201511042400"</f>
        <v>201511042400</v>
      </c>
    </row>
    <row r="35667" spans="1:2" x14ac:dyDescent="0.25">
      <c r="A35667" s="2">
        <v>35662</v>
      </c>
      <c r="B35667" s="3" t="str">
        <f>"201511042429"</f>
        <v>201511042429</v>
      </c>
    </row>
    <row r="35668" spans="1:2" x14ac:dyDescent="0.25">
      <c r="A35668" s="2">
        <v>35663</v>
      </c>
      <c r="B35668" s="3" t="str">
        <f>"201511042432"</f>
        <v>201511042432</v>
      </c>
    </row>
    <row r="35669" spans="1:2" x14ac:dyDescent="0.25">
      <c r="A35669" s="2">
        <v>35664</v>
      </c>
      <c r="B35669" s="3" t="str">
        <f>"201511042441"</f>
        <v>201511042441</v>
      </c>
    </row>
    <row r="35670" spans="1:2" x14ac:dyDescent="0.25">
      <c r="A35670" s="2">
        <v>35665</v>
      </c>
      <c r="B35670" s="3" t="str">
        <f>"201511042452"</f>
        <v>201511042452</v>
      </c>
    </row>
    <row r="35671" spans="1:2" x14ac:dyDescent="0.25">
      <c r="A35671" s="2">
        <v>35666</v>
      </c>
      <c r="B35671" s="3" t="str">
        <f>"201511042458"</f>
        <v>201511042458</v>
      </c>
    </row>
    <row r="35672" spans="1:2" x14ac:dyDescent="0.25">
      <c r="A35672" s="2">
        <v>35667</v>
      </c>
      <c r="B35672" s="3" t="str">
        <f>"201511042487"</f>
        <v>201511042487</v>
      </c>
    </row>
    <row r="35673" spans="1:2" x14ac:dyDescent="0.25">
      <c r="A35673" s="2">
        <v>35668</v>
      </c>
      <c r="B35673" s="3" t="str">
        <f>"201511042494"</f>
        <v>201511042494</v>
      </c>
    </row>
    <row r="35674" spans="1:2" x14ac:dyDescent="0.25">
      <c r="A35674" s="2">
        <v>35669</v>
      </c>
      <c r="B35674" s="3" t="str">
        <f>"201511042515"</f>
        <v>201511042515</v>
      </c>
    </row>
    <row r="35675" spans="1:2" x14ac:dyDescent="0.25">
      <c r="A35675" s="2">
        <v>35670</v>
      </c>
      <c r="B35675" s="3" t="str">
        <f>"201511042534"</f>
        <v>201511042534</v>
      </c>
    </row>
    <row r="35676" spans="1:2" x14ac:dyDescent="0.25">
      <c r="A35676" s="2">
        <v>35671</v>
      </c>
      <c r="B35676" s="3" t="str">
        <f>"201511042561"</f>
        <v>201511042561</v>
      </c>
    </row>
    <row r="35677" spans="1:2" x14ac:dyDescent="0.25">
      <c r="A35677" s="2">
        <v>35672</v>
      </c>
      <c r="B35677" s="3" t="str">
        <f>"201511042562"</f>
        <v>201511042562</v>
      </c>
    </row>
    <row r="35678" spans="1:2" x14ac:dyDescent="0.25">
      <c r="A35678" s="2">
        <v>35673</v>
      </c>
      <c r="B35678" s="3" t="str">
        <f>"201511042575"</f>
        <v>201511042575</v>
      </c>
    </row>
    <row r="35679" spans="1:2" x14ac:dyDescent="0.25">
      <c r="A35679" s="2">
        <v>35674</v>
      </c>
      <c r="B35679" s="3" t="str">
        <f>"201511042585"</f>
        <v>201511042585</v>
      </c>
    </row>
    <row r="35680" spans="1:2" x14ac:dyDescent="0.25">
      <c r="A35680" s="2">
        <v>35675</v>
      </c>
      <c r="B35680" s="3" t="str">
        <f>"201511042624"</f>
        <v>201511042624</v>
      </c>
    </row>
    <row r="35681" spans="1:2" x14ac:dyDescent="0.25">
      <c r="A35681" s="2">
        <v>35676</v>
      </c>
      <c r="B35681" s="3" t="str">
        <f>"201511042629"</f>
        <v>201511042629</v>
      </c>
    </row>
    <row r="35682" spans="1:2" x14ac:dyDescent="0.25">
      <c r="A35682" s="2">
        <v>35677</v>
      </c>
      <c r="B35682" s="3" t="str">
        <f>"201511042632"</f>
        <v>201511042632</v>
      </c>
    </row>
    <row r="35683" spans="1:2" x14ac:dyDescent="0.25">
      <c r="A35683" s="2">
        <v>35678</v>
      </c>
      <c r="B35683" s="3" t="str">
        <f>"201511042671"</f>
        <v>201511042671</v>
      </c>
    </row>
    <row r="35684" spans="1:2" x14ac:dyDescent="0.25">
      <c r="A35684" s="2">
        <v>35679</v>
      </c>
      <c r="B35684" s="3" t="str">
        <f>"201511042701"</f>
        <v>201511042701</v>
      </c>
    </row>
    <row r="35685" spans="1:2" x14ac:dyDescent="0.25">
      <c r="A35685" s="2">
        <v>35680</v>
      </c>
      <c r="B35685" s="3" t="str">
        <f>"201511042704"</f>
        <v>201511042704</v>
      </c>
    </row>
    <row r="35686" spans="1:2" x14ac:dyDescent="0.25">
      <c r="A35686" s="2">
        <v>35681</v>
      </c>
      <c r="B35686" s="3" t="str">
        <f>"201511042705"</f>
        <v>201511042705</v>
      </c>
    </row>
    <row r="35687" spans="1:2" x14ac:dyDescent="0.25">
      <c r="A35687" s="2">
        <v>35682</v>
      </c>
      <c r="B35687" s="3" t="str">
        <f>"201511042713"</f>
        <v>201511042713</v>
      </c>
    </row>
    <row r="35688" spans="1:2" x14ac:dyDescent="0.25">
      <c r="A35688" s="2">
        <v>35683</v>
      </c>
      <c r="B35688" s="3" t="str">
        <f>"201511042727"</f>
        <v>201511042727</v>
      </c>
    </row>
    <row r="35689" spans="1:2" x14ac:dyDescent="0.25">
      <c r="A35689" s="2">
        <v>35684</v>
      </c>
      <c r="B35689" s="3" t="str">
        <f>"201511042734"</f>
        <v>201511042734</v>
      </c>
    </row>
    <row r="35690" spans="1:2" x14ac:dyDescent="0.25">
      <c r="A35690" s="2">
        <v>35685</v>
      </c>
      <c r="B35690" s="3" t="str">
        <f>"201511042747"</f>
        <v>201511042747</v>
      </c>
    </row>
    <row r="35691" spans="1:2" x14ac:dyDescent="0.25">
      <c r="A35691" s="2">
        <v>35686</v>
      </c>
      <c r="B35691" s="3" t="str">
        <f>"201511042771"</f>
        <v>201511042771</v>
      </c>
    </row>
    <row r="35692" spans="1:2" x14ac:dyDescent="0.25">
      <c r="A35692" s="2">
        <v>35687</v>
      </c>
      <c r="B35692" s="3" t="str">
        <f>"201511042779"</f>
        <v>201511042779</v>
      </c>
    </row>
    <row r="35693" spans="1:2" x14ac:dyDescent="0.25">
      <c r="A35693" s="2">
        <v>35688</v>
      </c>
      <c r="B35693" s="3" t="str">
        <f>"201511042789"</f>
        <v>201511042789</v>
      </c>
    </row>
    <row r="35694" spans="1:2" x14ac:dyDescent="0.25">
      <c r="A35694" s="2">
        <v>35689</v>
      </c>
      <c r="B35694" s="3" t="str">
        <f>"201511042803"</f>
        <v>201511042803</v>
      </c>
    </row>
    <row r="35695" spans="1:2" x14ac:dyDescent="0.25">
      <c r="A35695" s="2">
        <v>35690</v>
      </c>
      <c r="B35695" s="3" t="str">
        <f>"201511042816"</f>
        <v>201511042816</v>
      </c>
    </row>
    <row r="35696" spans="1:2" x14ac:dyDescent="0.25">
      <c r="A35696" s="2">
        <v>35691</v>
      </c>
      <c r="B35696" s="3" t="str">
        <f>"201511042820"</f>
        <v>201511042820</v>
      </c>
    </row>
    <row r="35697" spans="1:2" x14ac:dyDescent="0.25">
      <c r="A35697" s="2">
        <v>35692</v>
      </c>
      <c r="B35697" s="3" t="str">
        <f>"201511042842"</f>
        <v>201511042842</v>
      </c>
    </row>
    <row r="35698" spans="1:2" x14ac:dyDescent="0.25">
      <c r="A35698" s="2">
        <v>35693</v>
      </c>
      <c r="B35698" s="3" t="str">
        <f>"201511042845"</f>
        <v>201511042845</v>
      </c>
    </row>
    <row r="35699" spans="1:2" x14ac:dyDescent="0.25">
      <c r="A35699" s="2">
        <v>35694</v>
      </c>
      <c r="B35699" s="3" t="str">
        <f>"201511042855"</f>
        <v>201511042855</v>
      </c>
    </row>
    <row r="35700" spans="1:2" x14ac:dyDescent="0.25">
      <c r="A35700" s="2">
        <v>35695</v>
      </c>
      <c r="B35700" s="3" t="str">
        <f>"201511042901"</f>
        <v>201511042901</v>
      </c>
    </row>
    <row r="35701" spans="1:2" x14ac:dyDescent="0.25">
      <c r="A35701" s="2">
        <v>35696</v>
      </c>
      <c r="B35701" s="3" t="str">
        <f>"201511042914"</f>
        <v>201511042914</v>
      </c>
    </row>
    <row r="35702" spans="1:2" x14ac:dyDescent="0.25">
      <c r="A35702" s="2">
        <v>35697</v>
      </c>
      <c r="B35702" s="3" t="str">
        <f>"201511042920"</f>
        <v>201511042920</v>
      </c>
    </row>
    <row r="35703" spans="1:2" x14ac:dyDescent="0.25">
      <c r="A35703" s="2">
        <v>35698</v>
      </c>
      <c r="B35703" s="3" t="str">
        <f>"201511042933"</f>
        <v>201511042933</v>
      </c>
    </row>
    <row r="35704" spans="1:2" x14ac:dyDescent="0.25">
      <c r="A35704" s="2">
        <v>35699</v>
      </c>
      <c r="B35704" s="3" t="str">
        <f>"201511042941"</f>
        <v>201511042941</v>
      </c>
    </row>
    <row r="35705" spans="1:2" x14ac:dyDescent="0.25">
      <c r="A35705" s="2">
        <v>35700</v>
      </c>
      <c r="B35705" s="3" t="str">
        <f>"201511042948"</f>
        <v>201511042948</v>
      </c>
    </row>
    <row r="35706" spans="1:2" x14ac:dyDescent="0.25">
      <c r="A35706" s="2">
        <v>35701</v>
      </c>
      <c r="B35706" s="3" t="str">
        <f>"201511042956"</f>
        <v>201511042956</v>
      </c>
    </row>
    <row r="35707" spans="1:2" x14ac:dyDescent="0.25">
      <c r="A35707" s="2">
        <v>35702</v>
      </c>
      <c r="B35707" s="3" t="str">
        <f>"201511042965"</f>
        <v>201511042965</v>
      </c>
    </row>
    <row r="35708" spans="1:2" x14ac:dyDescent="0.25">
      <c r="A35708" s="2">
        <v>35703</v>
      </c>
      <c r="B35708" s="3" t="str">
        <f>"201511043073"</f>
        <v>201511043073</v>
      </c>
    </row>
    <row r="35709" spans="1:2" x14ac:dyDescent="0.25">
      <c r="A35709" s="2">
        <v>35704</v>
      </c>
      <c r="B35709" s="3" t="str">
        <f>"201511043074"</f>
        <v>201511043074</v>
      </c>
    </row>
    <row r="35710" spans="1:2" x14ac:dyDescent="0.25">
      <c r="A35710" s="2">
        <v>35705</v>
      </c>
      <c r="B35710" s="3" t="str">
        <f>"201511043082"</f>
        <v>201511043082</v>
      </c>
    </row>
    <row r="35711" spans="1:2" x14ac:dyDescent="0.25">
      <c r="A35711" s="2">
        <v>35706</v>
      </c>
      <c r="B35711" s="3" t="str">
        <f>"201511043105"</f>
        <v>201511043105</v>
      </c>
    </row>
    <row r="35712" spans="1:2" x14ac:dyDescent="0.25">
      <c r="A35712" s="2">
        <v>35707</v>
      </c>
      <c r="B35712" s="3" t="str">
        <f>"201511043108"</f>
        <v>201511043108</v>
      </c>
    </row>
    <row r="35713" spans="1:2" x14ac:dyDescent="0.25">
      <c r="A35713" s="2">
        <v>35708</v>
      </c>
      <c r="B35713" s="3" t="str">
        <f>"201511043112"</f>
        <v>201511043112</v>
      </c>
    </row>
    <row r="35714" spans="1:2" x14ac:dyDescent="0.25">
      <c r="A35714" s="2">
        <v>35709</v>
      </c>
      <c r="B35714" s="3" t="str">
        <f>"201511043128"</f>
        <v>201511043128</v>
      </c>
    </row>
    <row r="35715" spans="1:2" x14ac:dyDescent="0.25">
      <c r="A35715" s="2">
        <v>35710</v>
      </c>
      <c r="B35715" s="3" t="str">
        <f>"201511043147"</f>
        <v>201511043147</v>
      </c>
    </row>
    <row r="35716" spans="1:2" x14ac:dyDescent="0.25">
      <c r="A35716" s="2">
        <v>35711</v>
      </c>
      <c r="B35716" s="3" t="str">
        <f>"201511043156"</f>
        <v>201511043156</v>
      </c>
    </row>
    <row r="35717" spans="1:2" x14ac:dyDescent="0.25">
      <c r="A35717" s="2">
        <v>35712</v>
      </c>
      <c r="B35717" s="3" t="str">
        <f>"201511043159"</f>
        <v>201511043159</v>
      </c>
    </row>
    <row r="35718" spans="1:2" x14ac:dyDescent="0.25">
      <c r="A35718" s="2">
        <v>35713</v>
      </c>
      <c r="B35718" s="3" t="str">
        <f>"201511043177"</f>
        <v>201511043177</v>
      </c>
    </row>
    <row r="35719" spans="1:2" x14ac:dyDescent="0.25">
      <c r="A35719" s="2">
        <v>35714</v>
      </c>
      <c r="B35719" s="3" t="str">
        <f>"201511043243"</f>
        <v>201511043243</v>
      </c>
    </row>
    <row r="35720" spans="1:2" x14ac:dyDescent="0.25">
      <c r="A35720" s="2">
        <v>35715</v>
      </c>
      <c r="B35720" s="3" t="str">
        <f>"201511043255"</f>
        <v>201511043255</v>
      </c>
    </row>
    <row r="35721" spans="1:2" x14ac:dyDescent="0.25">
      <c r="A35721" s="2">
        <v>35716</v>
      </c>
      <c r="B35721" s="3" t="str">
        <f>"201511043263"</f>
        <v>201511043263</v>
      </c>
    </row>
    <row r="35722" spans="1:2" x14ac:dyDescent="0.25">
      <c r="A35722" s="2">
        <v>35717</v>
      </c>
      <c r="B35722" s="3" t="str">
        <f>"201511043294"</f>
        <v>201511043294</v>
      </c>
    </row>
    <row r="35723" spans="1:2" x14ac:dyDescent="0.25">
      <c r="A35723" s="2">
        <v>35718</v>
      </c>
      <c r="B35723" s="3" t="str">
        <f>"201511043316"</f>
        <v>201511043316</v>
      </c>
    </row>
    <row r="35724" spans="1:2" x14ac:dyDescent="0.25">
      <c r="A35724" s="2">
        <v>35719</v>
      </c>
      <c r="B35724" s="3" t="str">
        <f>"201511043333"</f>
        <v>201511043333</v>
      </c>
    </row>
    <row r="35725" spans="1:2" x14ac:dyDescent="0.25">
      <c r="A35725" s="2">
        <v>35720</v>
      </c>
      <c r="B35725" s="3" t="str">
        <f>"201511043355"</f>
        <v>201511043355</v>
      </c>
    </row>
    <row r="35726" spans="1:2" x14ac:dyDescent="0.25">
      <c r="A35726" s="2">
        <v>35721</v>
      </c>
      <c r="B35726" s="3" t="str">
        <f>"201511043366"</f>
        <v>201511043366</v>
      </c>
    </row>
    <row r="35727" spans="1:2" x14ac:dyDescent="0.25">
      <c r="A35727" s="2">
        <v>35722</v>
      </c>
      <c r="B35727" s="3" t="str">
        <f>"201511043378"</f>
        <v>201511043378</v>
      </c>
    </row>
    <row r="35728" spans="1:2" x14ac:dyDescent="0.25">
      <c r="A35728" s="2">
        <v>35723</v>
      </c>
      <c r="B35728" s="3" t="str">
        <f>"201511043382"</f>
        <v>201511043382</v>
      </c>
    </row>
    <row r="35729" spans="1:2" x14ac:dyDescent="0.25">
      <c r="A35729" s="2">
        <v>35724</v>
      </c>
      <c r="B35729" s="3" t="str">
        <f>"201511043385"</f>
        <v>201511043385</v>
      </c>
    </row>
    <row r="35730" spans="1:2" x14ac:dyDescent="0.25">
      <c r="A35730" s="2">
        <v>35725</v>
      </c>
      <c r="B35730" s="3" t="str">
        <f>"201511043397"</f>
        <v>201511043397</v>
      </c>
    </row>
    <row r="35731" spans="1:2" x14ac:dyDescent="0.25">
      <c r="A35731" s="2">
        <v>35726</v>
      </c>
      <c r="B35731" s="3" t="str">
        <f>"201511043424"</f>
        <v>201511043424</v>
      </c>
    </row>
    <row r="35732" spans="1:2" x14ac:dyDescent="0.25">
      <c r="A35732" s="2">
        <v>35727</v>
      </c>
      <c r="B35732" s="3" t="str">
        <f>"201511043428"</f>
        <v>201511043428</v>
      </c>
    </row>
    <row r="35733" spans="1:2" x14ac:dyDescent="0.25">
      <c r="A35733" s="2">
        <v>35728</v>
      </c>
      <c r="B35733" s="3" t="str">
        <f>"201511043430"</f>
        <v>201511043430</v>
      </c>
    </row>
    <row r="35734" spans="1:2" x14ac:dyDescent="0.25">
      <c r="A35734" s="2">
        <v>35729</v>
      </c>
      <c r="B35734" s="3" t="str">
        <f>"201511043444"</f>
        <v>201511043444</v>
      </c>
    </row>
    <row r="35735" spans="1:2" x14ac:dyDescent="0.25">
      <c r="A35735" s="2">
        <v>35730</v>
      </c>
      <c r="B35735" s="3" t="str">
        <f>"201511043477"</f>
        <v>201511043477</v>
      </c>
    </row>
    <row r="35736" spans="1:2" x14ac:dyDescent="0.25">
      <c r="A35736" s="2">
        <v>35731</v>
      </c>
      <c r="B35736" s="3" t="str">
        <f>"201511043485"</f>
        <v>201511043485</v>
      </c>
    </row>
    <row r="35737" spans="1:2" x14ac:dyDescent="0.25">
      <c r="A35737" s="2">
        <v>35732</v>
      </c>
      <c r="B35737" s="3" t="str">
        <f>"201511043502"</f>
        <v>201511043502</v>
      </c>
    </row>
    <row r="35738" spans="1:2" x14ac:dyDescent="0.25">
      <c r="A35738" s="2">
        <v>35733</v>
      </c>
      <c r="B35738" s="3" t="str">
        <f>"201511043505"</f>
        <v>201511043505</v>
      </c>
    </row>
    <row r="35739" spans="1:2" x14ac:dyDescent="0.25">
      <c r="A35739" s="2">
        <v>35734</v>
      </c>
      <c r="B35739" s="3" t="str">
        <f>"201511043511"</f>
        <v>201511043511</v>
      </c>
    </row>
    <row r="35740" spans="1:2" x14ac:dyDescent="0.25">
      <c r="A35740" s="2">
        <v>35735</v>
      </c>
      <c r="B35740" s="3" t="str">
        <f>"201511043556"</f>
        <v>201511043556</v>
      </c>
    </row>
    <row r="35741" spans="1:2" x14ac:dyDescent="0.25">
      <c r="A35741" s="2">
        <v>35736</v>
      </c>
      <c r="B35741" s="3" t="str">
        <f>"201511043582"</f>
        <v>201511043582</v>
      </c>
    </row>
    <row r="35742" spans="1:2" x14ac:dyDescent="0.25">
      <c r="A35742" s="2">
        <v>35737</v>
      </c>
      <c r="B35742" s="3" t="str">
        <f>"201511043597"</f>
        <v>201511043597</v>
      </c>
    </row>
    <row r="35743" spans="1:2" x14ac:dyDescent="0.25">
      <c r="A35743" s="2">
        <v>35738</v>
      </c>
      <c r="B35743" s="3" t="str">
        <f>"201511043622"</f>
        <v>201511043622</v>
      </c>
    </row>
    <row r="35744" spans="1:2" x14ac:dyDescent="0.25">
      <c r="A35744" s="2">
        <v>35739</v>
      </c>
      <c r="B35744" s="3" t="str">
        <f>"201511043625"</f>
        <v>201511043625</v>
      </c>
    </row>
    <row r="35745" spans="1:2" x14ac:dyDescent="0.25">
      <c r="A35745" s="2">
        <v>35740</v>
      </c>
      <c r="B35745" s="3" t="str">
        <f>"201511043635"</f>
        <v>201511043635</v>
      </c>
    </row>
    <row r="35746" spans="1:2" x14ac:dyDescent="0.25">
      <c r="A35746" s="2">
        <v>35741</v>
      </c>
      <c r="B35746" s="3" t="str">
        <f>"201511043646"</f>
        <v>201511043646</v>
      </c>
    </row>
    <row r="35747" spans="1:2" x14ac:dyDescent="0.25">
      <c r="A35747" s="2">
        <v>35742</v>
      </c>
      <c r="B35747" s="3" t="str">
        <f>"201511043660"</f>
        <v>201511043660</v>
      </c>
    </row>
    <row r="35748" spans="1:2" x14ac:dyDescent="0.25">
      <c r="A35748" s="2">
        <v>35743</v>
      </c>
      <c r="B35748" s="3" t="str">
        <f>"201512000007"</f>
        <v>201512000007</v>
      </c>
    </row>
    <row r="35749" spans="1:2" x14ac:dyDescent="0.25">
      <c r="A35749" s="2">
        <v>35744</v>
      </c>
      <c r="B35749" s="3" t="str">
        <f>"201512000020"</f>
        <v>201512000020</v>
      </c>
    </row>
    <row r="35750" spans="1:2" x14ac:dyDescent="0.25">
      <c r="A35750" s="2">
        <v>35745</v>
      </c>
      <c r="B35750" s="3" t="str">
        <f>"201512000023"</f>
        <v>201512000023</v>
      </c>
    </row>
    <row r="35751" spans="1:2" x14ac:dyDescent="0.25">
      <c r="A35751" s="2">
        <v>35746</v>
      </c>
      <c r="B35751" s="3" t="str">
        <f>"201512000030"</f>
        <v>201512000030</v>
      </c>
    </row>
    <row r="35752" spans="1:2" x14ac:dyDescent="0.25">
      <c r="A35752" s="2">
        <v>35747</v>
      </c>
      <c r="B35752" s="3" t="str">
        <f>"201512000032"</f>
        <v>201512000032</v>
      </c>
    </row>
    <row r="35753" spans="1:2" x14ac:dyDescent="0.25">
      <c r="A35753" s="2">
        <v>35748</v>
      </c>
      <c r="B35753" s="3" t="str">
        <f>"201512000038"</f>
        <v>201512000038</v>
      </c>
    </row>
    <row r="35754" spans="1:2" x14ac:dyDescent="0.25">
      <c r="A35754" s="2">
        <v>35749</v>
      </c>
      <c r="B35754" s="3" t="str">
        <f>"201512000147"</f>
        <v>201512000147</v>
      </c>
    </row>
    <row r="35755" spans="1:2" x14ac:dyDescent="0.25">
      <c r="A35755" s="2">
        <v>35750</v>
      </c>
      <c r="B35755" s="3" t="str">
        <f>"201512000157"</f>
        <v>201512000157</v>
      </c>
    </row>
    <row r="35756" spans="1:2" x14ac:dyDescent="0.25">
      <c r="A35756" s="2">
        <v>35751</v>
      </c>
      <c r="B35756" s="3" t="str">
        <f>"201512000166"</f>
        <v>201512000166</v>
      </c>
    </row>
    <row r="35757" spans="1:2" x14ac:dyDescent="0.25">
      <c r="A35757" s="2">
        <v>35752</v>
      </c>
      <c r="B35757" s="3" t="str">
        <f>"201512000172"</f>
        <v>201512000172</v>
      </c>
    </row>
    <row r="35758" spans="1:2" x14ac:dyDescent="0.25">
      <c r="A35758" s="2">
        <v>35753</v>
      </c>
      <c r="B35758" s="3" t="str">
        <f>"201512000187"</f>
        <v>201512000187</v>
      </c>
    </row>
    <row r="35759" spans="1:2" x14ac:dyDescent="0.25">
      <c r="A35759" s="2">
        <v>35754</v>
      </c>
      <c r="B35759" s="3" t="str">
        <f>"201512000209"</f>
        <v>201512000209</v>
      </c>
    </row>
    <row r="35760" spans="1:2" x14ac:dyDescent="0.25">
      <c r="A35760" s="2">
        <v>35755</v>
      </c>
      <c r="B35760" s="3" t="str">
        <f>"201512000224"</f>
        <v>201512000224</v>
      </c>
    </row>
    <row r="35761" spans="1:2" x14ac:dyDescent="0.25">
      <c r="A35761" s="2">
        <v>35756</v>
      </c>
      <c r="B35761" s="3" t="str">
        <f>"201512000232"</f>
        <v>201512000232</v>
      </c>
    </row>
    <row r="35762" spans="1:2" x14ac:dyDescent="0.25">
      <c r="A35762" s="2">
        <v>35757</v>
      </c>
      <c r="B35762" s="3" t="str">
        <f>"201512000264"</f>
        <v>201512000264</v>
      </c>
    </row>
    <row r="35763" spans="1:2" x14ac:dyDescent="0.25">
      <c r="A35763" s="2">
        <v>35758</v>
      </c>
      <c r="B35763" s="3" t="str">
        <f>"201512000285"</f>
        <v>201512000285</v>
      </c>
    </row>
    <row r="35764" spans="1:2" x14ac:dyDescent="0.25">
      <c r="A35764" s="2">
        <v>35759</v>
      </c>
      <c r="B35764" s="3" t="str">
        <f>"201512000300"</f>
        <v>201512000300</v>
      </c>
    </row>
    <row r="35765" spans="1:2" x14ac:dyDescent="0.25">
      <c r="A35765" s="2">
        <v>35760</v>
      </c>
      <c r="B35765" s="3" t="str">
        <f>"201512000347"</f>
        <v>201512000347</v>
      </c>
    </row>
    <row r="35766" spans="1:2" x14ac:dyDescent="0.25">
      <c r="A35766" s="2">
        <v>35761</v>
      </c>
      <c r="B35766" s="3" t="str">
        <f>"201512000363"</f>
        <v>201512000363</v>
      </c>
    </row>
    <row r="35767" spans="1:2" x14ac:dyDescent="0.25">
      <c r="A35767" s="2">
        <v>35762</v>
      </c>
      <c r="B35767" s="3" t="str">
        <f>"201512000414"</f>
        <v>201512000414</v>
      </c>
    </row>
    <row r="35768" spans="1:2" x14ac:dyDescent="0.25">
      <c r="A35768" s="2">
        <v>35763</v>
      </c>
      <c r="B35768" s="3" t="str">
        <f>"201512000415"</f>
        <v>201512000415</v>
      </c>
    </row>
    <row r="35769" spans="1:2" x14ac:dyDescent="0.25">
      <c r="A35769" s="2">
        <v>35764</v>
      </c>
      <c r="B35769" s="3" t="str">
        <f>"201512000435"</f>
        <v>201512000435</v>
      </c>
    </row>
    <row r="35770" spans="1:2" x14ac:dyDescent="0.25">
      <c r="A35770" s="2">
        <v>35765</v>
      </c>
      <c r="B35770" s="3" t="str">
        <f>"201512000451"</f>
        <v>201512000451</v>
      </c>
    </row>
    <row r="35771" spans="1:2" x14ac:dyDescent="0.25">
      <c r="A35771" s="2">
        <v>35766</v>
      </c>
      <c r="B35771" s="3" t="str">
        <f>"201512000486"</f>
        <v>201512000486</v>
      </c>
    </row>
    <row r="35772" spans="1:2" x14ac:dyDescent="0.25">
      <c r="A35772" s="2">
        <v>35767</v>
      </c>
      <c r="B35772" s="3" t="str">
        <f>"201512000506"</f>
        <v>201512000506</v>
      </c>
    </row>
    <row r="35773" spans="1:2" x14ac:dyDescent="0.25">
      <c r="A35773" s="2">
        <v>35768</v>
      </c>
      <c r="B35773" s="3" t="str">
        <f>"201512000544"</f>
        <v>201512000544</v>
      </c>
    </row>
    <row r="35774" spans="1:2" x14ac:dyDescent="0.25">
      <c r="A35774" s="2">
        <v>35769</v>
      </c>
      <c r="B35774" s="3" t="str">
        <f>"201512000549"</f>
        <v>201512000549</v>
      </c>
    </row>
    <row r="35775" spans="1:2" x14ac:dyDescent="0.25">
      <c r="A35775" s="2">
        <v>35770</v>
      </c>
      <c r="B35775" s="3" t="str">
        <f>"201512000551"</f>
        <v>201512000551</v>
      </c>
    </row>
    <row r="35776" spans="1:2" x14ac:dyDescent="0.25">
      <c r="A35776" s="2">
        <v>35771</v>
      </c>
      <c r="B35776" s="3" t="str">
        <f>"201512000552"</f>
        <v>201512000552</v>
      </c>
    </row>
    <row r="35777" spans="1:2" x14ac:dyDescent="0.25">
      <c r="A35777" s="2">
        <v>35772</v>
      </c>
      <c r="B35777" s="3" t="str">
        <f>"201512000553"</f>
        <v>201512000553</v>
      </c>
    </row>
    <row r="35778" spans="1:2" x14ac:dyDescent="0.25">
      <c r="A35778" s="2">
        <v>35773</v>
      </c>
      <c r="B35778" s="3" t="str">
        <f>"201512000564"</f>
        <v>201512000564</v>
      </c>
    </row>
    <row r="35779" spans="1:2" x14ac:dyDescent="0.25">
      <c r="A35779" s="2">
        <v>35774</v>
      </c>
      <c r="B35779" s="3" t="str">
        <f>"201512000580"</f>
        <v>201512000580</v>
      </c>
    </row>
    <row r="35780" spans="1:2" x14ac:dyDescent="0.25">
      <c r="A35780" s="2">
        <v>35775</v>
      </c>
      <c r="B35780" s="3" t="str">
        <f>"201512000588"</f>
        <v>201512000588</v>
      </c>
    </row>
    <row r="35781" spans="1:2" x14ac:dyDescent="0.25">
      <c r="A35781" s="2">
        <v>35776</v>
      </c>
      <c r="B35781" s="3" t="str">
        <f>"201512000594"</f>
        <v>201512000594</v>
      </c>
    </row>
    <row r="35782" spans="1:2" x14ac:dyDescent="0.25">
      <c r="A35782" s="2">
        <v>35777</v>
      </c>
      <c r="B35782" s="3" t="str">
        <f>"201512000595"</f>
        <v>201512000595</v>
      </c>
    </row>
    <row r="35783" spans="1:2" x14ac:dyDescent="0.25">
      <c r="A35783" s="2">
        <v>35778</v>
      </c>
      <c r="B35783" s="3" t="str">
        <f>"201512000601"</f>
        <v>201512000601</v>
      </c>
    </row>
    <row r="35784" spans="1:2" x14ac:dyDescent="0.25">
      <c r="A35784" s="2">
        <v>35779</v>
      </c>
      <c r="B35784" s="3" t="str">
        <f>"201512000631"</f>
        <v>201512000631</v>
      </c>
    </row>
    <row r="35785" spans="1:2" x14ac:dyDescent="0.25">
      <c r="A35785" s="2">
        <v>35780</v>
      </c>
      <c r="B35785" s="3" t="str">
        <f>"201512000698"</f>
        <v>201512000698</v>
      </c>
    </row>
    <row r="35786" spans="1:2" x14ac:dyDescent="0.25">
      <c r="A35786" s="2">
        <v>35781</v>
      </c>
      <c r="B35786" s="3" t="str">
        <f>"201512000719"</f>
        <v>201512000719</v>
      </c>
    </row>
    <row r="35787" spans="1:2" x14ac:dyDescent="0.25">
      <c r="A35787" s="2">
        <v>35782</v>
      </c>
      <c r="B35787" s="3" t="str">
        <f>"201512000723"</f>
        <v>201512000723</v>
      </c>
    </row>
    <row r="35788" spans="1:2" x14ac:dyDescent="0.25">
      <c r="A35788" s="2">
        <v>35783</v>
      </c>
      <c r="B35788" s="3" t="str">
        <f>"201512000738"</f>
        <v>201512000738</v>
      </c>
    </row>
    <row r="35789" spans="1:2" x14ac:dyDescent="0.25">
      <c r="A35789" s="2">
        <v>35784</v>
      </c>
      <c r="B35789" s="3" t="str">
        <f>"201512000746"</f>
        <v>201512000746</v>
      </c>
    </row>
    <row r="35790" spans="1:2" x14ac:dyDescent="0.25">
      <c r="A35790" s="2">
        <v>35785</v>
      </c>
      <c r="B35790" s="3" t="str">
        <f>"201512000799"</f>
        <v>201512000799</v>
      </c>
    </row>
    <row r="35791" spans="1:2" x14ac:dyDescent="0.25">
      <c r="A35791" s="2">
        <v>35786</v>
      </c>
      <c r="B35791" s="3" t="str">
        <f>"201512000842"</f>
        <v>201512000842</v>
      </c>
    </row>
    <row r="35792" spans="1:2" x14ac:dyDescent="0.25">
      <c r="A35792" s="2">
        <v>35787</v>
      </c>
      <c r="B35792" s="3" t="str">
        <f>"201512000867"</f>
        <v>201512000867</v>
      </c>
    </row>
    <row r="35793" spans="1:2" x14ac:dyDescent="0.25">
      <c r="A35793" s="2">
        <v>35788</v>
      </c>
      <c r="B35793" s="3" t="str">
        <f>"201512000906"</f>
        <v>201512000906</v>
      </c>
    </row>
    <row r="35794" spans="1:2" x14ac:dyDescent="0.25">
      <c r="A35794" s="2">
        <v>35789</v>
      </c>
      <c r="B35794" s="3" t="str">
        <f>"201512000915"</f>
        <v>201512000915</v>
      </c>
    </row>
    <row r="35795" spans="1:2" x14ac:dyDescent="0.25">
      <c r="A35795" s="2">
        <v>35790</v>
      </c>
      <c r="B35795" s="3" t="str">
        <f>"201512000925"</f>
        <v>201512000925</v>
      </c>
    </row>
    <row r="35796" spans="1:2" x14ac:dyDescent="0.25">
      <c r="A35796" s="2">
        <v>35791</v>
      </c>
      <c r="B35796" s="3" t="str">
        <f>"201512000929"</f>
        <v>201512000929</v>
      </c>
    </row>
    <row r="35797" spans="1:2" x14ac:dyDescent="0.25">
      <c r="A35797" s="2">
        <v>35792</v>
      </c>
      <c r="B35797" s="3" t="str">
        <f>"201512000930"</f>
        <v>201512000930</v>
      </c>
    </row>
    <row r="35798" spans="1:2" x14ac:dyDescent="0.25">
      <c r="A35798" s="2">
        <v>35793</v>
      </c>
      <c r="B35798" s="3" t="str">
        <f>"201512000933"</f>
        <v>201512000933</v>
      </c>
    </row>
    <row r="35799" spans="1:2" x14ac:dyDescent="0.25">
      <c r="A35799" s="2">
        <v>35794</v>
      </c>
      <c r="B35799" s="3" t="str">
        <f>"201512000949"</f>
        <v>201512000949</v>
      </c>
    </row>
    <row r="35800" spans="1:2" x14ac:dyDescent="0.25">
      <c r="A35800" s="2">
        <v>35795</v>
      </c>
      <c r="B35800" s="3" t="str">
        <f>"201512000959"</f>
        <v>201512000959</v>
      </c>
    </row>
    <row r="35801" spans="1:2" x14ac:dyDescent="0.25">
      <c r="A35801" s="2">
        <v>35796</v>
      </c>
      <c r="B35801" s="3" t="str">
        <f>"201512000968"</f>
        <v>201512000968</v>
      </c>
    </row>
    <row r="35802" spans="1:2" x14ac:dyDescent="0.25">
      <c r="A35802" s="2">
        <v>35797</v>
      </c>
      <c r="B35802" s="3" t="str">
        <f>"201512001040"</f>
        <v>201512001040</v>
      </c>
    </row>
    <row r="35803" spans="1:2" x14ac:dyDescent="0.25">
      <c r="A35803" s="2">
        <v>35798</v>
      </c>
      <c r="B35803" s="3" t="str">
        <f>"201512001054"</f>
        <v>201512001054</v>
      </c>
    </row>
    <row r="35804" spans="1:2" x14ac:dyDescent="0.25">
      <c r="A35804" s="2">
        <v>35799</v>
      </c>
      <c r="B35804" s="3" t="str">
        <f>"201512001062"</f>
        <v>201512001062</v>
      </c>
    </row>
    <row r="35805" spans="1:2" x14ac:dyDescent="0.25">
      <c r="A35805" s="2">
        <v>35800</v>
      </c>
      <c r="B35805" s="3" t="str">
        <f>"201512001089"</f>
        <v>201512001089</v>
      </c>
    </row>
    <row r="35806" spans="1:2" x14ac:dyDescent="0.25">
      <c r="A35806" s="2">
        <v>35801</v>
      </c>
      <c r="B35806" s="3" t="str">
        <f>"201512001091"</f>
        <v>201512001091</v>
      </c>
    </row>
    <row r="35807" spans="1:2" x14ac:dyDescent="0.25">
      <c r="A35807" s="2">
        <v>35802</v>
      </c>
      <c r="B35807" s="3" t="str">
        <f>"201512001130"</f>
        <v>201512001130</v>
      </c>
    </row>
    <row r="35808" spans="1:2" x14ac:dyDescent="0.25">
      <c r="A35808" s="2">
        <v>35803</v>
      </c>
      <c r="B35808" s="3" t="str">
        <f>"201512001180"</f>
        <v>201512001180</v>
      </c>
    </row>
    <row r="35809" spans="1:2" x14ac:dyDescent="0.25">
      <c r="A35809" s="2">
        <v>35804</v>
      </c>
      <c r="B35809" s="3" t="str">
        <f>"201512001185"</f>
        <v>201512001185</v>
      </c>
    </row>
    <row r="35810" spans="1:2" x14ac:dyDescent="0.25">
      <c r="A35810" s="2">
        <v>35805</v>
      </c>
      <c r="B35810" s="3" t="str">
        <f>"201512001215"</f>
        <v>201512001215</v>
      </c>
    </row>
    <row r="35811" spans="1:2" x14ac:dyDescent="0.25">
      <c r="A35811" s="2">
        <v>35806</v>
      </c>
      <c r="B35811" s="3" t="str">
        <f>"201512001220"</f>
        <v>201512001220</v>
      </c>
    </row>
    <row r="35812" spans="1:2" x14ac:dyDescent="0.25">
      <c r="A35812" s="2">
        <v>35807</v>
      </c>
      <c r="B35812" s="3" t="str">
        <f>"201512001221"</f>
        <v>201512001221</v>
      </c>
    </row>
    <row r="35813" spans="1:2" x14ac:dyDescent="0.25">
      <c r="A35813" s="2">
        <v>35808</v>
      </c>
      <c r="B35813" s="3" t="str">
        <f>"201512001237"</f>
        <v>201512001237</v>
      </c>
    </row>
    <row r="35814" spans="1:2" x14ac:dyDescent="0.25">
      <c r="A35814" s="2">
        <v>35809</v>
      </c>
      <c r="B35814" s="3" t="str">
        <f>"201512001241"</f>
        <v>201512001241</v>
      </c>
    </row>
    <row r="35815" spans="1:2" x14ac:dyDescent="0.25">
      <c r="A35815" s="2">
        <v>35810</v>
      </c>
      <c r="B35815" s="3" t="str">
        <f>"201512001257"</f>
        <v>201512001257</v>
      </c>
    </row>
    <row r="35816" spans="1:2" x14ac:dyDescent="0.25">
      <c r="A35816" s="2">
        <v>35811</v>
      </c>
      <c r="B35816" s="3" t="str">
        <f>"201512001313"</f>
        <v>201512001313</v>
      </c>
    </row>
    <row r="35817" spans="1:2" x14ac:dyDescent="0.25">
      <c r="A35817" s="2">
        <v>35812</v>
      </c>
      <c r="B35817" s="3" t="str">
        <f>"201512001327"</f>
        <v>201512001327</v>
      </c>
    </row>
    <row r="35818" spans="1:2" x14ac:dyDescent="0.25">
      <c r="A35818" s="2">
        <v>35813</v>
      </c>
      <c r="B35818" s="3" t="str">
        <f>"201512001360"</f>
        <v>201512001360</v>
      </c>
    </row>
    <row r="35819" spans="1:2" x14ac:dyDescent="0.25">
      <c r="A35819" s="2">
        <v>35814</v>
      </c>
      <c r="B35819" s="3" t="str">
        <f>"201512001367"</f>
        <v>201512001367</v>
      </c>
    </row>
    <row r="35820" spans="1:2" x14ac:dyDescent="0.25">
      <c r="A35820" s="2">
        <v>35815</v>
      </c>
      <c r="B35820" s="3" t="str">
        <f>"201512001428"</f>
        <v>201512001428</v>
      </c>
    </row>
    <row r="35821" spans="1:2" x14ac:dyDescent="0.25">
      <c r="A35821" s="2">
        <v>35816</v>
      </c>
      <c r="B35821" s="3" t="str">
        <f>"201512001444"</f>
        <v>201512001444</v>
      </c>
    </row>
    <row r="35822" spans="1:2" x14ac:dyDescent="0.25">
      <c r="A35822" s="2">
        <v>35817</v>
      </c>
      <c r="B35822" s="3" t="str">
        <f>"201512001484"</f>
        <v>201512001484</v>
      </c>
    </row>
    <row r="35823" spans="1:2" x14ac:dyDescent="0.25">
      <c r="A35823" s="2">
        <v>35818</v>
      </c>
      <c r="B35823" s="3" t="str">
        <f>"201512001486"</f>
        <v>201512001486</v>
      </c>
    </row>
    <row r="35824" spans="1:2" x14ac:dyDescent="0.25">
      <c r="A35824" s="2">
        <v>35819</v>
      </c>
      <c r="B35824" s="3" t="str">
        <f>"201512001504"</f>
        <v>201512001504</v>
      </c>
    </row>
    <row r="35825" spans="1:2" x14ac:dyDescent="0.25">
      <c r="A35825" s="2">
        <v>35820</v>
      </c>
      <c r="B35825" s="3" t="str">
        <f>"201512001520"</f>
        <v>201512001520</v>
      </c>
    </row>
    <row r="35826" spans="1:2" x14ac:dyDescent="0.25">
      <c r="A35826" s="2">
        <v>35821</v>
      </c>
      <c r="B35826" s="3" t="str">
        <f>"201512001543"</f>
        <v>201512001543</v>
      </c>
    </row>
    <row r="35827" spans="1:2" x14ac:dyDescent="0.25">
      <c r="A35827" s="2">
        <v>35822</v>
      </c>
      <c r="B35827" s="3" t="str">
        <f>"201512001544"</f>
        <v>201512001544</v>
      </c>
    </row>
    <row r="35828" spans="1:2" x14ac:dyDescent="0.25">
      <c r="A35828" s="2">
        <v>35823</v>
      </c>
      <c r="B35828" s="3" t="str">
        <f>"201512001576"</f>
        <v>201512001576</v>
      </c>
    </row>
    <row r="35829" spans="1:2" x14ac:dyDescent="0.25">
      <c r="A35829" s="2">
        <v>35824</v>
      </c>
      <c r="B35829" s="3" t="str">
        <f>"201512001606"</f>
        <v>201512001606</v>
      </c>
    </row>
    <row r="35830" spans="1:2" x14ac:dyDescent="0.25">
      <c r="A35830" s="2">
        <v>35825</v>
      </c>
      <c r="B35830" s="3" t="str">
        <f>"201512001659"</f>
        <v>201512001659</v>
      </c>
    </row>
    <row r="35831" spans="1:2" x14ac:dyDescent="0.25">
      <c r="A35831" s="2">
        <v>35826</v>
      </c>
      <c r="B35831" s="3" t="str">
        <f>"201512001660"</f>
        <v>201512001660</v>
      </c>
    </row>
    <row r="35832" spans="1:2" x14ac:dyDescent="0.25">
      <c r="A35832" s="2">
        <v>35827</v>
      </c>
      <c r="B35832" s="3" t="str">
        <f>"201512001665"</f>
        <v>201512001665</v>
      </c>
    </row>
    <row r="35833" spans="1:2" x14ac:dyDescent="0.25">
      <c r="A35833" s="2">
        <v>35828</v>
      </c>
      <c r="B35833" s="3" t="str">
        <f>"201512001694"</f>
        <v>201512001694</v>
      </c>
    </row>
    <row r="35834" spans="1:2" x14ac:dyDescent="0.25">
      <c r="A35834" s="2">
        <v>35829</v>
      </c>
      <c r="B35834" s="3" t="str">
        <f>"201512001809"</f>
        <v>201512001809</v>
      </c>
    </row>
    <row r="35835" spans="1:2" x14ac:dyDescent="0.25">
      <c r="A35835" s="2">
        <v>35830</v>
      </c>
      <c r="B35835" s="3" t="str">
        <f>"201512001844"</f>
        <v>201512001844</v>
      </c>
    </row>
    <row r="35836" spans="1:2" x14ac:dyDescent="0.25">
      <c r="A35836" s="2">
        <v>35831</v>
      </c>
      <c r="B35836" s="3" t="str">
        <f>"201512001880"</f>
        <v>201512001880</v>
      </c>
    </row>
    <row r="35837" spans="1:2" x14ac:dyDescent="0.25">
      <c r="A35837" s="2">
        <v>35832</v>
      </c>
      <c r="B35837" s="3" t="str">
        <f>"201512001911"</f>
        <v>201512001911</v>
      </c>
    </row>
    <row r="35838" spans="1:2" x14ac:dyDescent="0.25">
      <c r="A35838" s="2">
        <v>35833</v>
      </c>
      <c r="B35838" s="3" t="str">
        <f>"201512001921"</f>
        <v>201512001921</v>
      </c>
    </row>
    <row r="35839" spans="1:2" x14ac:dyDescent="0.25">
      <c r="A35839" s="2">
        <v>35834</v>
      </c>
      <c r="B35839" s="3" t="str">
        <f>"201512001930"</f>
        <v>201512001930</v>
      </c>
    </row>
    <row r="35840" spans="1:2" x14ac:dyDescent="0.25">
      <c r="A35840" s="2">
        <v>35835</v>
      </c>
      <c r="B35840" s="3" t="str">
        <f>"201512001965"</f>
        <v>201512001965</v>
      </c>
    </row>
    <row r="35841" spans="1:2" x14ac:dyDescent="0.25">
      <c r="A35841" s="2">
        <v>35836</v>
      </c>
      <c r="B35841" s="3" t="str">
        <f>"201512001968"</f>
        <v>201512001968</v>
      </c>
    </row>
    <row r="35842" spans="1:2" x14ac:dyDescent="0.25">
      <c r="A35842" s="2">
        <v>35837</v>
      </c>
      <c r="B35842" s="3" t="str">
        <f>"201512001969"</f>
        <v>201512001969</v>
      </c>
    </row>
    <row r="35843" spans="1:2" x14ac:dyDescent="0.25">
      <c r="A35843" s="2">
        <v>35838</v>
      </c>
      <c r="B35843" s="3" t="str">
        <f>"201512002013"</f>
        <v>201512002013</v>
      </c>
    </row>
    <row r="35844" spans="1:2" x14ac:dyDescent="0.25">
      <c r="A35844" s="2">
        <v>35839</v>
      </c>
      <c r="B35844" s="3" t="str">
        <f>"201512002104"</f>
        <v>201512002104</v>
      </c>
    </row>
    <row r="35845" spans="1:2" x14ac:dyDescent="0.25">
      <c r="A35845" s="2">
        <v>35840</v>
      </c>
      <c r="B35845" s="3" t="str">
        <f>"201512002112"</f>
        <v>201512002112</v>
      </c>
    </row>
    <row r="35846" spans="1:2" x14ac:dyDescent="0.25">
      <c r="A35846" s="2">
        <v>35841</v>
      </c>
      <c r="B35846" s="3" t="str">
        <f>"201512002213"</f>
        <v>201512002213</v>
      </c>
    </row>
    <row r="35847" spans="1:2" x14ac:dyDescent="0.25">
      <c r="A35847" s="2">
        <v>35842</v>
      </c>
      <c r="B35847" s="3" t="str">
        <f>"201512002266"</f>
        <v>201512002266</v>
      </c>
    </row>
    <row r="35848" spans="1:2" x14ac:dyDescent="0.25">
      <c r="A35848" s="2">
        <v>35843</v>
      </c>
      <c r="B35848" s="3" t="str">
        <f>"201512002275"</f>
        <v>201512002275</v>
      </c>
    </row>
    <row r="35849" spans="1:2" x14ac:dyDescent="0.25">
      <c r="A35849" s="2">
        <v>35844</v>
      </c>
      <c r="B35849" s="3" t="str">
        <f>"201512002308"</f>
        <v>201512002308</v>
      </c>
    </row>
    <row r="35850" spans="1:2" x14ac:dyDescent="0.25">
      <c r="A35850" s="2">
        <v>35845</v>
      </c>
      <c r="B35850" s="3" t="str">
        <f>"201512002313"</f>
        <v>201512002313</v>
      </c>
    </row>
    <row r="35851" spans="1:2" x14ac:dyDescent="0.25">
      <c r="A35851" s="2">
        <v>35846</v>
      </c>
      <c r="B35851" s="3" t="str">
        <f>"201512002344"</f>
        <v>201512002344</v>
      </c>
    </row>
    <row r="35852" spans="1:2" x14ac:dyDescent="0.25">
      <c r="A35852" s="2">
        <v>35847</v>
      </c>
      <c r="B35852" s="3" t="str">
        <f>"201512002355"</f>
        <v>201512002355</v>
      </c>
    </row>
    <row r="35853" spans="1:2" x14ac:dyDescent="0.25">
      <c r="A35853" s="2">
        <v>35848</v>
      </c>
      <c r="B35853" s="3" t="str">
        <f>"201512002372"</f>
        <v>201512002372</v>
      </c>
    </row>
    <row r="35854" spans="1:2" x14ac:dyDescent="0.25">
      <c r="A35854" s="2">
        <v>35849</v>
      </c>
      <c r="B35854" s="3" t="str">
        <f>"201512002399"</f>
        <v>201512002399</v>
      </c>
    </row>
    <row r="35855" spans="1:2" x14ac:dyDescent="0.25">
      <c r="A35855" s="2">
        <v>35850</v>
      </c>
      <c r="B35855" s="3" t="str">
        <f>"201512002407"</f>
        <v>201512002407</v>
      </c>
    </row>
    <row r="35856" spans="1:2" x14ac:dyDescent="0.25">
      <c r="A35856" s="2">
        <v>35851</v>
      </c>
      <c r="B35856" s="3" t="str">
        <f>"201512002475"</f>
        <v>201512002475</v>
      </c>
    </row>
    <row r="35857" spans="1:2" x14ac:dyDescent="0.25">
      <c r="A35857" s="2">
        <v>35852</v>
      </c>
      <c r="B35857" s="3" t="str">
        <f>"201512002530"</f>
        <v>201512002530</v>
      </c>
    </row>
    <row r="35858" spans="1:2" x14ac:dyDescent="0.25">
      <c r="A35858" s="2">
        <v>35853</v>
      </c>
      <c r="B35858" s="3" t="str">
        <f>"201512002531"</f>
        <v>201512002531</v>
      </c>
    </row>
    <row r="35859" spans="1:2" x14ac:dyDescent="0.25">
      <c r="A35859" s="2">
        <v>35854</v>
      </c>
      <c r="B35859" s="3" t="str">
        <f>"201512002567"</f>
        <v>201512002567</v>
      </c>
    </row>
    <row r="35860" spans="1:2" x14ac:dyDescent="0.25">
      <c r="A35860" s="2">
        <v>35855</v>
      </c>
      <c r="B35860" s="3" t="str">
        <f>"201512002705"</f>
        <v>201512002705</v>
      </c>
    </row>
    <row r="35861" spans="1:2" x14ac:dyDescent="0.25">
      <c r="A35861" s="2">
        <v>35856</v>
      </c>
      <c r="B35861" s="3" t="str">
        <f>"201512002780"</f>
        <v>201512002780</v>
      </c>
    </row>
    <row r="35862" spans="1:2" x14ac:dyDescent="0.25">
      <c r="A35862" s="2">
        <v>35857</v>
      </c>
      <c r="B35862" s="3" t="str">
        <f>"201512002897"</f>
        <v>201512002897</v>
      </c>
    </row>
    <row r="35863" spans="1:2" x14ac:dyDescent="0.25">
      <c r="A35863" s="2">
        <v>35858</v>
      </c>
      <c r="B35863" s="3" t="str">
        <f>"201512002906"</f>
        <v>201512002906</v>
      </c>
    </row>
    <row r="35864" spans="1:2" x14ac:dyDescent="0.25">
      <c r="A35864" s="2">
        <v>35859</v>
      </c>
      <c r="B35864" s="3" t="str">
        <f>"201512002954"</f>
        <v>201512002954</v>
      </c>
    </row>
    <row r="35865" spans="1:2" x14ac:dyDescent="0.25">
      <c r="A35865" s="2">
        <v>35860</v>
      </c>
      <c r="B35865" s="3" t="str">
        <f>"201512002974"</f>
        <v>201512002974</v>
      </c>
    </row>
    <row r="35866" spans="1:2" x14ac:dyDescent="0.25">
      <c r="A35866" s="2">
        <v>35861</v>
      </c>
      <c r="B35866" s="3" t="str">
        <f>"201512002989"</f>
        <v>201512002989</v>
      </c>
    </row>
    <row r="35867" spans="1:2" x14ac:dyDescent="0.25">
      <c r="A35867" s="2">
        <v>35862</v>
      </c>
      <c r="B35867" s="3" t="str">
        <f>"201512003015"</f>
        <v>201512003015</v>
      </c>
    </row>
    <row r="35868" spans="1:2" x14ac:dyDescent="0.25">
      <c r="A35868" s="2">
        <v>35863</v>
      </c>
      <c r="B35868" s="3" t="str">
        <f>"201512003029"</f>
        <v>201512003029</v>
      </c>
    </row>
    <row r="35869" spans="1:2" x14ac:dyDescent="0.25">
      <c r="A35869" s="2">
        <v>35864</v>
      </c>
      <c r="B35869" s="3" t="str">
        <f>"201512003079"</f>
        <v>201512003079</v>
      </c>
    </row>
    <row r="35870" spans="1:2" x14ac:dyDescent="0.25">
      <c r="A35870" s="2">
        <v>35865</v>
      </c>
      <c r="B35870" s="3" t="str">
        <f>"201512003155"</f>
        <v>201512003155</v>
      </c>
    </row>
    <row r="35871" spans="1:2" x14ac:dyDescent="0.25">
      <c r="A35871" s="2">
        <v>35866</v>
      </c>
      <c r="B35871" s="3" t="str">
        <f>"201512003196"</f>
        <v>201512003196</v>
      </c>
    </row>
    <row r="35872" spans="1:2" x14ac:dyDescent="0.25">
      <c r="A35872" s="2">
        <v>35867</v>
      </c>
      <c r="B35872" s="3" t="str">
        <f>"201512003198"</f>
        <v>201512003198</v>
      </c>
    </row>
    <row r="35873" spans="1:2" x14ac:dyDescent="0.25">
      <c r="A35873" s="2">
        <v>35868</v>
      </c>
      <c r="B35873" s="3" t="str">
        <f>"201512003314"</f>
        <v>201512003314</v>
      </c>
    </row>
    <row r="35874" spans="1:2" x14ac:dyDescent="0.25">
      <c r="A35874" s="2">
        <v>35869</v>
      </c>
      <c r="B35874" s="3" t="str">
        <f>"201512003352"</f>
        <v>201512003352</v>
      </c>
    </row>
    <row r="35875" spans="1:2" x14ac:dyDescent="0.25">
      <c r="A35875" s="2">
        <v>35870</v>
      </c>
      <c r="B35875" s="3" t="str">
        <f>"201512003376"</f>
        <v>201512003376</v>
      </c>
    </row>
    <row r="35876" spans="1:2" x14ac:dyDescent="0.25">
      <c r="A35876" s="2">
        <v>35871</v>
      </c>
      <c r="B35876" s="3" t="str">
        <f>"201512003385"</f>
        <v>201512003385</v>
      </c>
    </row>
    <row r="35877" spans="1:2" x14ac:dyDescent="0.25">
      <c r="A35877" s="2">
        <v>35872</v>
      </c>
      <c r="B35877" s="3" t="str">
        <f>"201512003390"</f>
        <v>201512003390</v>
      </c>
    </row>
    <row r="35878" spans="1:2" x14ac:dyDescent="0.25">
      <c r="A35878" s="2">
        <v>35873</v>
      </c>
      <c r="B35878" s="3" t="str">
        <f>"201512003530"</f>
        <v>201512003530</v>
      </c>
    </row>
    <row r="35879" spans="1:2" x14ac:dyDescent="0.25">
      <c r="A35879" s="2">
        <v>35874</v>
      </c>
      <c r="B35879" s="3" t="str">
        <f>"201512003595"</f>
        <v>201512003595</v>
      </c>
    </row>
    <row r="35880" spans="1:2" x14ac:dyDescent="0.25">
      <c r="A35880" s="2">
        <v>35875</v>
      </c>
      <c r="B35880" s="3" t="str">
        <f>"201512003625"</f>
        <v>201512003625</v>
      </c>
    </row>
    <row r="35881" spans="1:2" x14ac:dyDescent="0.25">
      <c r="A35881" s="2">
        <v>35876</v>
      </c>
      <c r="B35881" s="3" t="str">
        <f>"201512003642"</f>
        <v>201512003642</v>
      </c>
    </row>
    <row r="35882" spans="1:2" x14ac:dyDescent="0.25">
      <c r="A35882" s="2">
        <v>35877</v>
      </c>
      <c r="B35882" s="3" t="str">
        <f>"201512003711"</f>
        <v>201512003711</v>
      </c>
    </row>
    <row r="35883" spans="1:2" x14ac:dyDescent="0.25">
      <c r="A35883" s="2">
        <v>35878</v>
      </c>
      <c r="B35883" s="3" t="str">
        <f>"201512003718"</f>
        <v>201512003718</v>
      </c>
    </row>
    <row r="35884" spans="1:2" x14ac:dyDescent="0.25">
      <c r="A35884" s="2">
        <v>35879</v>
      </c>
      <c r="B35884" s="3" t="str">
        <f>"201512003742"</f>
        <v>201512003742</v>
      </c>
    </row>
    <row r="35885" spans="1:2" x14ac:dyDescent="0.25">
      <c r="A35885" s="2">
        <v>35880</v>
      </c>
      <c r="B35885" s="3" t="str">
        <f>"201512003811"</f>
        <v>201512003811</v>
      </c>
    </row>
    <row r="35886" spans="1:2" x14ac:dyDescent="0.25">
      <c r="A35886" s="2">
        <v>35881</v>
      </c>
      <c r="B35886" s="3" t="str">
        <f>"201512003874"</f>
        <v>201512003874</v>
      </c>
    </row>
    <row r="35887" spans="1:2" x14ac:dyDescent="0.25">
      <c r="A35887" s="2">
        <v>35882</v>
      </c>
      <c r="B35887" s="3" t="str">
        <f>"201512003948"</f>
        <v>201512003948</v>
      </c>
    </row>
    <row r="35888" spans="1:2" x14ac:dyDescent="0.25">
      <c r="A35888" s="2">
        <v>35883</v>
      </c>
      <c r="B35888" s="3" t="str">
        <f>"201512004023"</f>
        <v>201512004023</v>
      </c>
    </row>
    <row r="35889" spans="1:2" x14ac:dyDescent="0.25">
      <c r="A35889" s="2">
        <v>35884</v>
      </c>
      <c r="B35889" s="3" t="str">
        <f>"201512004074"</f>
        <v>201512004074</v>
      </c>
    </row>
    <row r="35890" spans="1:2" x14ac:dyDescent="0.25">
      <c r="A35890" s="2">
        <v>35885</v>
      </c>
      <c r="B35890" s="3" t="str">
        <f>"201512004127"</f>
        <v>201512004127</v>
      </c>
    </row>
    <row r="35891" spans="1:2" x14ac:dyDescent="0.25">
      <c r="A35891" s="2">
        <v>35886</v>
      </c>
      <c r="B35891" s="3" t="str">
        <f>"201512004147"</f>
        <v>201512004147</v>
      </c>
    </row>
    <row r="35892" spans="1:2" x14ac:dyDescent="0.25">
      <c r="A35892" s="2">
        <v>35887</v>
      </c>
      <c r="B35892" s="3" t="str">
        <f>"201512004199"</f>
        <v>201512004199</v>
      </c>
    </row>
    <row r="35893" spans="1:2" x14ac:dyDescent="0.25">
      <c r="A35893" s="2">
        <v>35888</v>
      </c>
      <c r="B35893" s="3" t="str">
        <f>"201512004229"</f>
        <v>201512004229</v>
      </c>
    </row>
    <row r="35894" spans="1:2" x14ac:dyDescent="0.25">
      <c r="A35894" s="2">
        <v>35889</v>
      </c>
      <c r="B35894" s="3" t="str">
        <f>"201512004257"</f>
        <v>201512004257</v>
      </c>
    </row>
    <row r="35895" spans="1:2" x14ac:dyDescent="0.25">
      <c r="A35895" s="2">
        <v>35890</v>
      </c>
      <c r="B35895" s="3" t="str">
        <f>"201512004261"</f>
        <v>201512004261</v>
      </c>
    </row>
    <row r="35896" spans="1:2" x14ac:dyDescent="0.25">
      <c r="A35896" s="2">
        <v>35891</v>
      </c>
      <c r="B35896" s="3" t="str">
        <f>"201512004278"</f>
        <v>201512004278</v>
      </c>
    </row>
    <row r="35897" spans="1:2" x14ac:dyDescent="0.25">
      <c r="A35897" s="2">
        <v>35892</v>
      </c>
      <c r="B35897" s="3" t="str">
        <f>"201512004539"</f>
        <v>201512004539</v>
      </c>
    </row>
    <row r="35898" spans="1:2" x14ac:dyDescent="0.25">
      <c r="A35898" s="2">
        <v>35893</v>
      </c>
      <c r="B35898" s="3" t="str">
        <f>"201512004559"</f>
        <v>201512004559</v>
      </c>
    </row>
    <row r="35899" spans="1:2" x14ac:dyDescent="0.25">
      <c r="A35899" s="2">
        <v>35894</v>
      </c>
      <c r="B35899" s="3" t="str">
        <f>"201512004593"</f>
        <v>201512004593</v>
      </c>
    </row>
    <row r="35900" spans="1:2" x14ac:dyDescent="0.25">
      <c r="A35900" s="2">
        <v>35895</v>
      </c>
      <c r="B35900" s="3" t="str">
        <f>"201512004660"</f>
        <v>201512004660</v>
      </c>
    </row>
    <row r="35901" spans="1:2" x14ac:dyDescent="0.25">
      <c r="A35901" s="2">
        <v>35896</v>
      </c>
      <c r="B35901" s="3" t="str">
        <f>"201512004737"</f>
        <v>201512004737</v>
      </c>
    </row>
    <row r="35902" spans="1:2" x14ac:dyDescent="0.25">
      <c r="A35902" s="2">
        <v>35897</v>
      </c>
      <c r="B35902" s="3" t="str">
        <f>"201512004766"</f>
        <v>201512004766</v>
      </c>
    </row>
    <row r="35903" spans="1:2" x14ac:dyDescent="0.25">
      <c r="A35903" s="2">
        <v>35898</v>
      </c>
      <c r="B35903" s="3" t="str">
        <f>"201512004816"</f>
        <v>201512004816</v>
      </c>
    </row>
    <row r="35904" spans="1:2" x14ac:dyDescent="0.25">
      <c r="A35904" s="2">
        <v>35899</v>
      </c>
      <c r="B35904" s="3" t="str">
        <f>"201512004883"</f>
        <v>201512004883</v>
      </c>
    </row>
    <row r="35905" spans="1:2" x14ac:dyDescent="0.25">
      <c r="A35905" s="2">
        <v>35900</v>
      </c>
      <c r="B35905" s="3" t="str">
        <f>"201512004939"</f>
        <v>201512004939</v>
      </c>
    </row>
    <row r="35906" spans="1:2" x14ac:dyDescent="0.25">
      <c r="A35906" s="2">
        <v>35901</v>
      </c>
      <c r="B35906" s="3" t="str">
        <f>"201512004996"</f>
        <v>201512004996</v>
      </c>
    </row>
    <row r="35907" spans="1:2" x14ac:dyDescent="0.25">
      <c r="A35907" s="2">
        <v>35902</v>
      </c>
      <c r="B35907" s="3" t="str">
        <f>"201512005084"</f>
        <v>201512005084</v>
      </c>
    </row>
    <row r="35908" spans="1:2" x14ac:dyDescent="0.25">
      <c r="A35908" s="2">
        <v>35903</v>
      </c>
      <c r="B35908" s="3" t="str">
        <f>"201512005120"</f>
        <v>201512005120</v>
      </c>
    </row>
    <row r="35909" spans="1:2" x14ac:dyDescent="0.25">
      <c r="A35909" s="2">
        <v>35904</v>
      </c>
      <c r="B35909" s="3" t="str">
        <f>"201512005202"</f>
        <v>201512005202</v>
      </c>
    </row>
    <row r="35910" spans="1:2" x14ac:dyDescent="0.25">
      <c r="A35910" s="2">
        <v>35905</v>
      </c>
      <c r="B35910" s="3" t="str">
        <f>"201512005218"</f>
        <v>201512005218</v>
      </c>
    </row>
    <row r="35911" spans="1:2" x14ac:dyDescent="0.25">
      <c r="A35911" s="2">
        <v>35906</v>
      </c>
      <c r="B35911" s="3" t="str">
        <f>"201512005244"</f>
        <v>201512005244</v>
      </c>
    </row>
    <row r="35912" spans="1:2" x14ac:dyDescent="0.25">
      <c r="A35912" s="2">
        <v>35907</v>
      </c>
      <c r="B35912" s="3" t="str">
        <f>"201512005339"</f>
        <v>201512005339</v>
      </c>
    </row>
    <row r="35913" spans="1:2" x14ac:dyDescent="0.25">
      <c r="A35913" s="2">
        <v>35908</v>
      </c>
      <c r="B35913" s="3" t="str">
        <f>"201512005452"</f>
        <v>201512005452</v>
      </c>
    </row>
    <row r="35914" spans="1:2" x14ac:dyDescent="0.25">
      <c r="A35914" s="2">
        <v>35909</v>
      </c>
      <c r="B35914" s="3" t="str">
        <f>"201512005456"</f>
        <v>201512005456</v>
      </c>
    </row>
    <row r="35915" spans="1:2" x14ac:dyDescent="0.25">
      <c r="A35915" s="2">
        <v>35910</v>
      </c>
      <c r="B35915" s="3" t="str">
        <f>"201512005460"</f>
        <v>201512005460</v>
      </c>
    </row>
    <row r="35916" spans="1:2" x14ac:dyDescent="0.25">
      <c r="A35916" s="2">
        <v>35911</v>
      </c>
      <c r="B35916" s="3" t="str">
        <f>"201512005461"</f>
        <v>201512005461</v>
      </c>
    </row>
    <row r="35917" spans="1:2" x14ac:dyDescent="0.25">
      <c r="A35917" s="2">
        <v>35912</v>
      </c>
      <c r="B35917" s="3" t="str">
        <f>"201512005479"</f>
        <v>201512005479</v>
      </c>
    </row>
    <row r="35918" spans="1:2" x14ac:dyDescent="0.25">
      <c r="A35918" s="2">
        <v>35913</v>
      </c>
      <c r="B35918" s="3" t="str">
        <f>"201512005523"</f>
        <v>201512005523</v>
      </c>
    </row>
    <row r="35919" spans="1:2" x14ac:dyDescent="0.25">
      <c r="A35919" s="2">
        <v>35914</v>
      </c>
      <c r="B35919" s="3" t="str">
        <f>"201512005577"</f>
        <v>201512005577</v>
      </c>
    </row>
    <row r="35920" spans="1:2" x14ac:dyDescent="0.25">
      <c r="A35920" s="2">
        <v>35915</v>
      </c>
      <c r="B35920" s="3" t="str">
        <f>"201601000014"</f>
        <v>201601000014</v>
      </c>
    </row>
    <row r="35921" spans="1:2" x14ac:dyDescent="0.25">
      <c r="A35921" s="2">
        <v>35916</v>
      </c>
      <c r="B35921" s="3" t="str">
        <f>"201601000054"</f>
        <v>201601000054</v>
      </c>
    </row>
    <row r="35922" spans="1:2" x14ac:dyDescent="0.25">
      <c r="A35922" s="2">
        <v>35917</v>
      </c>
      <c r="B35922" s="3" t="str">
        <f>"201601000064"</f>
        <v>201601000064</v>
      </c>
    </row>
    <row r="35923" spans="1:2" x14ac:dyDescent="0.25">
      <c r="A35923" s="2">
        <v>35918</v>
      </c>
      <c r="B35923" s="3" t="str">
        <f>"201601000126"</f>
        <v>201601000126</v>
      </c>
    </row>
    <row r="35924" spans="1:2" x14ac:dyDescent="0.25">
      <c r="A35924" s="2">
        <v>35919</v>
      </c>
      <c r="B35924" s="3" t="str">
        <f>"201601000138"</f>
        <v>201601000138</v>
      </c>
    </row>
    <row r="35925" spans="1:2" x14ac:dyDescent="0.25">
      <c r="A35925" s="2">
        <v>35920</v>
      </c>
      <c r="B35925" s="3" t="str">
        <f>"201601000318"</f>
        <v>201601000318</v>
      </c>
    </row>
    <row r="35926" spans="1:2" x14ac:dyDescent="0.25">
      <c r="A35926" s="2">
        <v>35921</v>
      </c>
      <c r="B35926" s="3" t="str">
        <f>"201601000324"</f>
        <v>201601000324</v>
      </c>
    </row>
    <row r="35927" spans="1:2" x14ac:dyDescent="0.25">
      <c r="A35927" s="2">
        <v>35922</v>
      </c>
      <c r="B35927" s="3" t="str">
        <f>"201601000375"</f>
        <v>201601000375</v>
      </c>
    </row>
    <row r="35928" spans="1:2" x14ac:dyDescent="0.25">
      <c r="A35928" s="2">
        <v>35923</v>
      </c>
      <c r="B35928" s="3" t="str">
        <f>"201601000376"</f>
        <v>201601000376</v>
      </c>
    </row>
    <row r="35929" spans="1:2" x14ac:dyDescent="0.25">
      <c r="A35929" s="2">
        <v>35924</v>
      </c>
      <c r="B35929" s="3" t="str">
        <f>"201601000388"</f>
        <v>201601000388</v>
      </c>
    </row>
    <row r="35930" spans="1:2" x14ac:dyDescent="0.25">
      <c r="A35930" s="2">
        <v>35925</v>
      </c>
      <c r="B35930" s="3" t="str">
        <f>"201601000389"</f>
        <v>201601000389</v>
      </c>
    </row>
    <row r="35931" spans="1:2" x14ac:dyDescent="0.25">
      <c r="A35931" s="2">
        <v>35926</v>
      </c>
      <c r="B35931" s="3" t="str">
        <f>"201601000418"</f>
        <v>201601000418</v>
      </c>
    </row>
    <row r="35932" spans="1:2" x14ac:dyDescent="0.25">
      <c r="A35932" s="2">
        <v>35927</v>
      </c>
      <c r="B35932" s="3" t="str">
        <f>"201601000439"</f>
        <v>201601000439</v>
      </c>
    </row>
    <row r="35933" spans="1:2" x14ac:dyDescent="0.25">
      <c r="A35933" s="2">
        <v>35928</v>
      </c>
      <c r="B35933" s="3" t="str">
        <f>"201601000455"</f>
        <v>201601000455</v>
      </c>
    </row>
    <row r="35934" spans="1:2" x14ac:dyDescent="0.25">
      <c r="A35934" s="2">
        <v>35929</v>
      </c>
      <c r="B35934" s="3" t="str">
        <f>"201601000475"</f>
        <v>201601000475</v>
      </c>
    </row>
    <row r="35935" spans="1:2" x14ac:dyDescent="0.25">
      <c r="A35935" s="2">
        <v>35930</v>
      </c>
      <c r="B35935" s="3" t="str">
        <f>"201601000487"</f>
        <v>201601000487</v>
      </c>
    </row>
    <row r="35936" spans="1:2" x14ac:dyDescent="0.25">
      <c r="A35936" s="2">
        <v>35931</v>
      </c>
      <c r="B35936" s="3" t="str">
        <f>"201601000496"</f>
        <v>201601000496</v>
      </c>
    </row>
    <row r="35937" spans="1:2" x14ac:dyDescent="0.25">
      <c r="A35937" s="2">
        <v>35932</v>
      </c>
      <c r="B35937" s="3" t="str">
        <f>"201601000523"</f>
        <v>201601000523</v>
      </c>
    </row>
    <row r="35938" spans="1:2" x14ac:dyDescent="0.25">
      <c r="A35938" s="2">
        <v>35933</v>
      </c>
      <c r="B35938" s="3" t="str">
        <f>"201601000564"</f>
        <v>201601000564</v>
      </c>
    </row>
    <row r="35939" spans="1:2" x14ac:dyDescent="0.25">
      <c r="A35939" s="2">
        <v>35934</v>
      </c>
      <c r="B35939" s="3" t="str">
        <f>"201601000567"</f>
        <v>201601000567</v>
      </c>
    </row>
    <row r="35940" spans="1:2" x14ac:dyDescent="0.25">
      <c r="A35940" s="2">
        <v>35935</v>
      </c>
      <c r="B35940" s="3" t="str">
        <f>"201601000720"</f>
        <v>201601000720</v>
      </c>
    </row>
    <row r="35941" spans="1:2" x14ac:dyDescent="0.25">
      <c r="A35941" s="2">
        <v>35936</v>
      </c>
      <c r="B35941" s="3" t="str">
        <f>"201601000728"</f>
        <v>201601000728</v>
      </c>
    </row>
    <row r="35942" spans="1:2" x14ac:dyDescent="0.25">
      <c r="A35942" s="2">
        <v>35937</v>
      </c>
      <c r="B35942" s="3" t="str">
        <f>"201601000759"</f>
        <v>201601000759</v>
      </c>
    </row>
    <row r="35943" spans="1:2" x14ac:dyDescent="0.25">
      <c r="A35943" s="2">
        <v>35938</v>
      </c>
      <c r="B35943" s="3" t="str">
        <f>"201601000831"</f>
        <v>201601000831</v>
      </c>
    </row>
    <row r="35944" spans="1:2" x14ac:dyDescent="0.25">
      <c r="A35944" s="2">
        <v>35939</v>
      </c>
      <c r="B35944" s="3" t="str">
        <f>"201601000835"</f>
        <v>201601000835</v>
      </c>
    </row>
    <row r="35945" spans="1:2" x14ac:dyDescent="0.25">
      <c r="A35945" s="2">
        <v>35940</v>
      </c>
      <c r="B35945" s="3" t="str">
        <f>"201601000846"</f>
        <v>201601000846</v>
      </c>
    </row>
    <row r="35946" spans="1:2" x14ac:dyDescent="0.25">
      <c r="A35946" s="2">
        <v>35941</v>
      </c>
      <c r="B35946" s="3" t="str">
        <f>"201601000877"</f>
        <v>201601000877</v>
      </c>
    </row>
    <row r="35947" spans="1:2" x14ac:dyDescent="0.25">
      <c r="A35947" s="2">
        <v>35942</v>
      </c>
      <c r="B35947" s="3" t="str">
        <f>"201601000904"</f>
        <v>201601000904</v>
      </c>
    </row>
    <row r="35948" spans="1:2" x14ac:dyDescent="0.25">
      <c r="A35948" s="2">
        <v>35943</v>
      </c>
      <c r="B35948" s="3" t="str">
        <f>"201601000926"</f>
        <v>201601000926</v>
      </c>
    </row>
    <row r="35949" spans="1:2" x14ac:dyDescent="0.25">
      <c r="A35949" s="2">
        <v>35944</v>
      </c>
      <c r="B35949" s="3" t="str">
        <f>"201601000986"</f>
        <v>201601000986</v>
      </c>
    </row>
    <row r="35950" spans="1:2" x14ac:dyDescent="0.25">
      <c r="A35950" s="2">
        <v>35945</v>
      </c>
      <c r="B35950" s="3" t="str">
        <f>"201601001006"</f>
        <v>201601001006</v>
      </c>
    </row>
    <row r="35951" spans="1:2" x14ac:dyDescent="0.25">
      <c r="A35951" s="2">
        <v>35946</v>
      </c>
      <c r="B35951" s="3" t="str">
        <f>"201601001063"</f>
        <v>201601001063</v>
      </c>
    </row>
    <row r="35952" spans="1:2" x14ac:dyDescent="0.25">
      <c r="A35952" s="2">
        <v>35947</v>
      </c>
      <c r="B35952" s="3" t="str">
        <f>"201601001077"</f>
        <v>201601001077</v>
      </c>
    </row>
    <row r="35953" spans="1:2" x14ac:dyDescent="0.25">
      <c r="A35953" s="2">
        <v>35948</v>
      </c>
      <c r="B35953" s="3" t="str">
        <f>"201601001108"</f>
        <v>201601001108</v>
      </c>
    </row>
    <row r="35954" spans="1:2" x14ac:dyDescent="0.25">
      <c r="A35954" s="2">
        <v>35949</v>
      </c>
      <c r="B35954" s="3" t="str">
        <f>"201601001145"</f>
        <v>201601001145</v>
      </c>
    </row>
    <row r="35955" spans="1:2" x14ac:dyDescent="0.25">
      <c r="A35955" s="2">
        <v>35950</v>
      </c>
      <c r="B35955" s="3" t="str">
        <f>"201601001195"</f>
        <v>201601001195</v>
      </c>
    </row>
    <row r="35956" spans="1:2" x14ac:dyDescent="0.25">
      <c r="A35956" s="2">
        <v>35951</v>
      </c>
      <c r="B35956" s="3" t="str">
        <f>"201601001222"</f>
        <v>201601001222</v>
      </c>
    </row>
    <row r="35957" spans="1:2" x14ac:dyDescent="0.25">
      <c r="A35957" s="2">
        <v>35952</v>
      </c>
      <c r="B35957" s="3" t="str">
        <f>"201601001256"</f>
        <v>201601001256</v>
      </c>
    </row>
    <row r="35958" spans="1:2" x14ac:dyDescent="0.25">
      <c r="A35958" s="2">
        <v>35953</v>
      </c>
      <c r="B35958" s="3" t="str">
        <f>"201601001382"</f>
        <v>201601001382</v>
      </c>
    </row>
    <row r="35959" spans="1:2" x14ac:dyDescent="0.25">
      <c r="A35959" s="2">
        <v>35954</v>
      </c>
      <c r="B35959" s="3" t="str">
        <f>"201602000068"</f>
        <v>201602000068</v>
      </c>
    </row>
    <row r="35960" spans="1:2" x14ac:dyDescent="0.25">
      <c r="A35960" s="2">
        <v>35955</v>
      </c>
      <c r="B35960" s="3" t="str">
        <f>"201602000143"</f>
        <v>201602000143</v>
      </c>
    </row>
    <row r="35961" spans="1:2" x14ac:dyDescent="0.25">
      <c r="A35961" s="2">
        <v>35956</v>
      </c>
      <c r="B35961" s="3" t="str">
        <f>"201602000200"</f>
        <v>201602000200</v>
      </c>
    </row>
    <row r="35962" spans="1:2" x14ac:dyDescent="0.25">
      <c r="A35962" s="2">
        <v>35957</v>
      </c>
      <c r="B35962" s="3" t="str">
        <f>"201602000247"</f>
        <v>201602000247</v>
      </c>
    </row>
    <row r="35963" spans="1:2" x14ac:dyDescent="0.25">
      <c r="A35963" s="2">
        <v>35958</v>
      </c>
      <c r="B35963" s="3" t="str">
        <f>"201602000257"</f>
        <v>201602000257</v>
      </c>
    </row>
    <row r="35964" spans="1:2" x14ac:dyDescent="0.25">
      <c r="A35964" s="2">
        <v>35959</v>
      </c>
      <c r="B35964" s="3" t="str">
        <f>"201602000276"</f>
        <v>201602000276</v>
      </c>
    </row>
    <row r="35965" spans="1:2" x14ac:dyDescent="0.25">
      <c r="A35965" s="2">
        <v>35960</v>
      </c>
      <c r="B35965" s="3" t="str">
        <f>"201602000287"</f>
        <v>201602000287</v>
      </c>
    </row>
    <row r="35966" spans="1:2" x14ac:dyDescent="0.25">
      <c r="A35966" s="2">
        <v>35961</v>
      </c>
      <c r="B35966" s="3" t="str">
        <f>"201602000290"</f>
        <v>201602000290</v>
      </c>
    </row>
    <row r="35967" spans="1:2" x14ac:dyDescent="0.25">
      <c r="A35967" s="2">
        <v>35962</v>
      </c>
      <c r="B35967" s="3" t="str">
        <f>"201602000345"</f>
        <v>201602000345</v>
      </c>
    </row>
    <row r="35968" spans="1:2" x14ac:dyDescent="0.25">
      <c r="A35968" s="2">
        <v>35963</v>
      </c>
      <c r="B35968" s="3" t="str">
        <f>"201602000353"</f>
        <v>201602000353</v>
      </c>
    </row>
    <row r="35969" spans="1:2" x14ac:dyDescent="0.25">
      <c r="A35969" s="2">
        <v>35964</v>
      </c>
      <c r="B35969" s="3" t="str">
        <f>"201602000359"</f>
        <v>201602000359</v>
      </c>
    </row>
    <row r="35970" spans="1:2" x14ac:dyDescent="0.25">
      <c r="A35970" s="2">
        <v>35965</v>
      </c>
      <c r="B35970" s="3" t="str">
        <f>"201603000023"</f>
        <v>201603000023</v>
      </c>
    </row>
    <row r="35971" spans="1:2" x14ac:dyDescent="0.25">
      <c r="A35971" s="2">
        <v>35966</v>
      </c>
      <c r="B35971" s="3" t="str">
        <f>"201603000099"</f>
        <v>201603000099</v>
      </c>
    </row>
    <row r="35972" spans="1:2" x14ac:dyDescent="0.25">
      <c r="A35972" s="2">
        <v>35967</v>
      </c>
      <c r="B35972" s="3" t="str">
        <f>"201603000106"</f>
        <v>201603000106</v>
      </c>
    </row>
    <row r="35973" spans="1:2" x14ac:dyDescent="0.25">
      <c r="A35973" s="2">
        <v>35968</v>
      </c>
      <c r="B35973" s="3" t="str">
        <f>"201603000110"</f>
        <v>201603000110</v>
      </c>
    </row>
    <row r="35974" spans="1:2" x14ac:dyDescent="0.25">
      <c r="A35974" s="2">
        <v>35969</v>
      </c>
      <c r="B35974" s="3" t="str">
        <f>"201603000130"</f>
        <v>201603000130</v>
      </c>
    </row>
    <row r="35975" spans="1:2" x14ac:dyDescent="0.25">
      <c r="A35975" s="2">
        <v>35970</v>
      </c>
      <c r="B35975" s="3" t="str">
        <f>"201603000152"</f>
        <v>201603000152</v>
      </c>
    </row>
    <row r="35976" spans="1:2" x14ac:dyDescent="0.25">
      <c r="A35976" s="2">
        <v>35971</v>
      </c>
      <c r="B35976" s="3" t="str">
        <f>"201603000239"</f>
        <v>201603000239</v>
      </c>
    </row>
    <row r="35977" spans="1:2" x14ac:dyDescent="0.25">
      <c r="A35977" s="2">
        <v>35972</v>
      </c>
      <c r="B35977" s="3" t="str">
        <f>"201603000261"</f>
        <v>201603000261</v>
      </c>
    </row>
    <row r="35978" spans="1:2" x14ac:dyDescent="0.25">
      <c r="A35978" s="2">
        <v>35973</v>
      </c>
      <c r="B35978" s="3" t="str">
        <f>"201603000286"</f>
        <v>201603000286</v>
      </c>
    </row>
    <row r="35979" spans="1:2" x14ac:dyDescent="0.25">
      <c r="A35979" s="2">
        <v>35974</v>
      </c>
      <c r="B35979" s="3" t="str">
        <f>"201603000298"</f>
        <v>201603000298</v>
      </c>
    </row>
    <row r="35980" spans="1:2" x14ac:dyDescent="0.25">
      <c r="A35980" s="2">
        <v>35975</v>
      </c>
      <c r="B35980" s="3" t="str">
        <f>"201603000301"</f>
        <v>201603000301</v>
      </c>
    </row>
    <row r="35981" spans="1:2" x14ac:dyDescent="0.25">
      <c r="A35981" s="2">
        <v>35976</v>
      </c>
      <c r="B35981" s="3" t="str">
        <f>"201603000311"</f>
        <v>201603000311</v>
      </c>
    </row>
    <row r="35982" spans="1:2" x14ac:dyDescent="0.25">
      <c r="A35982" s="2">
        <v>35977</v>
      </c>
      <c r="B35982" s="3" t="str">
        <f>"201603000326"</f>
        <v>201603000326</v>
      </c>
    </row>
    <row r="35983" spans="1:2" x14ac:dyDescent="0.25">
      <c r="A35983" s="2">
        <v>35978</v>
      </c>
      <c r="B35983" s="3" t="str">
        <f>"201603000364"</f>
        <v>201603000364</v>
      </c>
    </row>
    <row r="35984" spans="1:2" x14ac:dyDescent="0.25">
      <c r="A35984" s="2">
        <v>35979</v>
      </c>
      <c r="B35984" s="3" t="str">
        <f>"201603000365"</f>
        <v>201603000365</v>
      </c>
    </row>
    <row r="35985" spans="1:2" x14ac:dyDescent="0.25">
      <c r="A35985" s="2">
        <v>35980</v>
      </c>
      <c r="B35985" s="3" t="str">
        <f>"201603000372"</f>
        <v>201603000372</v>
      </c>
    </row>
    <row r="35986" spans="1:2" x14ac:dyDescent="0.25">
      <c r="A35986" s="2">
        <v>35981</v>
      </c>
      <c r="B35986" s="3" t="str">
        <f>"201603000373"</f>
        <v>201603000373</v>
      </c>
    </row>
    <row r="35987" spans="1:2" x14ac:dyDescent="0.25">
      <c r="A35987" s="2">
        <v>35982</v>
      </c>
      <c r="B35987" s="3" t="str">
        <f>"201603000384"</f>
        <v>201603000384</v>
      </c>
    </row>
    <row r="35988" spans="1:2" x14ac:dyDescent="0.25">
      <c r="A35988" s="2">
        <v>35983</v>
      </c>
      <c r="B35988" s="3" t="str">
        <f>"201603000385"</f>
        <v>201603000385</v>
      </c>
    </row>
    <row r="35989" spans="1:2" x14ac:dyDescent="0.25">
      <c r="A35989" s="2">
        <v>35984</v>
      </c>
      <c r="B35989" s="3" t="str">
        <f>"201603000395"</f>
        <v>201603000395</v>
      </c>
    </row>
    <row r="35990" spans="1:2" x14ac:dyDescent="0.25">
      <c r="A35990" s="2">
        <v>35985</v>
      </c>
      <c r="B35990" s="3" t="str">
        <f>"201603000429"</f>
        <v>201603000429</v>
      </c>
    </row>
    <row r="35991" spans="1:2" x14ac:dyDescent="0.25">
      <c r="A35991" s="2">
        <v>35986</v>
      </c>
      <c r="B35991" s="3" t="str">
        <f>"201603000461"</f>
        <v>201603000461</v>
      </c>
    </row>
    <row r="35992" spans="1:2" x14ac:dyDescent="0.25">
      <c r="A35992" s="2">
        <v>35987</v>
      </c>
      <c r="B35992" s="3" t="str">
        <f>"201603000470"</f>
        <v>201603000470</v>
      </c>
    </row>
    <row r="35993" spans="1:2" x14ac:dyDescent="0.25">
      <c r="A35993" s="2">
        <v>35988</v>
      </c>
      <c r="B35993" s="3" t="str">
        <f>"201603000475"</f>
        <v>201603000475</v>
      </c>
    </row>
    <row r="35994" spans="1:2" x14ac:dyDescent="0.25">
      <c r="A35994" s="2">
        <v>35989</v>
      </c>
      <c r="B35994" s="3" t="str">
        <f>"201603000483"</f>
        <v>201603000483</v>
      </c>
    </row>
    <row r="35995" spans="1:2" x14ac:dyDescent="0.25">
      <c r="A35995" s="2">
        <v>35990</v>
      </c>
      <c r="B35995" s="3" t="str">
        <f>"201603000497"</f>
        <v>201603000497</v>
      </c>
    </row>
    <row r="35996" spans="1:2" x14ac:dyDescent="0.25">
      <c r="A35996" s="2">
        <v>35991</v>
      </c>
      <c r="B35996" s="3" t="str">
        <f>"201603000499"</f>
        <v>201603000499</v>
      </c>
    </row>
    <row r="35997" spans="1:2" x14ac:dyDescent="0.25">
      <c r="A35997" s="2">
        <v>35992</v>
      </c>
      <c r="B35997" s="3" t="str">
        <f>"201603000503"</f>
        <v>201603000503</v>
      </c>
    </row>
    <row r="35998" spans="1:2" x14ac:dyDescent="0.25">
      <c r="A35998" s="2">
        <v>35993</v>
      </c>
      <c r="B35998" s="3" t="str">
        <f>"201603000526"</f>
        <v>201603000526</v>
      </c>
    </row>
    <row r="35999" spans="1:2" x14ac:dyDescent="0.25">
      <c r="A35999" s="2">
        <v>35994</v>
      </c>
      <c r="B35999" s="3" t="str">
        <f>"201603000529"</f>
        <v>201603000529</v>
      </c>
    </row>
    <row r="36000" spans="1:2" x14ac:dyDescent="0.25">
      <c r="A36000" s="2">
        <v>35995</v>
      </c>
      <c r="B36000" s="3" t="str">
        <f>"201603000554"</f>
        <v>201603000554</v>
      </c>
    </row>
    <row r="36001" spans="1:2" x14ac:dyDescent="0.25">
      <c r="A36001" s="2">
        <v>35996</v>
      </c>
      <c r="B36001" s="3" t="str">
        <f>"201603000572"</f>
        <v>201603000572</v>
      </c>
    </row>
    <row r="36002" spans="1:2" x14ac:dyDescent="0.25">
      <c r="A36002" s="2">
        <v>35997</v>
      </c>
      <c r="B36002" s="3" t="str">
        <f>"201603000586"</f>
        <v>201603000586</v>
      </c>
    </row>
    <row r="36003" spans="1:2" x14ac:dyDescent="0.25">
      <c r="A36003" s="2">
        <v>35998</v>
      </c>
      <c r="B36003" s="3" t="str">
        <f>"201603000587"</f>
        <v>201603000587</v>
      </c>
    </row>
    <row r="36004" spans="1:2" x14ac:dyDescent="0.25">
      <c r="A36004" s="2">
        <v>35999</v>
      </c>
      <c r="B36004" s="3" t="str">
        <f>"201603000604"</f>
        <v>201603000604</v>
      </c>
    </row>
    <row r="36005" spans="1:2" x14ac:dyDescent="0.25">
      <c r="A36005" s="2">
        <v>36000</v>
      </c>
      <c r="B36005" s="3" t="str">
        <f>"201603000611"</f>
        <v>201603000611</v>
      </c>
    </row>
    <row r="36006" spans="1:2" x14ac:dyDescent="0.25">
      <c r="A36006" s="2">
        <v>36001</v>
      </c>
      <c r="B36006" s="3" t="str">
        <f>"201603000617"</f>
        <v>201603000617</v>
      </c>
    </row>
    <row r="36007" spans="1:2" x14ac:dyDescent="0.25">
      <c r="A36007" s="2">
        <v>36002</v>
      </c>
      <c r="B36007" s="3" t="str">
        <f>"201603000621"</f>
        <v>201603000621</v>
      </c>
    </row>
    <row r="36008" spans="1:2" x14ac:dyDescent="0.25">
      <c r="A36008" s="2">
        <v>36003</v>
      </c>
      <c r="B36008" s="3" t="str">
        <f>"201604000009"</f>
        <v>201604000009</v>
      </c>
    </row>
    <row r="36009" spans="1:2" x14ac:dyDescent="0.25">
      <c r="A36009" s="2">
        <v>36004</v>
      </c>
      <c r="B36009" s="3" t="str">
        <f>"201604000021"</f>
        <v>201604000021</v>
      </c>
    </row>
    <row r="36010" spans="1:2" x14ac:dyDescent="0.25">
      <c r="A36010" s="2">
        <v>36005</v>
      </c>
      <c r="B36010" s="3" t="str">
        <f>"201604000026"</f>
        <v>201604000026</v>
      </c>
    </row>
    <row r="36011" spans="1:2" x14ac:dyDescent="0.25">
      <c r="A36011" s="2">
        <v>36006</v>
      </c>
      <c r="B36011" s="3" t="str">
        <f>"201604000027"</f>
        <v>201604000027</v>
      </c>
    </row>
    <row r="36012" spans="1:2" x14ac:dyDescent="0.25">
      <c r="A36012" s="2">
        <v>36007</v>
      </c>
      <c r="B36012" s="3" t="str">
        <f>"201604000039"</f>
        <v>201604000039</v>
      </c>
    </row>
    <row r="36013" spans="1:2" x14ac:dyDescent="0.25">
      <c r="A36013" s="2">
        <v>36008</v>
      </c>
      <c r="B36013" s="3" t="str">
        <f>"201604000048"</f>
        <v>201604000048</v>
      </c>
    </row>
    <row r="36014" spans="1:2" x14ac:dyDescent="0.25">
      <c r="A36014" s="2">
        <v>36009</v>
      </c>
      <c r="B36014" s="3" t="str">
        <f>"201604000057"</f>
        <v>201604000057</v>
      </c>
    </row>
    <row r="36015" spans="1:2" x14ac:dyDescent="0.25">
      <c r="A36015" s="2">
        <v>36010</v>
      </c>
      <c r="B36015" s="3" t="str">
        <f>"201604000058"</f>
        <v>201604000058</v>
      </c>
    </row>
    <row r="36016" spans="1:2" x14ac:dyDescent="0.25">
      <c r="A36016" s="2">
        <v>36011</v>
      </c>
      <c r="B36016" s="3" t="str">
        <f>"201604000114"</f>
        <v>201604000114</v>
      </c>
    </row>
    <row r="36017" spans="1:2" x14ac:dyDescent="0.25">
      <c r="A36017" s="2">
        <v>36012</v>
      </c>
      <c r="B36017" s="3" t="str">
        <f>"201604000119"</f>
        <v>201604000119</v>
      </c>
    </row>
    <row r="36018" spans="1:2" x14ac:dyDescent="0.25">
      <c r="A36018" s="2">
        <v>36013</v>
      </c>
      <c r="B36018" s="3" t="str">
        <f>"201604000142"</f>
        <v>201604000142</v>
      </c>
    </row>
    <row r="36019" spans="1:2" x14ac:dyDescent="0.25">
      <c r="A36019" s="2">
        <v>36014</v>
      </c>
      <c r="B36019" s="3" t="str">
        <f>"201604000150"</f>
        <v>201604000150</v>
      </c>
    </row>
    <row r="36020" spans="1:2" x14ac:dyDescent="0.25">
      <c r="A36020" s="2">
        <v>36015</v>
      </c>
      <c r="B36020" s="3" t="str">
        <f>"201604000156"</f>
        <v>201604000156</v>
      </c>
    </row>
    <row r="36021" spans="1:2" x14ac:dyDescent="0.25">
      <c r="A36021" s="2">
        <v>36016</v>
      </c>
      <c r="B36021" s="3" t="str">
        <f>"201604000200"</f>
        <v>201604000200</v>
      </c>
    </row>
    <row r="36022" spans="1:2" x14ac:dyDescent="0.25">
      <c r="A36022" s="2">
        <v>36017</v>
      </c>
      <c r="B36022" s="3" t="str">
        <f>"201604000207"</f>
        <v>201604000207</v>
      </c>
    </row>
    <row r="36023" spans="1:2" x14ac:dyDescent="0.25">
      <c r="A36023" s="2">
        <v>36018</v>
      </c>
      <c r="B36023" s="3" t="str">
        <f>"201604000227"</f>
        <v>201604000227</v>
      </c>
    </row>
    <row r="36024" spans="1:2" x14ac:dyDescent="0.25">
      <c r="A36024" s="2">
        <v>36019</v>
      </c>
      <c r="B36024" s="3" t="str">
        <f>"201604000258"</f>
        <v>201604000258</v>
      </c>
    </row>
    <row r="36025" spans="1:2" x14ac:dyDescent="0.25">
      <c r="A36025" s="2">
        <v>36020</v>
      </c>
      <c r="B36025" s="3" t="str">
        <f>"201604000275"</f>
        <v>201604000275</v>
      </c>
    </row>
    <row r="36026" spans="1:2" x14ac:dyDescent="0.25">
      <c r="A36026" s="2">
        <v>36021</v>
      </c>
      <c r="B36026" s="3" t="str">
        <f>"201604000287"</f>
        <v>201604000287</v>
      </c>
    </row>
    <row r="36027" spans="1:2" x14ac:dyDescent="0.25">
      <c r="A36027" s="2">
        <v>36022</v>
      </c>
      <c r="B36027" s="3" t="str">
        <f>"201604000303"</f>
        <v>201604000303</v>
      </c>
    </row>
    <row r="36028" spans="1:2" x14ac:dyDescent="0.25">
      <c r="A36028" s="2">
        <v>36023</v>
      </c>
      <c r="B36028" s="3" t="str">
        <f>"201604000317"</f>
        <v>201604000317</v>
      </c>
    </row>
    <row r="36029" spans="1:2" x14ac:dyDescent="0.25">
      <c r="A36029" s="2">
        <v>36024</v>
      </c>
      <c r="B36029" s="3" t="str">
        <f>"201604000331"</f>
        <v>201604000331</v>
      </c>
    </row>
    <row r="36030" spans="1:2" x14ac:dyDescent="0.25">
      <c r="A36030" s="2">
        <v>36025</v>
      </c>
      <c r="B36030" s="3" t="str">
        <f>"201604000336"</f>
        <v>201604000336</v>
      </c>
    </row>
    <row r="36031" spans="1:2" x14ac:dyDescent="0.25">
      <c r="A36031" s="2">
        <v>36026</v>
      </c>
      <c r="B36031" s="3" t="str">
        <f>"201604000340"</f>
        <v>201604000340</v>
      </c>
    </row>
    <row r="36032" spans="1:2" x14ac:dyDescent="0.25">
      <c r="A36032" s="2">
        <v>36027</v>
      </c>
      <c r="B36032" s="3" t="str">
        <f>"201604000349"</f>
        <v>201604000349</v>
      </c>
    </row>
    <row r="36033" spans="1:2" x14ac:dyDescent="0.25">
      <c r="A36033" s="2">
        <v>36028</v>
      </c>
      <c r="B36033" s="3" t="str">
        <f>"201604000353"</f>
        <v>201604000353</v>
      </c>
    </row>
    <row r="36034" spans="1:2" x14ac:dyDescent="0.25">
      <c r="A36034" s="2">
        <v>36029</v>
      </c>
      <c r="B36034" s="3" t="str">
        <f>"201604000378"</f>
        <v>201604000378</v>
      </c>
    </row>
    <row r="36035" spans="1:2" x14ac:dyDescent="0.25">
      <c r="A36035" s="2">
        <v>36030</v>
      </c>
      <c r="B36035" s="3" t="str">
        <f>"201604000390"</f>
        <v>201604000390</v>
      </c>
    </row>
    <row r="36036" spans="1:2" x14ac:dyDescent="0.25">
      <c r="A36036" s="2">
        <v>36031</v>
      </c>
      <c r="B36036" s="3" t="str">
        <f>"201604000413"</f>
        <v>201604000413</v>
      </c>
    </row>
    <row r="36037" spans="1:2" x14ac:dyDescent="0.25">
      <c r="A36037" s="2">
        <v>36032</v>
      </c>
      <c r="B36037" s="3" t="str">
        <f>"201604000457"</f>
        <v>201604000457</v>
      </c>
    </row>
    <row r="36038" spans="1:2" x14ac:dyDescent="0.25">
      <c r="A36038" s="2">
        <v>36033</v>
      </c>
      <c r="B36038" s="3" t="str">
        <f>"201604000460"</f>
        <v>201604000460</v>
      </c>
    </row>
    <row r="36039" spans="1:2" x14ac:dyDescent="0.25">
      <c r="A36039" s="2">
        <v>36034</v>
      </c>
      <c r="B36039" s="3" t="str">
        <f>"201604000461"</f>
        <v>201604000461</v>
      </c>
    </row>
    <row r="36040" spans="1:2" x14ac:dyDescent="0.25">
      <c r="A36040" s="2">
        <v>36035</v>
      </c>
      <c r="B36040" s="3" t="str">
        <f>"201604000472"</f>
        <v>201604000472</v>
      </c>
    </row>
    <row r="36041" spans="1:2" x14ac:dyDescent="0.25">
      <c r="A36041" s="2">
        <v>36036</v>
      </c>
      <c r="B36041" s="3" t="str">
        <f>"201604000473"</f>
        <v>201604000473</v>
      </c>
    </row>
    <row r="36042" spans="1:2" x14ac:dyDescent="0.25">
      <c r="A36042" s="2">
        <v>36037</v>
      </c>
      <c r="B36042" s="3" t="str">
        <f>"201604000527"</f>
        <v>201604000527</v>
      </c>
    </row>
    <row r="36043" spans="1:2" x14ac:dyDescent="0.25">
      <c r="A36043" s="2">
        <v>36038</v>
      </c>
      <c r="B36043" s="3" t="str">
        <f>"201604000530"</f>
        <v>201604000530</v>
      </c>
    </row>
    <row r="36044" spans="1:2" x14ac:dyDescent="0.25">
      <c r="A36044" s="2">
        <v>36039</v>
      </c>
      <c r="B36044" s="3" t="str">
        <f>"201604000540"</f>
        <v>201604000540</v>
      </c>
    </row>
    <row r="36045" spans="1:2" x14ac:dyDescent="0.25">
      <c r="A36045" s="2">
        <v>36040</v>
      </c>
      <c r="B36045" s="3" t="str">
        <f>"201604000570"</f>
        <v>201604000570</v>
      </c>
    </row>
    <row r="36046" spans="1:2" x14ac:dyDescent="0.25">
      <c r="A36046" s="2">
        <v>36041</v>
      </c>
      <c r="B36046" s="3" t="str">
        <f>"201604000578"</f>
        <v>201604000578</v>
      </c>
    </row>
    <row r="36047" spans="1:2" x14ac:dyDescent="0.25">
      <c r="A36047" s="2">
        <v>36042</v>
      </c>
      <c r="B36047" s="3" t="str">
        <f>"201604000592"</f>
        <v>201604000592</v>
      </c>
    </row>
    <row r="36048" spans="1:2" x14ac:dyDescent="0.25">
      <c r="A36048" s="2">
        <v>36043</v>
      </c>
      <c r="B36048" s="3" t="str">
        <f>"201604000616"</f>
        <v>201604000616</v>
      </c>
    </row>
    <row r="36049" spans="1:2" x14ac:dyDescent="0.25">
      <c r="A36049" s="2">
        <v>36044</v>
      </c>
      <c r="B36049" s="3" t="str">
        <f>"201604000620"</f>
        <v>201604000620</v>
      </c>
    </row>
    <row r="36050" spans="1:2" x14ac:dyDescent="0.25">
      <c r="A36050" s="2">
        <v>36045</v>
      </c>
      <c r="B36050" s="3" t="str">
        <f>"201604000645"</f>
        <v>201604000645</v>
      </c>
    </row>
    <row r="36051" spans="1:2" x14ac:dyDescent="0.25">
      <c r="A36051" s="2">
        <v>36046</v>
      </c>
      <c r="B36051" s="3" t="str">
        <f>"201604000647"</f>
        <v>201604000647</v>
      </c>
    </row>
    <row r="36052" spans="1:2" x14ac:dyDescent="0.25">
      <c r="A36052" s="2">
        <v>36047</v>
      </c>
      <c r="B36052" s="3" t="str">
        <f>"201604000668"</f>
        <v>201604000668</v>
      </c>
    </row>
    <row r="36053" spans="1:2" x14ac:dyDescent="0.25">
      <c r="A36053" s="2">
        <v>36048</v>
      </c>
      <c r="B36053" s="3" t="str">
        <f>"201604000698"</f>
        <v>201604000698</v>
      </c>
    </row>
    <row r="36054" spans="1:2" x14ac:dyDescent="0.25">
      <c r="A36054" s="2">
        <v>36049</v>
      </c>
      <c r="B36054" s="3" t="str">
        <f>"201604000711"</f>
        <v>201604000711</v>
      </c>
    </row>
    <row r="36055" spans="1:2" x14ac:dyDescent="0.25">
      <c r="A36055" s="2">
        <v>36050</v>
      </c>
      <c r="B36055" s="3" t="str">
        <f>"201604000730"</f>
        <v>201604000730</v>
      </c>
    </row>
    <row r="36056" spans="1:2" x14ac:dyDescent="0.25">
      <c r="A36056" s="2">
        <v>36051</v>
      </c>
      <c r="B36056" s="3" t="str">
        <f>"201604000734"</f>
        <v>201604000734</v>
      </c>
    </row>
    <row r="36057" spans="1:2" x14ac:dyDescent="0.25">
      <c r="A36057" s="2">
        <v>36052</v>
      </c>
      <c r="B36057" s="3" t="str">
        <f>"201604000738"</f>
        <v>201604000738</v>
      </c>
    </row>
    <row r="36058" spans="1:2" x14ac:dyDescent="0.25">
      <c r="A36058" s="2">
        <v>36053</v>
      </c>
      <c r="B36058" s="3" t="str">
        <f>"201604000759"</f>
        <v>201604000759</v>
      </c>
    </row>
    <row r="36059" spans="1:2" x14ac:dyDescent="0.25">
      <c r="A36059" s="2">
        <v>36054</v>
      </c>
      <c r="B36059" s="3" t="str">
        <f>"201604000848"</f>
        <v>201604000848</v>
      </c>
    </row>
    <row r="36060" spans="1:2" x14ac:dyDescent="0.25">
      <c r="A36060" s="2">
        <v>36055</v>
      </c>
      <c r="B36060" s="3" t="str">
        <f>"201604000861"</f>
        <v>201604000861</v>
      </c>
    </row>
    <row r="36061" spans="1:2" x14ac:dyDescent="0.25">
      <c r="A36061" s="2">
        <v>36056</v>
      </c>
      <c r="B36061" s="3" t="str">
        <f>"201604000888"</f>
        <v>201604000888</v>
      </c>
    </row>
    <row r="36062" spans="1:2" x14ac:dyDescent="0.25">
      <c r="A36062" s="2">
        <v>36057</v>
      </c>
      <c r="B36062" s="3" t="str">
        <f>"201604000926"</f>
        <v>201604000926</v>
      </c>
    </row>
    <row r="36063" spans="1:2" x14ac:dyDescent="0.25">
      <c r="A36063" s="2">
        <v>36058</v>
      </c>
      <c r="B36063" s="3" t="str">
        <f>"201604000939"</f>
        <v>201604000939</v>
      </c>
    </row>
    <row r="36064" spans="1:2" x14ac:dyDescent="0.25">
      <c r="A36064" s="2">
        <v>36059</v>
      </c>
      <c r="B36064" s="3" t="str">
        <f>"201604000951"</f>
        <v>201604000951</v>
      </c>
    </row>
    <row r="36065" spans="1:2" x14ac:dyDescent="0.25">
      <c r="A36065" s="2">
        <v>36060</v>
      </c>
      <c r="B36065" s="3" t="str">
        <f>"201604000958"</f>
        <v>201604000958</v>
      </c>
    </row>
    <row r="36066" spans="1:2" x14ac:dyDescent="0.25">
      <c r="A36066" s="2">
        <v>36061</v>
      </c>
      <c r="B36066" s="3" t="str">
        <f>"201604000981"</f>
        <v>201604000981</v>
      </c>
    </row>
    <row r="36067" spans="1:2" x14ac:dyDescent="0.25">
      <c r="A36067" s="2">
        <v>36062</v>
      </c>
      <c r="B36067" s="3" t="str">
        <f>"201604000991"</f>
        <v>201604000991</v>
      </c>
    </row>
    <row r="36068" spans="1:2" x14ac:dyDescent="0.25">
      <c r="A36068" s="2">
        <v>36063</v>
      </c>
      <c r="B36068" s="3" t="str">
        <f>"201604000994"</f>
        <v>201604000994</v>
      </c>
    </row>
    <row r="36069" spans="1:2" x14ac:dyDescent="0.25">
      <c r="A36069" s="2">
        <v>36064</v>
      </c>
      <c r="B36069" s="3" t="str">
        <f>"201604000999"</f>
        <v>201604000999</v>
      </c>
    </row>
    <row r="36070" spans="1:2" x14ac:dyDescent="0.25">
      <c r="A36070" s="2">
        <v>36065</v>
      </c>
      <c r="B36070" s="3" t="str">
        <f>"201604001004"</f>
        <v>201604001004</v>
      </c>
    </row>
    <row r="36071" spans="1:2" x14ac:dyDescent="0.25">
      <c r="A36071" s="2">
        <v>36066</v>
      </c>
      <c r="B36071" s="3" t="str">
        <f>"201604001005"</f>
        <v>201604001005</v>
      </c>
    </row>
    <row r="36072" spans="1:2" x14ac:dyDescent="0.25">
      <c r="A36072" s="2">
        <v>36067</v>
      </c>
      <c r="B36072" s="3" t="str">
        <f>"201604001026"</f>
        <v>201604001026</v>
      </c>
    </row>
    <row r="36073" spans="1:2" x14ac:dyDescent="0.25">
      <c r="A36073" s="2">
        <v>36068</v>
      </c>
      <c r="B36073" s="3" t="str">
        <f>"201604001030"</f>
        <v>201604001030</v>
      </c>
    </row>
    <row r="36074" spans="1:2" x14ac:dyDescent="0.25">
      <c r="A36074" s="2">
        <v>36069</v>
      </c>
      <c r="B36074" s="3" t="str">
        <f>"201604001046"</f>
        <v>201604001046</v>
      </c>
    </row>
    <row r="36075" spans="1:2" x14ac:dyDescent="0.25">
      <c r="A36075" s="2">
        <v>36070</v>
      </c>
      <c r="B36075" s="3" t="str">
        <f>"201604001052"</f>
        <v>201604001052</v>
      </c>
    </row>
    <row r="36076" spans="1:2" x14ac:dyDescent="0.25">
      <c r="A36076" s="2">
        <v>36071</v>
      </c>
      <c r="B36076" s="3" t="str">
        <f>"201604001072"</f>
        <v>201604001072</v>
      </c>
    </row>
    <row r="36077" spans="1:2" x14ac:dyDescent="0.25">
      <c r="A36077" s="2">
        <v>36072</v>
      </c>
      <c r="B36077" s="3" t="str">
        <f>"201604001168"</f>
        <v>201604001168</v>
      </c>
    </row>
    <row r="36078" spans="1:2" x14ac:dyDescent="0.25">
      <c r="A36078" s="2">
        <v>36073</v>
      </c>
      <c r="B36078" s="3" t="str">
        <f>"201604001190"</f>
        <v>201604001190</v>
      </c>
    </row>
    <row r="36079" spans="1:2" x14ac:dyDescent="0.25">
      <c r="A36079" s="2">
        <v>36074</v>
      </c>
      <c r="B36079" s="3" t="str">
        <f>"201604001191"</f>
        <v>201604001191</v>
      </c>
    </row>
    <row r="36080" spans="1:2" x14ac:dyDescent="0.25">
      <c r="A36080" s="2">
        <v>36075</v>
      </c>
      <c r="B36080" s="3" t="str">
        <f>"201604001214"</f>
        <v>201604001214</v>
      </c>
    </row>
    <row r="36081" spans="1:2" x14ac:dyDescent="0.25">
      <c r="A36081" s="2">
        <v>36076</v>
      </c>
      <c r="B36081" s="3" t="str">
        <f>"201604001222"</f>
        <v>201604001222</v>
      </c>
    </row>
    <row r="36082" spans="1:2" x14ac:dyDescent="0.25">
      <c r="A36082" s="2">
        <v>36077</v>
      </c>
      <c r="B36082" s="3" t="str">
        <f>"201604001235"</f>
        <v>201604001235</v>
      </c>
    </row>
    <row r="36083" spans="1:2" x14ac:dyDescent="0.25">
      <c r="A36083" s="2">
        <v>36078</v>
      </c>
      <c r="B36083" s="3" t="str">
        <f>"201604001270"</f>
        <v>201604001270</v>
      </c>
    </row>
    <row r="36084" spans="1:2" x14ac:dyDescent="0.25">
      <c r="A36084" s="2">
        <v>36079</v>
      </c>
      <c r="B36084" s="3" t="str">
        <f>"201604001274"</f>
        <v>201604001274</v>
      </c>
    </row>
    <row r="36085" spans="1:2" x14ac:dyDescent="0.25">
      <c r="A36085" s="2">
        <v>36080</v>
      </c>
      <c r="B36085" s="3" t="str">
        <f>"201604001282"</f>
        <v>201604001282</v>
      </c>
    </row>
    <row r="36086" spans="1:2" x14ac:dyDescent="0.25">
      <c r="A36086" s="2">
        <v>36081</v>
      </c>
      <c r="B36086" s="3" t="str">
        <f>"201604001301"</f>
        <v>201604001301</v>
      </c>
    </row>
    <row r="36087" spans="1:2" x14ac:dyDescent="0.25">
      <c r="A36087" s="2">
        <v>36082</v>
      </c>
      <c r="B36087" s="3" t="str">
        <f>"201604001308"</f>
        <v>201604001308</v>
      </c>
    </row>
    <row r="36088" spans="1:2" x14ac:dyDescent="0.25">
      <c r="A36088" s="2">
        <v>36083</v>
      </c>
      <c r="B36088" s="3" t="str">
        <f>"201604001346"</f>
        <v>201604001346</v>
      </c>
    </row>
    <row r="36089" spans="1:2" x14ac:dyDescent="0.25">
      <c r="A36089" s="2">
        <v>36084</v>
      </c>
      <c r="B36089" s="3" t="str">
        <f>"201604001352"</f>
        <v>201604001352</v>
      </c>
    </row>
    <row r="36090" spans="1:2" x14ac:dyDescent="0.25">
      <c r="A36090" s="2">
        <v>36085</v>
      </c>
      <c r="B36090" s="3" t="str">
        <f>"201604001389"</f>
        <v>201604001389</v>
      </c>
    </row>
    <row r="36091" spans="1:2" x14ac:dyDescent="0.25">
      <c r="A36091" s="2">
        <v>36086</v>
      </c>
      <c r="B36091" s="3" t="str">
        <f>"201604001406"</f>
        <v>201604001406</v>
      </c>
    </row>
    <row r="36092" spans="1:2" x14ac:dyDescent="0.25">
      <c r="A36092" s="2">
        <v>36087</v>
      </c>
      <c r="B36092" s="3" t="str">
        <f>"201604001446"</f>
        <v>201604001446</v>
      </c>
    </row>
    <row r="36093" spans="1:2" x14ac:dyDescent="0.25">
      <c r="A36093" s="2">
        <v>36088</v>
      </c>
      <c r="B36093" s="3" t="str">
        <f>"201604001461"</f>
        <v>201604001461</v>
      </c>
    </row>
    <row r="36094" spans="1:2" x14ac:dyDescent="0.25">
      <c r="A36094" s="2">
        <v>36089</v>
      </c>
      <c r="B36094" s="3" t="str">
        <f>"201604001463"</f>
        <v>201604001463</v>
      </c>
    </row>
    <row r="36095" spans="1:2" x14ac:dyDescent="0.25">
      <c r="A36095" s="2">
        <v>36090</v>
      </c>
      <c r="B36095" s="3" t="str">
        <f>"201604001482"</f>
        <v>201604001482</v>
      </c>
    </row>
    <row r="36096" spans="1:2" x14ac:dyDescent="0.25">
      <c r="A36096" s="2">
        <v>36091</v>
      </c>
      <c r="B36096" s="3" t="str">
        <f>"201604001518"</f>
        <v>201604001518</v>
      </c>
    </row>
    <row r="36097" spans="1:2" x14ac:dyDescent="0.25">
      <c r="A36097" s="2">
        <v>36092</v>
      </c>
      <c r="B36097" s="3" t="str">
        <f>"201604001551"</f>
        <v>201604001551</v>
      </c>
    </row>
    <row r="36098" spans="1:2" x14ac:dyDescent="0.25">
      <c r="A36098" s="2">
        <v>36093</v>
      </c>
      <c r="B36098" s="3" t="str">
        <f>"201604001578"</f>
        <v>201604001578</v>
      </c>
    </row>
    <row r="36099" spans="1:2" x14ac:dyDescent="0.25">
      <c r="A36099" s="2">
        <v>36094</v>
      </c>
      <c r="B36099" s="3" t="str">
        <f>"201604001597"</f>
        <v>201604001597</v>
      </c>
    </row>
    <row r="36100" spans="1:2" x14ac:dyDescent="0.25">
      <c r="A36100" s="2">
        <v>36095</v>
      </c>
      <c r="B36100" s="3" t="str">
        <f>"201604001602"</f>
        <v>201604001602</v>
      </c>
    </row>
    <row r="36101" spans="1:2" x14ac:dyDescent="0.25">
      <c r="A36101" s="2">
        <v>36096</v>
      </c>
      <c r="B36101" s="3" t="str">
        <f>"201604001617"</f>
        <v>201604001617</v>
      </c>
    </row>
    <row r="36102" spans="1:2" x14ac:dyDescent="0.25">
      <c r="A36102" s="2">
        <v>36097</v>
      </c>
      <c r="B36102" s="3" t="str">
        <f>"201604001658"</f>
        <v>201604001658</v>
      </c>
    </row>
    <row r="36103" spans="1:2" x14ac:dyDescent="0.25">
      <c r="A36103" s="2">
        <v>36098</v>
      </c>
      <c r="B36103" s="3" t="str">
        <f>"201604001680"</f>
        <v>201604001680</v>
      </c>
    </row>
    <row r="36104" spans="1:2" x14ac:dyDescent="0.25">
      <c r="A36104" s="2">
        <v>36099</v>
      </c>
      <c r="B36104" s="3" t="str">
        <f>"201604001702"</f>
        <v>201604001702</v>
      </c>
    </row>
    <row r="36105" spans="1:2" x14ac:dyDescent="0.25">
      <c r="A36105" s="2">
        <v>36100</v>
      </c>
      <c r="B36105" s="3" t="str">
        <f>"201604001706"</f>
        <v>201604001706</v>
      </c>
    </row>
    <row r="36106" spans="1:2" x14ac:dyDescent="0.25">
      <c r="A36106" s="2">
        <v>36101</v>
      </c>
      <c r="B36106" s="3" t="str">
        <f>"201604001714"</f>
        <v>201604001714</v>
      </c>
    </row>
    <row r="36107" spans="1:2" x14ac:dyDescent="0.25">
      <c r="A36107" s="2">
        <v>36102</v>
      </c>
      <c r="B36107" s="3" t="str">
        <f>"201604001717"</f>
        <v>201604001717</v>
      </c>
    </row>
    <row r="36108" spans="1:2" x14ac:dyDescent="0.25">
      <c r="A36108" s="2">
        <v>36103</v>
      </c>
      <c r="B36108" s="3" t="str">
        <f>"201604001720"</f>
        <v>201604001720</v>
      </c>
    </row>
    <row r="36109" spans="1:2" x14ac:dyDescent="0.25">
      <c r="A36109" s="2">
        <v>36104</v>
      </c>
      <c r="B36109" s="3" t="str">
        <f>"201604001730"</f>
        <v>201604001730</v>
      </c>
    </row>
    <row r="36110" spans="1:2" x14ac:dyDescent="0.25">
      <c r="A36110" s="2">
        <v>36105</v>
      </c>
      <c r="B36110" s="3" t="str">
        <f>"201604001743"</f>
        <v>201604001743</v>
      </c>
    </row>
    <row r="36111" spans="1:2" x14ac:dyDescent="0.25">
      <c r="A36111" s="2">
        <v>36106</v>
      </c>
      <c r="B36111" s="3" t="str">
        <f>"201604001790"</f>
        <v>201604001790</v>
      </c>
    </row>
    <row r="36112" spans="1:2" x14ac:dyDescent="0.25">
      <c r="A36112" s="2">
        <v>36107</v>
      </c>
      <c r="B36112" s="3" t="str">
        <f>"201604001791"</f>
        <v>201604001791</v>
      </c>
    </row>
    <row r="36113" spans="1:2" x14ac:dyDescent="0.25">
      <c r="A36113" s="2">
        <v>36108</v>
      </c>
      <c r="B36113" s="3" t="str">
        <f>"201604001792"</f>
        <v>201604001792</v>
      </c>
    </row>
    <row r="36114" spans="1:2" x14ac:dyDescent="0.25">
      <c r="A36114" s="2">
        <v>36109</v>
      </c>
      <c r="B36114" s="3" t="str">
        <f>"201604001811"</f>
        <v>201604001811</v>
      </c>
    </row>
    <row r="36115" spans="1:2" x14ac:dyDescent="0.25">
      <c r="A36115" s="2">
        <v>36110</v>
      </c>
      <c r="B36115" s="3" t="str">
        <f>"201604001823"</f>
        <v>201604001823</v>
      </c>
    </row>
    <row r="36116" spans="1:2" x14ac:dyDescent="0.25">
      <c r="A36116" s="2">
        <v>36111</v>
      </c>
      <c r="B36116" s="3" t="str">
        <f>"201604001850"</f>
        <v>201604001850</v>
      </c>
    </row>
    <row r="36117" spans="1:2" x14ac:dyDescent="0.25">
      <c r="A36117" s="2">
        <v>36112</v>
      </c>
      <c r="B36117" s="3" t="str">
        <f>"201604001853"</f>
        <v>201604001853</v>
      </c>
    </row>
    <row r="36118" spans="1:2" x14ac:dyDescent="0.25">
      <c r="A36118" s="2">
        <v>36113</v>
      </c>
      <c r="B36118" s="3" t="str">
        <f>"201604001890"</f>
        <v>201604001890</v>
      </c>
    </row>
    <row r="36119" spans="1:2" x14ac:dyDescent="0.25">
      <c r="A36119" s="2">
        <v>36114</v>
      </c>
      <c r="B36119" s="3" t="str">
        <f>"201604001911"</f>
        <v>201604001911</v>
      </c>
    </row>
    <row r="36120" spans="1:2" x14ac:dyDescent="0.25">
      <c r="A36120" s="2">
        <v>36115</v>
      </c>
      <c r="B36120" s="3" t="str">
        <f>"201604001918"</f>
        <v>201604001918</v>
      </c>
    </row>
    <row r="36121" spans="1:2" x14ac:dyDescent="0.25">
      <c r="A36121" s="2">
        <v>36116</v>
      </c>
      <c r="B36121" s="3" t="str">
        <f>"201604001932"</f>
        <v>201604001932</v>
      </c>
    </row>
    <row r="36122" spans="1:2" x14ac:dyDescent="0.25">
      <c r="A36122" s="2">
        <v>36117</v>
      </c>
      <c r="B36122" s="3" t="str">
        <f>"201604001974"</f>
        <v>201604001974</v>
      </c>
    </row>
    <row r="36123" spans="1:2" x14ac:dyDescent="0.25">
      <c r="A36123" s="2">
        <v>36118</v>
      </c>
      <c r="B36123" s="3" t="str">
        <f>"201604002031"</f>
        <v>201604002031</v>
      </c>
    </row>
    <row r="36124" spans="1:2" x14ac:dyDescent="0.25">
      <c r="A36124" s="2">
        <v>36119</v>
      </c>
      <c r="B36124" s="3" t="str">
        <f>"201604002062"</f>
        <v>201604002062</v>
      </c>
    </row>
    <row r="36125" spans="1:2" x14ac:dyDescent="0.25">
      <c r="A36125" s="2">
        <v>36120</v>
      </c>
      <c r="B36125" s="3" t="str">
        <f>"201604002134"</f>
        <v>201604002134</v>
      </c>
    </row>
    <row r="36126" spans="1:2" x14ac:dyDescent="0.25">
      <c r="A36126" s="2">
        <v>36121</v>
      </c>
      <c r="B36126" s="3" t="str">
        <f>"201604002140"</f>
        <v>201604002140</v>
      </c>
    </row>
    <row r="36127" spans="1:2" x14ac:dyDescent="0.25">
      <c r="A36127" s="2">
        <v>36122</v>
      </c>
      <c r="B36127" s="3" t="str">
        <f>"201604002153"</f>
        <v>201604002153</v>
      </c>
    </row>
    <row r="36128" spans="1:2" x14ac:dyDescent="0.25">
      <c r="A36128" s="2">
        <v>36123</v>
      </c>
      <c r="B36128" s="3" t="str">
        <f>"201604002169"</f>
        <v>201604002169</v>
      </c>
    </row>
    <row r="36129" spans="1:2" x14ac:dyDescent="0.25">
      <c r="A36129" s="2">
        <v>36124</v>
      </c>
      <c r="B36129" s="3" t="str">
        <f>"201604002171"</f>
        <v>201604002171</v>
      </c>
    </row>
    <row r="36130" spans="1:2" x14ac:dyDescent="0.25">
      <c r="A36130" s="2">
        <v>36125</v>
      </c>
      <c r="B36130" s="3" t="str">
        <f>"201604002186"</f>
        <v>201604002186</v>
      </c>
    </row>
    <row r="36131" spans="1:2" x14ac:dyDescent="0.25">
      <c r="A36131" s="2">
        <v>36126</v>
      </c>
      <c r="B36131" s="3" t="str">
        <f>"201604002206"</f>
        <v>201604002206</v>
      </c>
    </row>
    <row r="36132" spans="1:2" x14ac:dyDescent="0.25">
      <c r="A36132" s="2">
        <v>36127</v>
      </c>
      <c r="B36132" s="3" t="str">
        <f>"201604002212"</f>
        <v>201604002212</v>
      </c>
    </row>
    <row r="36133" spans="1:2" x14ac:dyDescent="0.25">
      <c r="A36133" s="2">
        <v>36128</v>
      </c>
      <c r="B36133" s="3" t="str">
        <f>"201604002218"</f>
        <v>201604002218</v>
      </c>
    </row>
    <row r="36134" spans="1:2" x14ac:dyDescent="0.25">
      <c r="A36134" s="2">
        <v>36129</v>
      </c>
      <c r="B36134" s="3" t="str">
        <f>"201604002239"</f>
        <v>201604002239</v>
      </c>
    </row>
    <row r="36135" spans="1:2" x14ac:dyDescent="0.25">
      <c r="A36135" s="2">
        <v>36130</v>
      </c>
      <c r="B36135" s="3" t="str">
        <f>"201604002309"</f>
        <v>201604002309</v>
      </c>
    </row>
    <row r="36136" spans="1:2" x14ac:dyDescent="0.25">
      <c r="A36136" s="2">
        <v>36131</v>
      </c>
      <c r="B36136" s="3" t="str">
        <f>"201604002329"</f>
        <v>201604002329</v>
      </c>
    </row>
    <row r="36137" spans="1:2" x14ac:dyDescent="0.25">
      <c r="A36137" s="2">
        <v>36132</v>
      </c>
      <c r="B36137" s="3" t="str">
        <f>"201604002346"</f>
        <v>201604002346</v>
      </c>
    </row>
    <row r="36138" spans="1:2" x14ac:dyDescent="0.25">
      <c r="A36138" s="2">
        <v>36133</v>
      </c>
      <c r="B36138" s="3" t="str">
        <f>"201604002420"</f>
        <v>201604002420</v>
      </c>
    </row>
    <row r="36139" spans="1:2" x14ac:dyDescent="0.25">
      <c r="A36139" s="2">
        <v>36134</v>
      </c>
      <c r="B36139" s="3" t="str">
        <f>"201604002421"</f>
        <v>201604002421</v>
      </c>
    </row>
    <row r="36140" spans="1:2" x14ac:dyDescent="0.25">
      <c r="A36140" s="2">
        <v>36135</v>
      </c>
      <c r="B36140" s="3" t="str">
        <f>"201604002450"</f>
        <v>201604002450</v>
      </c>
    </row>
    <row r="36141" spans="1:2" x14ac:dyDescent="0.25">
      <c r="A36141" s="2">
        <v>36136</v>
      </c>
      <c r="B36141" s="3" t="str">
        <f>"201604002453"</f>
        <v>201604002453</v>
      </c>
    </row>
    <row r="36142" spans="1:2" x14ac:dyDescent="0.25">
      <c r="A36142" s="2">
        <v>36137</v>
      </c>
      <c r="B36142" s="3" t="str">
        <f>"201604002525"</f>
        <v>201604002525</v>
      </c>
    </row>
    <row r="36143" spans="1:2" x14ac:dyDescent="0.25">
      <c r="A36143" s="2">
        <v>36138</v>
      </c>
      <c r="B36143" s="3" t="str">
        <f>"201604002528"</f>
        <v>201604002528</v>
      </c>
    </row>
    <row r="36144" spans="1:2" x14ac:dyDescent="0.25">
      <c r="A36144" s="2">
        <v>36139</v>
      </c>
      <c r="B36144" s="3" t="str">
        <f>"201604002537"</f>
        <v>201604002537</v>
      </c>
    </row>
    <row r="36145" spans="1:2" x14ac:dyDescent="0.25">
      <c r="A36145" s="2">
        <v>36140</v>
      </c>
      <c r="B36145" s="3" t="str">
        <f>"201604002545"</f>
        <v>201604002545</v>
      </c>
    </row>
    <row r="36146" spans="1:2" x14ac:dyDescent="0.25">
      <c r="A36146" s="2">
        <v>36141</v>
      </c>
      <c r="B36146" s="3" t="str">
        <f>"201604002568"</f>
        <v>201604002568</v>
      </c>
    </row>
    <row r="36147" spans="1:2" x14ac:dyDescent="0.25">
      <c r="A36147" s="2">
        <v>36142</v>
      </c>
      <c r="B36147" s="3" t="str">
        <f>"201604002596"</f>
        <v>201604002596</v>
      </c>
    </row>
    <row r="36148" spans="1:2" x14ac:dyDescent="0.25">
      <c r="A36148" s="2">
        <v>36143</v>
      </c>
      <c r="B36148" s="3" t="str">
        <f>"201604002621"</f>
        <v>201604002621</v>
      </c>
    </row>
    <row r="36149" spans="1:2" x14ac:dyDescent="0.25">
      <c r="A36149" s="2">
        <v>36144</v>
      </c>
      <c r="B36149" s="3" t="str">
        <f>"201604002666"</f>
        <v>201604002666</v>
      </c>
    </row>
    <row r="36150" spans="1:2" x14ac:dyDescent="0.25">
      <c r="A36150" s="2">
        <v>36145</v>
      </c>
      <c r="B36150" s="3" t="str">
        <f>"201604002712"</f>
        <v>201604002712</v>
      </c>
    </row>
    <row r="36151" spans="1:2" x14ac:dyDescent="0.25">
      <c r="A36151" s="2">
        <v>36146</v>
      </c>
      <c r="B36151" s="3" t="str">
        <f>"201604002713"</f>
        <v>201604002713</v>
      </c>
    </row>
    <row r="36152" spans="1:2" x14ac:dyDescent="0.25">
      <c r="A36152" s="2">
        <v>36147</v>
      </c>
      <c r="B36152" s="3" t="str">
        <f>"201604002715"</f>
        <v>201604002715</v>
      </c>
    </row>
    <row r="36153" spans="1:2" x14ac:dyDescent="0.25">
      <c r="A36153" s="2">
        <v>36148</v>
      </c>
      <c r="B36153" s="3" t="str">
        <f>"201604002725"</f>
        <v>201604002725</v>
      </c>
    </row>
    <row r="36154" spans="1:2" x14ac:dyDescent="0.25">
      <c r="A36154" s="2">
        <v>36149</v>
      </c>
      <c r="B36154" s="3" t="str">
        <f>"201604002732"</f>
        <v>201604002732</v>
      </c>
    </row>
    <row r="36155" spans="1:2" x14ac:dyDescent="0.25">
      <c r="A36155" s="2">
        <v>36150</v>
      </c>
      <c r="B36155" s="3" t="str">
        <f>"201604002779"</f>
        <v>201604002779</v>
      </c>
    </row>
    <row r="36156" spans="1:2" x14ac:dyDescent="0.25">
      <c r="A36156" s="2">
        <v>36151</v>
      </c>
      <c r="B36156" s="3" t="str">
        <f>"201604002811"</f>
        <v>201604002811</v>
      </c>
    </row>
    <row r="36157" spans="1:2" x14ac:dyDescent="0.25">
      <c r="A36157" s="2">
        <v>36152</v>
      </c>
      <c r="B36157" s="3" t="str">
        <f>"201604002822"</f>
        <v>201604002822</v>
      </c>
    </row>
    <row r="36158" spans="1:2" x14ac:dyDescent="0.25">
      <c r="A36158" s="2">
        <v>36153</v>
      </c>
      <c r="B36158" s="3" t="str">
        <f>"201604002839"</f>
        <v>201604002839</v>
      </c>
    </row>
    <row r="36159" spans="1:2" x14ac:dyDescent="0.25">
      <c r="A36159" s="2">
        <v>36154</v>
      </c>
      <c r="B36159" s="3" t="str">
        <f>"201604002926"</f>
        <v>201604002926</v>
      </c>
    </row>
    <row r="36160" spans="1:2" x14ac:dyDescent="0.25">
      <c r="A36160" s="2">
        <v>36155</v>
      </c>
      <c r="B36160" s="3" t="str">
        <f>"201604002939"</f>
        <v>201604002939</v>
      </c>
    </row>
    <row r="36161" spans="1:2" x14ac:dyDescent="0.25">
      <c r="A36161" s="2">
        <v>36156</v>
      </c>
      <c r="B36161" s="3" t="str">
        <f>"201604003003"</f>
        <v>201604003003</v>
      </c>
    </row>
    <row r="36162" spans="1:2" x14ac:dyDescent="0.25">
      <c r="A36162" s="2">
        <v>36157</v>
      </c>
      <c r="B36162" s="3" t="str">
        <f>"201604003006"</f>
        <v>201604003006</v>
      </c>
    </row>
    <row r="36163" spans="1:2" x14ac:dyDescent="0.25">
      <c r="A36163" s="2">
        <v>36158</v>
      </c>
      <c r="B36163" s="3" t="str">
        <f>"201604003023"</f>
        <v>201604003023</v>
      </c>
    </row>
    <row r="36164" spans="1:2" x14ac:dyDescent="0.25">
      <c r="A36164" s="2">
        <v>36159</v>
      </c>
      <c r="B36164" s="3" t="str">
        <f>"201604003045"</f>
        <v>201604003045</v>
      </c>
    </row>
    <row r="36165" spans="1:2" x14ac:dyDescent="0.25">
      <c r="A36165" s="2">
        <v>36160</v>
      </c>
      <c r="B36165" s="3" t="str">
        <f>"201604003097"</f>
        <v>201604003097</v>
      </c>
    </row>
    <row r="36166" spans="1:2" x14ac:dyDescent="0.25">
      <c r="A36166" s="2">
        <v>36161</v>
      </c>
      <c r="B36166" s="3" t="str">
        <f>"201604003107"</f>
        <v>201604003107</v>
      </c>
    </row>
    <row r="36167" spans="1:2" x14ac:dyDescent="0.25">
      <c r="A36167" s="2">
        <v>36162</v>
      </c>
      <c r="B36167" s="3" t="str">
        <f>"201604003110"</f>
        <v>201604003110</v>
      </c>
    </row>
    <row r="36168" spans="1:2" x14ac:dyDescent="0.25">
      <c r="A36168" s="2">
        <v>36163</v>
      </c>
      <c r="B36168" s="3" t="str">
        <f>"201604003126"</f>
        <v>201604003126</v>
      </c>
    </row>
    <row r="36169" spans="1:2" x14ac:dyDescent="0.25">
      <c r="A36169" s="2">
        <v>36164</v>
      </c>
      <c r="B36169" s="3" t="str">
        <f>"201604003138"</f>
        <v>201604003138</v>
      </c>
    </row>
    <row r="36170" spans="1:2" x14ac:dyDescent="0.25">
      <c r="A36170" s="2">
        <v>36165</v>
      </c>
      <c r="B36170" s="3" t="str">
        <f>"201604003153"</f>
        <v>201604003153</v>
      </c>
    </row>
    <row r="36171" spans="1:2" x14ac:dyDescent="0.25">
      <c r="A36171" s="2">
        <v>36166</v>
      </c>
      <c r="B36171" s="3" t="str">
        <f>"201604003165"</f>
        <v>201604003165</v>
      </c>
    </row>
    <row r="36172" spans="1:2" x14ac:dyDescent="0.25">
      <c r="A36172" s="2">
        <v>36167</v>
      </c>
      <c r="B36172" s="3" t="str">
        <f>"201604003178"</f>
        <v>201604003178</v>
      </c>
    </row>
    <row r="36173" spans="1:2" x14ac:dyDescent="0.25">
      <c r="A36173" s="2">
        <v>36168</v>
      </c>
      <c r="B36173" s="3" t="str">
        <f>"201604003185"</f>
        <v>201604003185</v>
      </c>
    </row>
    <row r="36174" spans="1:2" x14ac:dyDescent="0.25">
      <c r="A36174" s="2">
        <v>36169</v>
      </c>
      <c r="B36174" s="3" t="str">
        <f>"201604003186"</f>
        <v>201604003186</v>
      </c>
    </row>
    <row r="36175" spans="1:2" x14ac:dyDescent="0.25">
      <c r="A36175" s="2">
        <v>36170</v>
      </c>
      <c r="B36175" s="3" t="str">
        <f>"201604003197"</f>
        <v>201604003197</v>
      </c>
    </row>
    <row r="36176" spans="1:2" x14ac:dyDescent="0.25">
      <c r="A36176" s="2">
        <v>36171</v>
      </c>
      <c r="B36176" s="3" t="str">
        <f>"201604003228"</f>
        <v>201604003228</v>
      </c>
    </row>
    <row r="36177" spans="1:2" x14ac:dyDescent="0.25">
      <c r="A36177" s="2">
        <v>36172</v>
      </c>
      <c r="B36177" s="3" t="str">
        <f>"201604003236"</f>
        <v>201604003236</v>
      </c>
    </row>
    <row r="36178" spans="1:2" x14ac:dyDescent="0.25">
      <c r="A36178" s="2">
        <v>36173</v>
      </c>
      <c r="B36178" s="3" t="str">
        <f>"201604003243"</f>
        <v>201604003243</v>
      </c>
    </row>
    <row r="36179" spans="1:2" x14ac:dyDescent="0.25">
      <c r="A36179" s="2">
        <v>36174</v>
      </c>
      <c r="B36179" s="3" t="str">
        <f>"201604003245"</f>
        <v>201604003245</v>
      </c>
    </row>
    <row r="36180" spans="1:2" x14ac:dyDescent="0.25">
      <c r="A36180" s="2">
        <v>36175</v>
      </c>
      <c r="B36180" s="3" t="str">
        <f>"201604003261"</f>
        <v>201604003261</v>
      </c>
    </row>
    <row r="36181" spans="1:2" x14ac:dyDescent="0.25">
      <c r="A36181" s="2">
        <v>36176</v>
      </c>
      <c r="B36181" s="3" t="str">
        <f>"201604003264"</f>
        <v>201604003264</v>
      </c>
    </row>
    <row r="36182" spans="1:2" x14ac:dyDescent="0.25">
      <c r="A36182" s="2">
        <v>36177</v>
      </c>
      <c r="B36182" s="3" t="str">
        <f>"201604003268"</f>
        <v>201604003268</v>
      </c>
    </row>
    <row r="36183" spans="1:2" x14ac:dyDescent="0.25">
      <c r="A36183" s="2">
        <v>36178</v>
      </c>
      <c r="B36183" s="3" t="str">
        <f>"201604003271"</f>
        <v>201604003271</v>
      </c>
    </row>
    <row r="36184" spans="1:2" x14ac:dyDescent="0.25">
      <c r="A36184" s="2">
        <v>36179</v>
      </c>
      <c r="B36184" s="3" t="str">
        <f>"201604003276"</f>
        <v>201604003276</v>
      </c>
    </row>
    <row r="36185" spans="1:2" x14ac:dyDescent="0.25">
      <c r="A36185" s="2">
        <v>36180</v>
      </c>
      <c r="B36185" s="3" t="str">
        <f>"201604003282"</f>
        <v>201604003282</v>
      </c>
    </row>
    <row r="36186" spans="1:2" x14ac:dyDescent="0.25">
      <c r="A36186" s="2">
        <v>36181</v>
      </c>
      <c r="B36186" s="3" t="str">
        <f>"201604003334"</f>
        <v>201604003334</v>
      </c>
    </row>
    <row r="36187" spans="1:2" x14ac:dyDescent="0.25">
      <c r="A36187" s="2">
        <v>36182</v>
      </c>
      <c r="B36187" s="3" t="str">
        <f>"201604003348"</f>
        <v>201604003348</v>
      </c>
    </row>
    <row r="36188" spans="1:2" x14ac:dyDescent="0.25">
      <c r="A36188" s="2">
        <v>36183</v>
      </c>
      <c r="B36188" s="3" t="str">
        <f>"201604003363"</f>
        <v>201604003363</v>
      </c>
    </row>
    <row r="36189" spans="1:2" x14ac:dyDescent="0.25">
      <c r="A36189" s="2">
        <v>36184</v>
      </c>
      <c r="B36189" s="3" t="str">
        <f>"201604003376"</f>
        <v>201604003376</v>
      </c>
    </row>
    <row r="36190" spans="1:2" x14ac:dyDescent="0.25">
      <c r="A36190" s="2">
        <v>36185</v>
      </c>
      <c r="B36190" s="3" t="str">
        <f>"201604003383"</f>
        <v>201604003383</v>
      </c>
    </row>
    <row r="36191" spans="1:2" x14ac:dyDescent="0.25">
      <c r="A36191" s="2">
        <v>36186</v>
      </c>
      <c r="B36191" s="3" t="str">
        <f>"201604003385"</f>
        <v>201604003385</v>
      </c>
    </row>
    <row r="36192" spans="1:2" x14ac:dyDescent="0.25">
      <c r="A36192" s="2">
        <v>36187</v>
      </c>
      <c r="B36192" s="3" t="str">
        <f>"201604003391"</f>
        <v>201604003391</v>
      </c>
    </row>
    <row r="36193" spans="1:2" x14ac:dyDescent="0.25">
      <c r="A36193" s="2">
        <v>36188</v>
      </c>
      <c r="B36193" s="3" t="str">
        <f>"201604003392"</f>
        <v>201604003392</v>
      </c>
    </row>
    <row r="36194" spans="1:2" x14ac:dyDescent="0.25">
      <c r="A36194" s="2">
        <v>36189</v>
      </c>
      <c r="B36194" s="3" t="str">
        <f>"201604003412"</f>
        <v>201604003412</v>
      </c>
    </row>
    <row r="36195" spans="1:2" x14ac:dyDescent="0.25">
      <c r="A36195" s="2">
        <v>36190</v>
      </c>
      <c r="B36195" s="3" t="str">
        <f>"201604003418"</f>
        <v>201604003418</v>
      </c>
    </row>
    <row r="36196" spans="1:2" x14ac:dyDescent="0.25">
      <c r="A36196" s="2">
        <v>36191</v>
      </c>
      <c r="B36196" s="3" t="str">
        <f>"201604003443"</f>
        <v>201604003443</v>
      </c>
    </row>
    <row r="36197" spans="1:2" x14ac:dyDescent="0.25">
      <c r="A36197" s="2">
        <v>36192</v>
      </c>
      <c r="B36197" s="3" t="str">
        <f>"201604003444"</f>
        <v>201604003444</v>
      </c>
    </row>
    <row r="36198" spans="1:2" x14ac:dyDescent="0.25">
      <c r="A36198" s="2">
        <v>36193</v>
      </c>
      <c r="B36198" s="3" t="str">
        <f>"201604003471"</f>
        <v>201604003471</v>
      </c>
    </row>
    <row r="36199" spans="1:2" x14ac:dyDescent="0.25">
      <c r="A36199" s="2">
        <v>36194</v>
      </c>
      <c r="B36199" s="3" t="str">
        <f>"201604003474"</f>
        <v>201604003474</v>
      </c>
    </row>
    <row r="36200" spans="1:2" x14ac:dyDescent="0.25">
      <c r="A36200" s="2">
        <v>36195</v>
      </c>
      <c r="B36200" s="3" t="str">
        <f>"201604003476"</f>
        <v>201604003476</v>
      </c>
    </row>
    <row r="36201" spans="1:2" x14ac:dyDescent="0.25">
      <c r="A36201" s="2">
        <v>36196</v>
      </c>
      <c r="B36201" s="3" t="str">
        <f>"201604003506"</f>
        <v>201604003506</v>
      </c>
    </row>
    <row r="36202" spans="1:2" x14ac:dyDescent="0.25">
      <c r="A36202" s="2">
        <v>36197</v>
      </c>
      <c r="B36202" s="3" t="str">
        <f>"201604003538"</f>
        <v>201604003538</v>
      </c>
    </row>
    <row r="36203" spans="1:2" x14ac:dyDescent="0.25">
      <c r="A36203" s="2">
        <v>36198</v>
      </c>
      <c r="B36203" s="3" t="str">
        <f>"201604003539"</f>
        <v>201604003539</v>
      </c>
    </row>
    <row r="36204" spans="1:2" x14ac:dyDescent="0.25">
      <c r="A36204" s="2">
        <v>36199</v>
      </c>
      <c r="B36204" s="3" t="str">
        <f>"201604003565"</f>
        <v>201604003565</v>
      </c>
    </row>
    <row r="36205" spans="1:2" x14ac:dyDescent="0.25">
      <c r="A36205" s="2">
        <v>36200</v>
      </c>
      <c r="B36205" s="3" t="str">
        <f>"201604003567"</f>
        <v>201604003567</v>
      </c>
    </row>
    <row r="36206" spans="1:2" x14ac:dyDescent="0.25">
      <c r="A36206" s="2">
        <v>36201</v>
      </c>
      <c r="B36206" s="3" t="str">
        <f>"201604003575"</f>
        <v>201604003575</v>
      </c>
    </row>
    <row r="36207" spans="1:2" x14ac:dyDescent="0.25">
      <c r="A36207" s="2">
        <v>36202</v>
      </c>
      <c r="B36207" s="3" t="str">
        <f>"201604003580"</f>
        <v>201604003580</v>
      </c>
    </row>
    <row r="36208" spans="1:2" x14ac:dyDescent="0.25">
      <c r="A36208" s="2">
        <v>36203</v>
      </c>
      <c r="B36208" s="3" t="str">
        <f>"201604003584"</f>
        <v>201604003584</v>
      </c>
    </row>
    <row r="36209" spans="1:2" x14ac:dyDescent="0.25">
      <c r="A36209" s="2">
        <v>36204</v>
      </c>
      <c r="B36209" s="3" t="str">
        <f>"201604003594"</f>
        <v>201604003594</v>
      </c>
    </row>
    <row r="36210" spans="1:2" x14ac:dyDescent="0.25">
      <c r="A36210" s="2">
        <v>36205</v>
      </c>
      <c r="B36210" s="3" t="str">
        <f>"201604003600"</f>
        <v>201604003600</v>
      </c>
    </row>
    <row r="36211" spans="1:2" x14ac:dyDescent="0.25">
      <c r="A36211" s="2">
        <v>36206</v>
      </c>
      <c r="B36211" s="3" t="str">
        <f>"201604003602"</f>
        <v>201604003602</v>
      </c>
    </row>
    <row r="36212" spans="1:2" x14ac:dyDescent="0.25">
      <c r="A36212" s="2">
        <v>36207</v>
      </c>
      <c r="B36212" s="3" t="str">
        <f>"201604003621"</f>
        <v>201604003621</v>
      </c>
    </row>
    <row r="36213" spans="1:2" x14ac:dyDescent="0.25">
      <c r="A36213" s="2">
        <v>36208</v>
      </c>
      <c r="B36213" s="3" t="str">
        <f>"201604003622"</f>
        <v>201604003622</v>
      </c>
    </row>
    <row r="36214" spans="1:2" x14ac:dyDescent="0.25">
      <c r="A36214" s="2">
        <v>36209</v>
      </c>
      <c r="B36214" s="3" t="str">
        <f>"201604003629"</f>
        <v>201604003629</v>
      </c>
    </row>
    <row r="36215" spans="1:2" x14ac:dyDescent="0.25">
      <c r="A36215" s="2">
        <v>36210</v>
      </c>
      <c r="B36215" s="3" t="str">
        <f>"201604003650"</f>
        <v>201604003650</v>
      </c>
    </row>
    <row r="36216" spans="1:2" x14ac:dyDescent="0.25">
      <c r="A36216" s="2">
        <v>36211</v>
      </c>
      <c r="B36216" s="3" t="str">
        <f>"201604003689"</f>
        <v>201604003689</v>
      </c>
    </row>
    <row r="36217" spans="1:2" x14ac:dyDescent="0.25">
      <c r="A36217" s="2">
        <v>36212</v>
      </c>
      <c r="B36217" s="3" t="str">
        <f>"201604003694"</f>
        <v>201604003694</v>
      </c>
    </row>
    <row r="36218" spans="1:2" x14ac:dyDescent="0.25">
      <c r="A36218" s="2">
        <v>36213</v>
      </c>
      <c r="B36218" s="3" t="str">
        <f>"201604003750"</f>
        <v>201604003750</v>
      </c>
    </row>
    <row r="36219" spans="1:2" x14ac:dyDescent="0.25">
      <c r="A36219" s="2">
        <v>36214</v>
      </c>
      <c r="B36219" s="3" t="str">
        <f>"201604003753"</f>
        <v>201604003753</v>
      </c>
    </row>
    <row r="36220" spans="1:2" x14ac:dyDescent="0.25">
      <c r="A36220" s="2">
        <v>36215</v>
      </c>
      <c r="B36220" s="3" t="str">
        <f>"201604003765"</f>
        <v>201604003765</v>
      </c>
    </row>
    <row r="36221" spans="1:2" x14ac:dyDescent="0.25">
      <c r="A36221" s="2">
        <v>36216</v>
      </c>
      <c r="B36221" s="3" t="str">
        <f>"201604003766"</f>
        <v>201604003766</v>
      </c>
    </row>
    <row r="36222" spans="1:2" x14ac:dyDescent="0.25">
      <c r="A36222" s="2">
        <v>36217</v>
      </c>
      <c r="B36222" s="3" t="str">
        <f>"201604003770"</f>
        <v>201604003770</v>
      </c>
    </row>
    <row r="36223" spans="1:2" x14ac:dyDescent="0.25">
      <c r="A36223" s="2">
        <v>36218</v>
      </c>
      <c r="B36223" s="3" t="str">
        <f>"201604003785"</f>
        <v>201604003785</v>
      </c>
    </row>
    <row r="36224" spans="1:2" x14ac:dyDescent="0.25">
      <c r="A36224" s="2">
        <v>36219</v>
      </c>
      <c r="B36224" s="3" t="str">
        <f>"201604003808"</f>
        <v>201604003808</v>
      </c>
    </row>
    <row r="36225" spans="1:2" x14ac:dyDescent="0.25">
      <c r="A36225" s="2">
        <v>36220</v>
      </c>
      <c r="B36225" s="3" t="str">
        <f>"201604003819"</f>
        <v>201604003819</v>
      </c>
    </row>
    <row r="36226" spans="1:2" x14ac:dyDescent="0.25">
      <c r="A36226" s="2">
        <v>36221</v>
      </c>
      <c r="B36226" s="3" t="str">
        <f>"201604003828"</f>
        <v>201604003828</v>
      </c>
    </row>
    <row r="36227" spans="1:2" x14ac:dyDescent="0.25">
      <c r="A36227" s="2">
        <v>36222</v>
      </c>
      <c r="B36227" s="3" t="str">
        <f>"201604003833"</f>
        <v>201604003833</v>
      </c>
    </row>
    <row r="36228" spans="1:2" x14ac:dyDescent="0.25">
      <c r="A36228" s="2">
        <v>36223</v>
      </c>
      <c r="B36228" s="3" t="str">
        <f>"201604003855"</f>
        <v>201604003855</v>
      </c>
    </row>
    <row r="36229" spans="1:2" x14ac:dyDescent="0.25">
      <c r="A36229" s="2">
        <v>36224</v>
      </c>
      <c r="B36229" s="3" t="str">
        <f>"201604003877"</f>
        <v>201604003877</v>
      </c>
    </row>
    <row r="36230" spans="1:2" x14ac:dyDescent="0.25">
      <c r="A36230" s="2">
        <v>36225</v>
      </c>
      <c r="B36230" s="3" t="str">
        <f>"201604003919"</f>
        <v>201604003919</v>
      </c>
    </row>
    <row r="36231" spans="1:2" x14ac:dyDescent="0.25">
      <c r="A36231" s="2">
        <v>36226</v>
      </c>
      <c r="B36231" s="3" t="str">
        <f>"201604003925"</f>
        <v>201604003925</v>
      </c>
    </row>
    <row r="36232" spans="1:2" x14ac:dyDescent="0.25">
      <c r="A36232" s="2">
        <v>36227</v>
      </c>
      <c r="B36232" s="3" t="str">
        <f>"201604003956"</f>
        <v>201604003956</v>
      </c>
    </row>
    <row r="36233" spans="1:2" x14ac:dyDescent="0.25">
      <c r="A36233" s="2">
        <v>36228</v>
      </c>
      <c r="B36233" s="3" t="str">
        <f>"201604003967"</f>
        <v>201604003967</v>
      </c>
    </row>
    <row r="36234" spans="1:2" x14ac:dyDescent="0.25">
      <c r="A36234" s="2">
        <v>36229</v>
      </c>
      <c r="B36234" s="3" t="str">
        <f>"201604004014"</f>
        <v>201604004014</v>
      </c>
    </row>
    <row r="36235" spans="1:2" x14ac:dyDescent="0.25">
      <c r="A36235" s="2">
        <v>36230</v>
      </c>
      <c r="B36235" s="3" t="str">
        <f>"201604004037"</f>
        <v>201604004037</v>
      </c>
    </row>
    <row r="36236" spans="1:2" x14ac:dyDescent="0.25">
      <c r="A36236" s="2">
        <v>36231</v>
      </c>
      <c r="B36236" s="3" t="str">
        <f>"201604004055"</f>
        <v>201604004055</v>
      </c>
    </row>
    <row r="36237" spans="1:2" x14ac:dyDescent="0.25">
      <c r="A36237" s="2">
        <v>36232</v>
      </c>
      <c r="B36237" s="3" t="str">
        <f>"201604004070"</f>
        <v>201604004070</v>
      </c>
    </row>
    <row r="36238" spans="1:2" x14ac:dyDescent="0.25">
      <c r="A36238" s="2">
        <v>36233</v>
      </c>
      <c r="B36238" s="3" t="str">
        <f>"201604004086"</f>
        <v>201604004086</v>
      </c>
    </row>
    <row r="36239" spans="1:2" x14ac:dyDescent="0.25">
      <c r="A36239" s="2">
        <v>36234</v>
      </c>
      <c r="B36239" s="3" t="str">
        <f>"201604004093"</f>
        <v>201604004093</v>
      </c>
    </row>
    <row r="36240" spans="1:2" x14ac:dyDescent="0.25">
      <c r="A36240" s="2">
        <v>36235</v>
      </c>
      <c r="B36240" s="3" t="str">
        <f>"201604004109"</f>
        <v>201604004109</v>
      </c>
    </row>
    <row r="36241" spans="1:2" x14ac:dyDescent="0.25">
      <c r="A36241" s="2">
        <v>36236</v>
      </c>
      <c r="B36241" s="3" t="str">
        <f>"201604004112"</f>
        <v>201604004112</v>
      </c>
    </row>
    <row r="36242" spans="1:2" x14ac:dyDescent="0.25">
      <c r="A36242" s="2">
        <v>36237</v>
      </c>
      <c r="B36242" s="3" t="str">
        <f>"201604004134"</f>
        <v>201604004134</v>
      </c>
    </row>
    <row r="36243" spans="1:2" x14ac:dyDescent="0.25">
      <c r="A36243" s="2">
        <v>36238</v>
      </c>
      <c r="B36243" s="3" t="str">
        <f>"201604004163"</f>
        <v>201604004163</v>
      </c>
    </row>
    <row r="36244" spans="1:2" x14ac:dyDescent="0.25">
      <c r="A36244" s="2">
        <v>36239</v>
      </c>
      <c r="B36244" s="3" t="str">
        <f>"201604004185"</f>
        <v>201604004185</v>
      </c>
    </row>
    <row r="36245" spans="1:2" x14ac:dyDescent="0.25">
      <c r="A36245" s="2">
        <v>36240</v>
      </c>
      <c r="B36245" s="3" t="str">
        <f>"201604004187"</f>
        <v>201604004187</v>
      </c>
    </row>
    <row r="36246" spans="1:2" x14ac:dyDescent="0.25">
      <c r="A36246" s="2">
        <v>36241</v>
      </c>
      <c r="B36246" s="3" t="str">
        <f>"201604004188"</f>
        <v>201604004188</v>
      </c>
    </row>
    <row r="36247" spans="1:2" x14ac:dyDescent="0.25">
      <c r="A36247" s="2">
        <v>36242</v>
      </c>
      <c r="B36247" s="3" t="str">
        <f>"201604004207"</f>
        <v>201604004207</v>
      </c>
    </row>
    <row r="36248" spans="1:2" x14ac:dyDescent="0.25">
      <c r="A36248" s="2">
        <v>36243</v>
      </c>
      <c r="B36248" s="3" t="str">
        <f>"201604004208"</f>
        <v>201604004208</v>
      </c>
    </row>
    <row r="36249" spans="1:2" x14ac:dyDescent="0.25">
      <c r="A36249" s="2">
        <v>36244</v>
      </c>
      <c r="B36249" s="3" t="str">
        <f>"201604004209"</f>
        <v>201604004209</v>
      </c>
    </row>
    <row r="36250" spans="1:2" x14ac:dyDescent="0.25">
      <c r="A36250" s="2">
        <v>36245</v>
      </c>
      <c r="B36250" s="3" t="str">
        <f>"201604004214"</f>
        <v>201604004214</v>
      </c>
    </row>
    <row r="36251" spans="1:2" x14ac:dyDescent="0.25">
      <c r="A36251" s="2">
        <v>36246</v>
      </c>
      <c r="B36251" s="3" t="str">
        <f>"201604004224"</f>
        <v>201604004224</v>
      </c>
    </row>
    <row r="36252" spans="1:2" x14ac:dyDescent="0.25">
      <c r="A36252" s="2">
        <v>36247</v>
      </c>
      <c r="B36252" s="3" t="str">
        <f>"201604004239"</f>
        <v>201604004239</v>
      </c>
    </row>
    <row r="36253" spans="1:2" x14ac:dyDescent="0.25">
      <c r="A36253" s="2">
        <v>36248</v>
      </c>
      <c r="B36253" s="3" t="str">
        <f>"201604004242"</f>
        <v>201604004242</v>
      </c>
    </row>
    <row r="36254" spans="1:2" x14ac:dyDescent="0.25">
      <c r="A36254" s="2">
        <v>36249</v>
      </c>
      <c r="B36254" s="3" t="str">
        <f>"201604004255"</f>
        <v>201604004255</v>
      </c>
    </row>
    <row r="36255" spans="1:2" x14ac:dyDescent="0.25">
      <c r="A36255" s="2">
        <v>36250</v>
      </c>
      <c r="B36255" s="3" t="str">
        <f>"201604004257"</f>
        <v>201604004257</v>
      </c>
    </row>
    <row r="36256" spans="1:2" x14ac:dyDescent="0.25">
      <c r="A36256" s="2">
        <v>36251</v>
      </c>
      <c r="B36256" s="3" t="str">
        <f>"201604004286"</f>
        <v>201604004286</v>
      </c>
    </row>
    <row r="36257" spans="1:2" x14ac:dyDescent="0.25">
      <c r="A36257" s="2">
        <v>36252</v>
      </c>
      <c r="B36257" s="3" t="str">
        <f>"201604004287"</f>
        <v>201604004287</v>
      </c>
    </row>
    <row r="36258" spans="1:2" x14ac:dyDescent="0.25">
      <c r="A36258" s="2">
        <v>36253</v>
      </c>
      <c r="B36258" s="3" t="str">
        <f>"201604004290"</f>
        <v>201604004290</v>
      </c>
    </row>
    <row r="36259" spans="1:2" x14ac:dyDescent="0.25">
      <c r="A36259" s="2">
        <v>36254</v>
      </c>
      <c r="B36259" s="3" t="str">
        <f>"201604004297"</f>
        <v>201604004297</v>
      </c>
    </row>
    <row r="36260" spans="1:2" x14ac:dyDescent="0.25">
      <c r="A36260" s="2">
        <v>36255</v>
      </c>
      <c r="B36260" s="3" t="str">
        <f>"201604004334"</f>
        <v>201604004334</v>
      </c>
    </row>
    <row r="36261" spans="1:2" x14ac:dyDescent="0.25">
      <c r="A36261" s="2">
        <v>36256</v>
      </c>
      <c r="B36261" s="3" t="str">
        <f>"201604004347"</f>
        <v>201604004347</v>
      </c>
    </row>
    <row r="36262" spans="1:2" x14ac:dyDescent="0.25">
      <c r="A36262" s="2">
        <v>36257</v>
      </c>
      <c r="B36262" s="3" t="str">
        <f>"201604004360"</f>
        <v>201604004360</v>
      </c>
    </row>
    <row r="36263" spans="1:2" x14ac:dyDescent="0.25">
      <c r="A36263" s="2">
        <v>36258</v>
      </c>
      <c r="B36263" s="3" t="str">
        <f>"201604004364"</f>
        <v>201604004364</v>
      </c>
    </row>
    <row r="36264" spans="1:2" x14ac:dyDescent="0.25">
      <c r="A36264" s="2">
        <v>36259</v>
      </c>
      <c r="B36264" s="3" t="str">
        <f>"201604004413"</f>
        <v>201604004413</v>
      </c>
    </row>
    <row r="36265" spans="1:2" x14ac:dyDescent="0.25">
      <c r="A36265" s="2">
        <v>36260</v>
      </c>
      <c r="B36265" s="3" t="str">
        <f>"201604004442"</f>
        <v>201604004442</v>
      </c>
    </row>
    <row r="36266" spans="1:2" x14ac:dyDescent="0.25">
      <c r="A36266" s="2">
        <v>36261</v>
      </c>
      <c r="B36266" s="3" t="str">
        <f>"201604004464"</f>
        <v>201604004464</v>
      </c>
    </row>
    <row r="36267" spans="1:2" x14ac:dyDescent="0.25">
      <c r="A36267" s="2">
        <v>36262</v>
      </c>
      <c r="B36267" s="3" t="str">
        <f>"201604004507"</f>
        <v>201604004507</v>
      </c>
    </row>
    <row r="36268" spans="1:2" x14ac:dyDescent="0.25">
      <c r="A36268" s="2">
        <v>36263</v>
      </c>
      <c r="B36268" s="3" t="str">
        <f>"201604004528"</f>
        <v>201604004528</v>
      </c>
    </row>
    <row r="36269" spans="1:2" x14ac:dyDescent="0.25">
      <c r="A36269" s="2">
        <v>36264</v>
      </c>
      <c r="B36269" s="3" t="str">
        <f>"201604004539"</f>
        <v>201604004539</v>
      </c>
    </row>
    <row r="36270" spans="1:2" x14ac:dyDescent="0.25">
      <c r="A36270" s="2">
        <v>36265</v>
      </c>
      <c r="B36270" s="3" t="str">
        <f>"201604004546"</f>
        <v>201604004546</v>
      </c>
    </row>
    <row r="36271" spans="1:2" x14ac:dyDescent="0.25">
      <c r="A36271" s="2">
        <v>36266</v>
      </c>
      <c r="B36271" s="3" t="str">
        <f>"201604004556"</f>
        <v>201604004556</v>
      </c>
    </row>
    <row r="36272" spans="1:2" x14ac:dyDescent="0.25">
      <c r="A36272" s="2">
        <v>36267</v>
      </c>
      <c r="B36272" s="3" t="str">
        <f>"201604004566"</f>
        <v>201604004566</v>
      </c>
    </row>
    <row r="36273" spans="1:2" x14ac:dyDescent="0.25">
      <c r="A36273" s="2">
        <v>36268</v>
      </c>
      <c r="B36273" s="3" t="str">
        <f>"201604004619"</f>
        <v>201604004619</v>
      </c>
    </row>
    <row r="36274" spans="1:2" x14ac:dyDescent="0.25">
      <c r="A36274" s="2">
        <v>36269</v>
      </c>
      <c r="B36274" s="3" t="str">
        <f>"201604004628"</f>
        <v>201604004628</v>
      </c>
    </row>
    <row r="36275" spans="1:2" x14ac:dyDescent="0.25">
      <c r="A36275" s="2">
        <v>36270</v>
      </c>
      <c r="B36275" s="3" t="str">
        <f>"201604004632"</f>
        <v>201604004632</v>
      </c>
    </row>
    <row r="36276" spans="1:2" x14ac:dyDescent="0.25">
      <c r="A36276" s="2">
        <v>36271</v>
      </c>
      <c r="B36276" s="3" t="str">
        <f>"201604004633"</f>
        <v>201604004633</v>
      </c>
    </row>
    <row r="36277" spans="1:2" x14ac:dyDescent="0.25">
      <c r="A36277" s="2">
        <v>36272</v>
      </c>
      <c r="B36277" s="3" t="str">
        <f>"201604004663"</f>
        <v>201604004663</v>
      </c>
    </row>
    <row r="36278" spans="1:2" x14ac:dyDescent="0.25">
      <c r="A36278" s="2">
        <v>36273</v>
      </c>
      <c r="B36278" s="3" t="str">
        <f>"201604004702"</f>
        <v>201604004702</v>
      </c>
    </row>
    <row r="36279" spans="1:2" x14ac:dyDescent="0.25">
      <c r="A36279" s="2">
        <v>36274</v>
      </c>
      <c r="B36279" s="3" t="str">
        <f>"201604004726"</f>
        <v>201604004726</v>
      </c>
    </row>
    <row r="36280" spans="1:2" x14ac:dyDescent="0.25">
      <c r="A36280" s="2">
        <v>36275</v>
      </c>
      <c r="B36280" s="3" t="str">
        <f>"201604004734"</f>
        <v>201604004734</v>
      </c>
    </row>
    <row r="36281" spans="1:2" x14ac:dyDescent="0.25">
      <c r="A36281" s="2">
        <v>36276</v>
      </c>
      <c r="B36281" s="3" t="str">
        <f>"201604004751"</f>
        <v>201604004751</v>
      </c>
    </row>
    <row r="36282" spans="1:2" x14ac:dyDescent="0.25">
      <c r="A36282" s="2">
        <v>36277</v>
      </c>
      <c r="B36282" s="3" t="str">
        <f>"201604004752"</f>
        <v>201604004752</v>
      </c>
    </row>
    <row r="36283" spans="1:2" x14ac:dyDescent="0.25">
      <c r="A36283" s="2">
        <v>36278</v>
      </c>
      <c r="B36283" s="3" t="str">
        <f>"201604004762"</f>
        <v>201604004762</v>
      </c>
    </row>
    <row r="36284" spans="1:2" x14ac:dyDescent="0.25">
      <c r="A36284" s="2">
        <v>36279</v>
      </c>
      <c r="B36284" s="3" t="str">
        <f>"201604004765"</f>
        <v>201604004765</v>
      </c>
    </row>
    <row r="36285" spans="1:2" x14ac:dyDescent="0.25">
      <c r="A36285" s="2">
        <v>36280</v>
      </c>
      <c r="B36285" s="3" t="str">
        <f>"201604004769"</f>
        <v>201604004769</v>
      </c>
    </row>
    <row r="36286" spans="1:2" x14ac:dyDescent="0.25">
      <c r="A36286" s="2">
        <v>36281</v>
      </c>
      <c r="B36286" s="3" t="str">
        <f>"201604004782"</f>
        <v>201604004782</v>
      </c>
    </row>
    <row r="36287" spans="1:2" x14ac:dyDescent="0.25">
      <c r="A36287" s="2">
        <v>36282</v>
      </c>
      <c r="B36287" s="3" t="str">
        <f>"201604004802"</f>
        <v>201604004802</v>
      </c>
    </row>
    <row r="36288" spans="1:2" x14ac:dyDescent="0.25">
      <c r="A36288" s="2">
        <v>36283</v>
      </c>
      <c r="B36288" s="3" t="str">
        <f>"201604004814"</f>
        <v>201604004814</v>
      </c>
    </row>
    <row r="36289" spans="1:2" x14ac:dyDescent="0.25">
      <c r="A36289" s="2">
        <v>36284</v>
      </c>
      <c r="B36289" s="3" t="str">
        <f>"201604004818"</f>
        <v>201604004818</v>
      </c>
    </row>
    <row r="36290" spans="1:2" x14ac:dyDescent="0.25">
      <c r="A36290" s="2">
        <v>36285</v>
      </c>
      <c r="B36290" s="3" t="str">
        <f>"201604004846"</f>
        <v>201604004846</v>
      </c>
    </row>
    <row r="36291" spans="1:2" x14ac:dyDescent="0.25">
      <c r="A36291" s="2">
        <v>36286</v>
      </c>
      <c r="B36291" s="3" t="str">
        <f>"201604004864"</f>
        <v>201604004864</v>
      </c>
    </row>
    <row r="36292" spans="1:2" x14ac:dyDescent="0.25">
      <c r="A36292" s="2">
        <v>36287</v>
      </c>
      <c r="B36292" s="3" t="str">
        <f>"201604004867"</f>
        <v>201604004867</v>
      </c>
    </row>
    <row r="36293" spans="1:2" x14ac:dyDescent="0.25">
      <c r="A36293" s="2">
        <v>36288</v>
      </c>
      <c r="B36293" s="3" t="str">
        <f>"201604004887"</f>
        <v>201604004887</v>
      </c>
    </row>
    <row r="36294" spans="1:2" x14ac:dyDescent="0.25">
      <c r="A36294" s="2">
        <v>36289</v>
      </c>
      <c r="B36294" s="3" t="str">
        <f>"201604004911"</f>
        <v>201604004911</v>
      </c>
    </row>
    <row r="36295" spans="1:2" x14ac:dyDescent="0.25">
      <c r="A36295" s="2">
        <v>36290</v>
      </c>
      <c r="B36295" s="3" t="str">
        <f>"201604004922"</f>
        <v>201604004922</v>
      </c>
    </row>
    <row r="36296" spans="1:2" x14ac:dyDescent="0.25">
      <c r="A36296" s="2">
        <v>36291</v>
      </c>
      <c r="B36296" s="3" t="str">
        <f>"201604004990"</f>
        <v>201604004990</v>
      </c>
    </row>
    <row r="36297" spans="1:2" x14ac:dyDescent="0.25">
      <c r="A36297" s="2">
        <v>36292</v>
      </c>
      <c r="B36297" s="3" t="str">
        <f>"201604004991"</f>
        <v>201604004991</v>
      </c>
    </row>
    <row r="36298" spans="1:2" x14ac:dyDescent="0.25">
      <c r="A36298" s="2">
        <v>36293</v>
      </c>
      <c r="B36298" s="3" t="str">
        <f>"201604005012"</f>
        <v>201604005012</v>
      </c>
    </row>
    <row r="36299" spans="1:2" x14ac:dyDescent="0.25">
      <c r="A36299" s="2">
        <v>36294</v>
      </c>
      <c r="B36299" s="3" t="str">
        <f>"201604005101"</f>
        <v>201604005101</v>
      </c>
    </row>
    <row r="36300" spans="1:2" x14ac:dyDescent="0.25">
      <c r="A36300" s="2">
        <v>36295</v>
      </c>
      <c r="B36300" s="3" t="str">
        <f>"201604005170"</f>
        <v>201604005170</v>
      </c>
    </row>
    <row r="36301" spans="1:2" x14ac:dyDescent="0.25">
      <c r="A36301" s="2">
        <v>36296</v>
      </c>
      <c r="B36301" s="3" t="str">
        <f>"201604005183"</f>
        <v>201604005183</v>
      </c>
    </row>
    <row r="36302" spans="1:2" x14ac:dyDescent="0.25">
      <c r="A36302" s="2">
        <v>36297</v>
      </c>
      <c r="B36302" s="3" t="str">
        <f>"201604005184"</f>
        <v>201604005184</v>
      </c>
    </row>
    <row r="36303" spans="1:2" x14ac:dyDescent="0.25">
      <c r="A36303" s="2">
        <v>36298</v>
      </c>
      <c r="B36303" s="3" t="str">
        <f>"201604005203"</f>
        <v>201604005203</v>
      </c>
    </row>
    <row r="36304" spans="1:2" x14ac:dyDescent="0.25">
      <c r="A36304" s="2">
        <v>36299</v>
      </c>
      <c r="B36304" s="3" t="str">
        <f>"201604005214"</f>
        <v>201604005214</v>
      </c>
    </row>
    <row r="36305" spans="1:2" x14ac:dyDescent="0.25">
      <c r="A36305" s="2">
        <v>36300</v>
      </c>
      <c r="B36305" s="3" t="str">
        <f>"201604005274"</f>
        <v>201604005274</v>
      </c>
    </row>
    <row r="36306" spans="1:2" x14ac:dyDescent="0.25">
      <c r="A36306" s="2">
        <v>36301</v>
      </c>
      <c r="B36306" s="3" t="str">
        <f>"201604005292"</f>
        <v>201604005292</v>
      </c>
    </row>
    <row r="36307" spans="1:2" x14ac:dyDescent="0.25">
      <c r="A36307" s="2">
        <v>36302</v>
      </c>
      <c r="B36307" s="3" t="str">
        <f>"201604005302"</f>
        <v>201604005302</v>
      </c>
    </row>
    <row r="36308" spans="1:2" x14ac:dyDescent="0.25">
      <c r="A36308" s="2">
        <v>36303</v>
      </c>
      <c r="B36308" s="3" t="str">
        <f>"201604005308"</f>
        <v>201604005308</v>
      </c>
    </row>
    <row r="36309" spans="1:2" x14ac:dyDescent="0.25">
      <c r="A36309" s="2">
        <v>36304</v>
      </c>
      <c r="B36309" s="3" t="str">
        <f>"201604005346"</f>
        <v>201604005346</v>
      </c>
    </row>
    <row r="36310" spans="1:2" x14ac:dyDescent="0.25">
      <c r="A36310" s="2">
        <v>36305</v>
      </c>
      <c r="B36310" s="3" t="str">
        <f>"201604005385"</f>
        <v>201604005385</v>
      </c>
    </row>
    <row r="36311" spans="1:2" x14ac:dyDescent="0.25">
      <c r="A36311" s="2">
        <v>36306</v>
      </c>
      <c r="B36311" s="3" t="str">
        <f>"201604005394"</f>
        <v>201604005394</v>
      </c>
    </row>
    <row r="36312" spans="1:2" x14ac:dyDescent="0.25">
      <c r="A36312" s="2">
        <v>36307</v>
      </c>
      <c r="B36312" s="3" t="str">
        <f>"201604005402"</f>
        <v>201604005402</v>
      </c>
    </row>
    <row r="36313" spans="1:2" x14ac:dyDescent="0.25">
      <c r="A36313" s="2">
        <v>36308</v>
      </c>
      <c r="B36313" s="3" t="str">
        <f>"201604005428"</f>
        <v>201604005428</v>
      </c>
    </row>
    <row r="36314" spans="1:2" x14ac:dyDescent="0.25">
      <c r="A36314" s="2">
        <v>36309</v>
      </c>
      <c r="B36314" s="3" t="str">
        <f>"201604005454"</f>
        <v>201604005454</v>
      </c>
    </row>
    <row r="36315" spans="1:2" x14ac:dyDescent="0.25">
      <c r="A36315" s="2">
        <v>36310</v>
      </c>
      <c r="B36315" s="3" t="str">
        <f>"201604005455"</f>
        <v>201604005455</v>
      </c>
    </row>
    <row r="36316" spans="1:2" x14ac:dyDescent="0.25">
      <c r="A36316" s="2">
        <v>36311</v>
      </c>
      <c r="B36316" s="3" t="str">
        <f>"201604005485"</f>
        <v>201604005485</v>
      </c>
    </row>
    <row r="36317" spans="1:2" x14ac:dyDescent="0.25">
      <c r="A36317" s="2">
        <v>36312</v>
      </c>
      <c r="B36317" s="3" t="str">
        <f>"201604005532"</f>
        <v>201604005532</v>
      </c>
    </row>
    <row r="36318" spans="1:2" x14ac:dyDescent="0.25">
      <c r="A36318" s="2">
        <v>36313</v>
      </c>
      <c r="B36318" s="3" t="str">
        <f>"201604005549"</f>
        <v>201604005549</v>
      </c>
    </row>
    <row r="36319" spans="1:2" x14ac:dyDescent="0.25">
      <c r="A36319" s="2">
        <v>36314</v>
      </c>
      <c r="B36319" s="3" t="str">
        <f>"201604005553"</f>
        <v>201604005553</v>
      </c>
    </row>
    <row r="36320" spans="1:2" x14ac:dyDescent="0.25">
      <c r="A36320" s="2">
        <v>36315</v>
      </c>
      <c r="B36320" s="3" t="str">
        <f>"201604005559"</f>
        <v>201604005559</v>
      </c>
    </row>
    <row r="36321" spans="1:2" x14ac:dyDescent="0.25">
      <c r="A36321" s="2">
        <v>36316</v>
      </c>
      <c r="B36321" s="3" t="str">
        <f>"201604005567"</f>
        <v>201604005567</v>
      </c>
    </row>
    <row r="36322" spans="1:2" x14ac:dyDescent="0.25">
      <c r="A36322" s="2">
        <v>36317</v>
      </c>
      <c r="B36322" s="3" t="str">
        <f>"201604005577"</f>
        <v>201604005577</v>
      </c>
    </row>
    <row r="36323" spans="1:2" x14ac:dyDescent="0.25">
      <c r="A36323" s="2">
        <v>36318</v>
      </c>
      <c r="B36323" s="3" t="str">
        <f>"201604005681"</f>
        <v>201604005681</v>
      </c>
    </row>
    <row r="36324" spans="1:2" x14ac:dyDescent="0.25">
      <c r="A36324" s="2">
        <v>36319</v>
      </c>
      <c r="B36324" s="3" t="str">
        <f>"201604005703"</f>
        <v>201604005703</v>
      </c>
    </row>
    <row r="36325" spans="1:2" x14ac:dyDescent="0.25">
      <c r="A36325" s="2">
        <v>36320</v>
      </c>
      <c r="B36325" s="3" t="str">
        <f>"201604005720"</f>
        <v>201604005720</v>
      </c>
    </row>
    <row r="36326" spans="1:2" x14ac:dyDescent="0.25">
      <c r="A36326" s="2">
        <v>36321</v>
      </c>
      <c r="B36326" s="3" t="str">
        <f>"201604005734"</f>
        <v>201604005734</v>
      </c>
    </row>
    <row r="36327" spans="1:2" x14ac:dyDescent="0.25">
      <c r="A36327" s="2">
        <v>36322</v>
      </c>
      <c r="B36327" s="3" t="str">
        <f>"201604005747"</f>
        <v>201604005747</v>
      </c>
    </row>
    <row r="36328" spans="1:2" x14ac:dyDescent="0.25">
      <c r="A36328" s="2">
        <v>36323</v>
      </c>
      <c r="B36328" s="3" t="str">
        <f>"201604005764"</f>
        <v>201604005764</v>
      </c>
    </row>
    <row r="36329" spans="1:2" x14ac:dyDescent="0.25">
      <c r="A36329" s="2">
        <v>36324</v>
      </c>
      <c r="B36329" s="3" t="str">
        <f>"201604005791"</f>
        <v>201604005791</v>
      </c>
    </row>
    <row r="36330" spans="1:2" x14ac:dyDescent="0.25">
      <c r="A36330" s="2">
        <v>36325</v>
      </c>
      <c r="B36330" s="3" t="str">
        <f>"201604005825"</f>
        <v>201604005825</v>
      </c>
    </row>
    <row r="36331" spans="1:2" x14ac:dyDescent="0.25">
      <c r="A36331" s="2">
        <v>36326</v>
      </c>
      <c r="B36331" s="3" t="str">
        <f>"201604005832"</f>
        <v>201604005832</v>
      </c>
    </row>
    <row r="36332" spans="1:2" x14ac:dyDescent="0.25">
      <c r="A36332" s="2">
        <v>36327</v>
      </c>
      <c r="B36332" s="3" t="str">
        <f>"201604005851"</f>
        <v>201604005851</v>
      </c>
    </row>
    <row r="36333" spans="1:2" x14ac:dyDescent="0.25">
      <c r="A36333" s="2">
        <v>36328</v>
      </c>
      <c r="B36333" s="3" t="str">
        <f>"201604005896"</f>
        <v>201604005896</v>
      </c>
    </row>
    <row r="36334" spans="1:2" x14ac:dyDescent="0.25">
      <c r="A36334" s="2">
        <v>36329</v>
      </c>
      <c r="B36334" s="3" t="str">
        <f>"201604005902"</f>
        <v>201604005902</v>
      </c>
    </row>
    <row r="36335" spans="1:2" x14ac:dyDescent="0.25">
      <c r="A36335" s="2">
        <v>36330</v>
      </c>
      <c r="B36335" s="3" t="str">
        <f>"201604005912"</f>
        <v>201604005912</v>
      </c>
    </row>
    <row r="36336" spans="1:2" x14ac:dyDescent="0.25">
      <c r="A36336" s="2">
        <v>36331</v>
      </c>
      <c r="B36336" s="3" t="str">
        <f>"201604005932"</f>
        <v>201604005932</v>
      </c>
    </row>
    <row r="36337" spans="1:2" x14ac:dyDescent="0.25">
      <c r="A36337" s="2">
        <v>36332</v>
      </c>
      <c r="B36337" s="3" t="str">
        <f>"201604005939"</f>
        <v>201604005939</v>
      </c>
    </row>
    <row r="36338" spans="1:2" x14ac:dyDescent="0.25">
      <c r="A36338" s="2">
        <v>36333</v>
      </c>
      <c r="B36338" s="3" t="str">
        <f>"201604005941"</f>
        <v>201604005941</v>
      </c>
    </row>
    <row r="36339" spans="1:2" x14ac:dyDescent="0.25">
      <c r="A36339" s="2">
        <v>36334</v>
      </c>
      <c r="B36339" s="3" t="str">
        <f>"201604005955"</f>
        <v>201604005955</v>
      </c>
    </row>
    <row r="36340" spans="1:2" x14ac:dyDescent="0.25">
      <c r="A36340" s="2">
        <v>36335</v>
      </c>
      <c r="B36340" s="3" t="str">
        <f>"201604005977"</f>
        <v>201604005977</v>
      </c>
    </row>
    <row r="36341" spans="1:2" x14ac:dyDescent="0.25">
      <c r="A36341" s="2">
        <v>36336</v>
      </c>
      <c r="B36341" s="3" t="str">
        <f>"201604006001"</f>
        <v>201604006001</v>
      </c>
    </row>
    <row r="36342" spans="1:2" x14ac:dyDescent="0.25">
      <c r="A36342" s="2">
        <v>36337</v>
      </c>
      <c r="B36342" s="3" t="str">
        <f>"201604006002"</f>
        <v>201604006002</v>
      </c>
    </row>
    <row r="36343" spans="1:2" x14ac:dyDescent="0.25">
      <c r="A36343" s="2">
        <v>36338</v>
      </c>
      <c r="B36343" s="3" t="str">
        <f>"201604006006"</f>
        <v>201604006006</v>
      </c>
    </row>
    <row r="36344" spans="1:2" x14ac:dyDescent="0.25">
      <c r="A36344" s="2">
        <v>36339</v>
      </c>
      <c r="B36344" s="3" t="str">
        <f>"201604006010"</f>
        <v>201604006010</v>
      </c>
    </row>
    <row r="36345" spans="1:2" x14ac:dyDescent="0.25">
      <c r="A36345" s="2">
        <v>36340</v>
      </c>
      <c r="B36345" s="3" t="str">
        <f>"201604006029"</f>
        <v>201604006029</v>
      </c>
    </row>
    <row r="36346" spans="1:2" x14ac:dyDescent="0.25">
      <c r="A36346" s="2">
        <v>36341</v>
      </c>
      <c r="B36346" s="3" t="str">
        <f>"201604006061"</f>
        <v>201604006061</v>
      </c>
    </row>
    <row r="36347" spans="1:2" x14ac:dyDescent="0.25">
      <c r="A36347" s="2">
        <v>36342</v>
      </c>
      <c r="B36347" s="3" t="str">
        <f>"201604006062"</f>
        <v>201604006062</v>
      </c>
    </row>
    <row r="36348" spans="1:2" x14ac:dyDescent="0.25">
      <c r="A36348" s="2">
        <v>36343</v>
      </c>
      <c r="B36348" s="3" t="str">
        <f>"201604006084"</f>
        <v>201604006084</v>
      </c>
    </row>
    <row r="36349" spans="1:2" x14ac:dyDescent="0.25">
      <c r="A36349" s="2">
        <v>36344</v>
      </c>
      <c r="B36349" s="3" t="str">
        <f>"201604006175"</f>
        <v>201604006175</v>
      </c>
    </row>
    <row r="36350" spans="1:2" x14ac:dyDescent="0.25">
      <c r="A36350" s="2">
        <v>36345</v>
      </c>
      <c r="B36350" s="3" t="str">
        <f>"201604006180"</f>
        <v>201604006180</v>
      </c>
    </row>
    <row r="36351" spans="1:2" x14ac:dyDescent="0.25">
      <c r="A36351" s="2">
        <v>36346</v>
      </c>
      <c r="B36351" s="3" t="str">
        <f>"201604006200"</f>
        <v>201604006200</v>
      </c>
    </row>
    <row r="36352" spans="1:2" x14ac:dyDescent="0.25">
      <c r="A36352" s="2">
        <v>36347</v>
      </c>
      <c r="B36352" s="3" t="str">
        <f>"201604006235"</f>
        <v>201604006235</v>
      </c>
    </row>
    <row r="36353" spans="1:2" x14ac:dyDescent="0.25">
      <c r="A36353" s="2">
        <v>36348</v>
      </c>
      <c r="B36353" s="3" t="str">
        <f>"201604006243"</f>
        <v>201604006243</v>
      </c>
    </row>
    <row r="36354" spans="1:2" x14ac:dyDescent="0.25">
      <c r="A36354" s="2">
        <v>36349</v>
      </c>
      <c r="B36354" s="3" t="str">
        <f>"201604006245"</f>
        <v>201604006245</v>
      </c>
    </row>
    <row r="36355" spans="1:2" x14ac:dyDescent="0.25">
      <c r="A36355" s="2">
        <v>36350</v>
      </c>
      <c r="B36355" s="3" t="str">
        <f>"201604006264"</f>
        <v>201604006264</v>
      </c>
    </row>
    <row r="36356" spans="1:2" x14ac:dyDescent="0.25">
      <c r="A36356" s="2">
        <v>36351</v>
      </c>
      <c r="B36356" s="3" t="str">
        <f>"201604006273"</f>
        <v>201604006273</v>
      </c>
    </row>
    <row r="36357" spans="1:2" x14ac:dyDescent="0.25">
      <c r="A36357" s="2">
        <v>36352</v>
      </c>
      <c r="B36357" s="3" t="str">
        <f>"201604006278"</f>
        <v>201604006278</v>
      </c>
    </row>
    <row r="36358" spans="1:2" x14ac:dyDescent="0.25">
      <c r="A36358" s="2">
        <v>36353</v>
      </c>
      <c r="B36358" s="3" t="str">
        <f>"201604006285"</f>
        <v>201604006285</v>
      </c>
    </row>
    <row r="36359" spans="1:2" x14ac:dyDescent="0.25">
      <c r="A36359" s="2">
        <v>36354</v>
      </c>
      <c r="B36359" s="3" t="str">
        <f>"201604006287"</f>
        <v>201604006287</v>
      </c>
    </row>
    <row r="36360" spans="1:2" x14ac:dyDescent="0.25">
      <c r="A36360" s="2">
        <v>36355</v>
      </c>
      <c r="B36360" s="3" t="str">
        <f>"201604006311"</f>
        <v>201604006311</v>
      </c>
    </row>
    <row r="36361" spans="1:2" x14ac:dyDescent="0.25">
      <c r="A36361" s="2">
        <v>36356</v>
      </c>
      <c r="B36361" s="3" t="str">
        <f>"201604006339"</f>
        <v>201604006339</v>
      </c>
    </row>
    <row r="36362" spans="1:2" x14ac:dyDescent="0.25">
      <c r="A36362" s="2">
        <v>36357</v>
      </c>
      <c r="B36362" s="3" t="str">
        <f>"201604006350"</f>
        <v>201604006350</v>
      </c>
    </row>
    <row r="36363" spans="1:2" x14ac:dyDescent="0.25">
      <c r="A36363" s="2">
        <v>36358</v>
      </c>
      <c r="B36363" s="3" t="str">
        <f>"201604006363"</f>
        <v>201604006363</v>
      </c>
    </row>
    <row r="36364" spans="1:2" x14ac:dyDescent="0.25">
      <c r="A36364" s="2">
        <v>36359</v>
      </c>
      <c r="B36364" s="3" t="str">
        <f>"201604006368"</f>
        <v>201604006368</v>
      </c>
    </row>
    <row r="36365" spans="1:2" x14ac:dyDescent="0.25">
      <c r="A36365" s="2">
        <v>36360</v>
      </c>
      <c r="B36365" s="3" t="str">
        <f>"201605000026"</f>
        <v>201605000026</v>
      </c>
    </row>
    <row r="36366" spans="1:2" x14ac:dyDescent="0.25">
      <c r="A36366" s="2">
        <v>36361</v>
      </c>
      <c r="B36366" s="3" t="str">
        <f>"201605000031"</f>
        <v>201605000031</v>
      </c>
    </row>
    <row r="36367" spans="1:2" x14ac:dyDescent="0.25">
      <c r="A36367" s="2">
        <v>36362</v>
      </c>
      <c r="B36367" s="3" t="str">
        <f>"201605000079"</f>
        <v>201605000079</v>
      </c>
    </row>
    <row r="36368" spans="1:2" x14ac:dyDescent="0.25">
      <c r="A36368" s="2">
        <v>36363</v>
      </c>
      <c r="B36368" s="3" t="str">
        <f>"201605000158"</f>
        <v>201605000158</v>
      </c>
    </row>
    <row r="36369" spans="1:2" x14ac:dyDescent="0.25">
      <c r="A36369" s="2">
        <v>36364</v>
      </c>
      <c r="B36369" s="3" t="str">
        <f>"201605000161"</f>
        <v>201605000161</v>
      </c>
    </row>
    <row r="36370" spans="1:2" x14ac:dyDescent="0.25">
      <c r="A36370" s="2">
        <v>36365</v>
      </c>
      <c r="B36370" s="3" t="str">
        <f>"201605000189"</f>
        <v>201605000189</v>
      </c>
    </row>
    <row r="36371" spans="1:2" x14ac:dyDescent="0.25">
      <c r="A36371" s="2">
        <v>36366</v>
      </c>
      <c r="B36371" s="3" t="str">
        <f>"201605000202"</f>
        <v>201605000202</v>
      </c>
    </row>
    <row r="36372" spans="1:2" x14ac:dyDescent="0.25">
      <c r="A36372" s="2">
        <v>36367</v>
      </c>
      <c r="B36372" s="3" t="str">
        <f>"201606000019"</f>
        <v>201606000019</v>
      </c>
    </row>
    <row r="36373" spans="1:2" x14ac:dyDescent="0.25">
      <c r="A36373" s="2">
        <v>36368</v>
      </c>
      <c r="B36373" s="3" t="str">
        <f>"201606000139"</f>
        <v>201606000139</v>
      </c>
    </row>
    <row r="36374" spans="1:2" x14ac:dyDescent="0.25">
      <c r="A36374" s="2">
        <v>36369</v>
      </c>
      <c r="B36374" s="3" t="str">
        <f>"201606000146"</f>
        <v>201606000146</v>
      </c>
    </row>
    <row r="36375" spans="1:2" x14ac:dyDescent="0.25">
      <c r="A36375" s="2">
        <v>36370</v>
      </c>
      <c r="B36375" s="3" t="str">
        <f>"201607141280"</f>
        <v>201607141280</v>
      </c>
    </row>
  </sheetData>
  <sortState ref="A6:B36375">
    <sortCondition ref="B6:B36375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Tryfonopoulou Ioanna</cp:lastModifiedBy>
  <dcterms:created xsi:type="dcterms:W3CDTF">2025-05-14T07:21:30Z</dcterms:created>
  <dcterms:modified xsi:type="dcterms:W3CDTF">2025-05-19T08:17:29Z</dcterms:modified>
</cp:coreProperties>
</file>